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65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60923-2021</t>
        </is>
      </c>
      <c r="B2" s="1" t="n">
        <v>44497</v>
      </c>
      <c r="C2" s="1" t="n">
        <v>45224</v>
      </c>
      <c r="D2" t="inlineStr">
        <is>
          <t>STOCKHOLMS LÄN</t>
        </is>
      </c>
      <c r="E2" t="inlineStr">
        <is>
          <t>TYRESÖ</t>
        </is>
      </c>
      <c r="G2" t="n">
        <v>12.3</v>
      </c>
      <c r="H2" t="n">
        <v>3</v>
      </c>
      <c r="I2" t="n">
        <v>18</v>
      </c>
      <c r="J2" t="n">
        <v>11</v>
      </c>
      <c r="K2" t="n">
        <v>3</v>
      </c>
      <c r="L2" t="n">
        <v>2</v>
      </c>
      <c r="M2" t="n">
        <v>1</v>
      </c>
      <c r="N2" t="n">
        <v>0</v>
      </c>
      <c r="O2" t="n">
        <v>17</v>
      </c>
      <c r="P2" t="n">
        <v>6</v>
      </c>
      <c r="Q2" t="n">
        <v>35</v>
      </c>
      <c r="R2" s="2" t="inlineStr">
        <is>
          <t>Skogsalm
Ask
Svartoxe
Kungsfiskare
Tallbit
Violett fingersvamp
Ekticka
Granticka
Gränsticka
Gultoppig fingersvamp
Korallticka
Motaggsvamp
Oxtungssvamp
Scharlakansvaxskivling
Tallticka
Uloma rufa
Vintertagging
Blodvaxskivling
Dropptaggsvamp
Fjällig taggsvamp s.str.
Flagellkvastmossa
Granbarkgnagare
Grön sköldmossa
Hasselticka
Jättesvampmal
Kattfotslav
Kruskantarell
Lönnlav
Mörk husmossa
Rödgul trumpetsvamp
Skogshakmossa
Stor aspticka
Svavelriska
Sårläka
Trådticka</t>
        </is>
      </c>
      <c r="S2">
        <f>HYPERLINK("https://klasma.github.io/Logging_0138/artfynd/A 60923-2021 artfynd.xlsx", "A 60923-2021")</f>
        <v/>
      </c>
      <c r="T2">
        <f>HYPERLINK("https://klasma.github.io/Logging_0138/kartor/A 60923-2021 karta.png", "A 60923-2021")</f>
        <v/>
      </c>
      <c r="V2">
        <f>HYPERLINK("https://klasma.github.io/Logging_0138/klagomål/A 60923-2021 FSC-klagomål.docx", "A 60923-2021")</f>
        <v/>
      </c>
      <c r="W2">
        <f>HYPERLINK("https://klasma.github.io/Logging_0138/klagomålsmail/A 60923-2021 FSC-klagomål mail.docx", "A 60923-2021")</f>
        <v/>
      </c>
      <c r="X2">
        <f>HYPERLINK("https://klasma.github.io/Logging_0138/tillsyn/A 60923-2021 tillsynsbegäran.docx", "A 60923-2021")</f>
        <v/>
      </c>
      <c r="Y2">
        <f>HYPERLINK("https://klasma.github.io/Logging_0138/tillsynsmail/A 60923-2021 tillsynsbegäran mail.docx", "A 60923-2021")</f>
        <v/>
      </c>
    </row>
    <row r="3" ht="15" customHeight="1">
      <c r="A3" t="inlineStr">
        <is>
          <t>A 15733-2019</t>
        </is>
      </c>
      <c r="B3" s="1" t="n">
        <v>43543</v>
      </c>
      <c r="C3" s="1" t="n">
        <v>45224</v>
      </c>
      <c r="D3" t="inlineStr">
        <is>
          <t>STOCKHOLMS LÄN</t>
        </is>
      </c>
      <c r="E3" t="inlineStr">
        <is>
          <t>NORRTÄLJE</t>
        </is>
      </c>
      <c r="G3" t="n">
        <v>6.9</v>
      </c>
      <c r="H3" t="n">
        <v>6</v>
      </c>
      <c r="I3" t="n">
        <v>17</v>
      </c>
      <c r="J3" t="n">
        <v>4</v>
      </c>
      <c r="K3" t="n">
        <v>3</v>
      </c>
      <c r="L3" t="n">
        <v>0</v>
      </c>
      <c r="M3" t="n">
        <v>0</v>
      </c>
      <c r="N3" t="n">
        <v>0</v>
      </c>
      <c r="O3" t="n">
        <v>7</v>
      </c>
      <c r="P3" t="n">
        <v>3</v>
      </c>
      <c r="Q3" t="n">
        <v>27</v>
      </c>
      <c r="R3" s="2" t="inlineStr">
        <is>
          <t>Aspfjädermossa
Grangråticka
Koppartaggsvamp
Granticka
Koralltaggsvamp
Spillkråka
Svartvit taggsvamp
Anisspindling
Fjällig taggsvamp s.str.
Gulnål
Nästrot
Olivspindling
Rödgul trumpetsvamp
Skarp dropptaggsvamp
Skogsknipprot
Stor aspticka
Svart trolldruva
Svavelriska
Sårläka
Tibast
Underviol
Vågbandad barkbock
Vårärt
Zontaggsvamp
Nattviol
Blåsippa
Revlummer</t>
        </is>
      </c>
      <c r="S3">
        <f>HYPERLINK("https://klasma.github.io/Logging_0188/artfynd/A 15733-2019 artfynd.xlsx", "A 15733-2019")</f>
        <v/>
      </c>
      <c r="T3">
        <f>HYPERLINK("https://klasma.github.io/Logging_0188/kartor/A 15733-2019 karta.png", "A 15733-2019")</f>
        <v/>
      </c>
      <c r="V3">
        <f>HYPERLINK("https://klasma.github.io/Logging_0188/klagomål/A 15733-2019 FSC-klagomål.docx", "A 15733-2019")</f>
        <v/>
      </c>
      <c r="W3">
        <f>HYPERLINK("https://klasma.github.io/Logging_0188/klagomålsmail/A 15733-2019 FSC-klagomål mail.docx", "A 15733-2019")</f>
        <v/>
      </c>
      <c r="X3">
        <f>HYPERLINK("https://klasma.github.io/Logging_0188/tillsyn/A 15733-2019 tillsynsbegäran.docx", "A 15733-2019")</f>
        <v/>
      </c>
      <c r="Y3">
        <f>HYPERLINK("https://klasma.github.io/Logging_0188/tillsynsmail/A 15733-2019 tillsynsbegäran mail.docx", "A 15733-2019")</f>
        <v/>
      </c>
    </row>
    <row r="4" ht="15" customHeight="1">
      <c r="A4" t="inlineStr">
        <is>
          <t>A 23157-2019</t>
        </is>
      </c>
      <c r="B4" s="1" t="n">
        <v>43592</v>
      </c>
      <c r="C4" s="1" t="n">
        <v>45224</v>
      </c>
      <c r="D4" t="inlineStr">
        <is>
          <t>STOCKHOLMS LÄN</t>
        </is>
      </c>
      <c r="E4" t="inlineStr">
        <is>
          <t>NORRTÄLJE</t>
        </is>
      </c>
      <c r="G4" t="n">
        <v>3.9</v>
      </c>
      <c r="H4" t="n">
        <v>1</v>
      </c>
      <c r="I4" t="n">
        <v>18</v>
      </c>
      <c r="J4" t="n">
        <v>4</v>
      </c>
      <c r="K4" t="n">
        <v>4</v>
      </c>
      <c r="L4" t="n">
        <v>0</v>
      </c>
      <c r="M4" t="n">
        <v>0</v>
      </c>
      <c r="N4" t="n">
        <v>0</v>
      </c>
      <c r="O4" t="n">
        <v>9</v>
      </c>
      <c r="P4" t="n">
        <v>4</v>
      </c>
      <c r="Q4" t="n">
        <v>27</v>
      </c>
      <c r="R4" s="2" t="inlineStr">
        <is>
          <t>Grangråticka
Gyllenfingersvamp
Läderdoftande fingersvamp
Violgubbe
Flattoppad klubbsvamp
Granticka
Gultoppig fingersvamp
Persiljespindling
Fruktkremla
Anisspindling
Blå slemspindling
Bolmörtsskivling
Dofttråding
Fjällig taggsvamp s.str.
Guckusko
Guldkremla
Kryddspindling
Mörk husmossa
Olivspindling
Skarp dropptaggsvamp
Strimspindling
Svavelriska
Sårläka
Trådticka
Underviol
Vårärt
Zontaggsvamp</t>
        </is>
      </c>
      <c r="S4">
        <f>HYPERLINK("https://klasma.github.io/Logging_0188/artfynd/A 23157-2019 artfynd.xlsx", "A 23157-2019")</f>
        <v/>
      </c>
      <c r="T4">
        <f>HYPERLINK("https://klasma.github.io/Logging_0188/kartor/A 23157-2019 karta.png", "A 23157-2019")</f>
        <v/>
      </c>
      <c r="V4">
        <f>HYPERLINK("https://klasma.github.io/Logging_0188/klagomål/A 23157-2019 FSC-klagomål.docx", "A 23157-2019")</f>
        <v/>
      </c>
      <c r="W4">
        <f>HYPERLINK("https://klasma.github.io/Logging_0188/klagomålsmail/A 23157-2019 FSC-klagomål mail.docx", "A 23157-2019")</f>
        <v/>
      </c>
      <c r="X4">
        <f>HYPERLINK("https://klasma.github.io/Logging_0188/tillsyn/A 23157-2019 tillsynsbegäran.docx", "A 23157-2019")</f>
        <v/>
      </c>
      <c r="Y4">
        <f>HYPERLINK("https://klasma.github.io/Logging_0188/tillsynsmail/A 23157-2019 tillsynsbegäran mail.docx", "A 23157-2019")</f>
        <v/>
      </c>
    </row>
    <row r="5" ht="15" customHeight="1">
      <c r="A5" t="inlineStr">
        <is>
          <t>A 7147-2020</t>
        </is>
      </c>
      <c r="B5" s="1" t="n">
        <v>43869</v>
      </c>
      <c r="C5" s="1" t="n">
        <v>45224</v>
      </c>
      <c r="D5" t="inlineStr">
        <is>
          <t>STOCKHOLMS LÄN</t>
        </is>
      </c>
      <c r="E5" t="inlineStr">
        <is>
          <t>NORRTÄLJE</t>
        </is>
      </c>
      <c r="G5" t="n">
        <v>6.6</v>
      </c>
      <c r="H5" t="n">
        <v>1</v>
      </c>
      <c r="I5" t="n">
        <v>11</v>
      </c>
      <c r="J5" t="n">
        <v>8</v>
      </c>
      <c r="K5" t="n">
        <v>6</v>
      </c>
      <c r="L5" t="n">
        <v>1</v>
      </c>
      <c r="M5" t="n">
        <v>0</v>
      </c>
      <c r="N5" t="n">
        <v>0</v>
      </c>
      <c r="O5" t="n">
        <v>15</v>
      </c>
      <c r="P5" t="n">
        <v>7</v>
      </c>
      <c r="Q5" t="n">
        <v>27</v>
      </c>
      <c r="R5" s="2" t="inlineStr">
        <is>
          <t>Raggtaggsvamp
Bitter taggsvamp
Fläckfingersvamp
Grangråticka
Kopparspindling
Koppartaggsvamp
Violgubbe
Blek fingersvamp
Dofttaggsvamp
Druvfingersvamp
Odörspindling
Orange taggsvamp
Persiljespindling
Svart taggsvamp
Ullticka
Anisspindling
Dropptaggsvamp
Fjällig taggsvamp s.str.
Granbarkgnagare
Grönpyrola
Kryddspindling
Olivspindling
Skarp dropptaggsvamp
Strimspindling
Zontaggsvamp
Ögonpyrola
Blåsippa</t>
        </is>
      </c>
      <c r="S5">
        <f>HYPERLINK("https://klasma.github.io/Logging_0188/artfynd/A 7147-2020 artfynd.xlsx", "A 7147-2020")</f>
        <v/>
      </c>
      <c r="T5">
        <f>HYPERLINK("https://klasma.github.io/Logging_0188/kartor/A 7147-2020 karta.png", "A 7147-2020")</f>
        <v/>
      </c>
      <c r="V5">
        <f>HYPERLINK("https://klasma.github.io/Logging_0188/klagomål/A 7147-2020 FSC-klagomål.docx", "A 7147-2020")</f>
        <v/>
      </c>
      <c r="W5">
        <f>HYPERLINK("https://klasma.github.io/Logging_0188/klagomålsmail/A 7147-2020 FSC-klagomål mail.docx", "A 7147-2020")</f>
        <v/>
      </c>
      <c r="X5">
        <f>HYPERLINK("https://klasma.github.io/Logging_0188/tillsyn/A 7147-2020 tillsynsbegäran.docx", "A 7147-2020")</f>
        <v/>
      </c>
      <c r="Y5">
        <f>HYPERLINK("https://klasma.github.io/Logging_0188/tillsynsmail/A 7147-2020 tillsynsbegäran mail.docx", "A 7147-2020")</f>
        <v/>
      </c>
    </row>
    <row r="6" ht="15" customHeight="1">
      <c r="A6" t="inlineStr">
        <is>
          <t>A 30156-2022</t>
        </is>
      </c>
      <c r="B6" s="1" t="n">
        <v>44757</v>
      </c>
      <c r="C6" s="1" t="n">
        <v>45224</v>
      </c>
      <c r="D6" t="inlineStr">
        <is>
          <t>STOCKHOLMS LÄN</t>
        </is>
      </c>
      <c r="E6" t="inlineStr">
        <is>
          <t>NORRTÄLJE</t>
        </is>
      </c>
      <c r="G6" t="n">
        <v>4.3</v>
      </c>
      <c r="H6" t="n">
        <v>1</v>
      </c>
      <c r="I6" t="n">
        <v>18</v>
      </c>
      <c r="J6" t="n">
        <v>4</v>
      </c>
      <c r="K6" t="n">
        <v>4</v>
      </c>
      <c r="L6" t="n">
        <v>0</v>
      </c>
      <c r="M6" t="n">
        <v>0</v>
      </c>
      <c r="N6" t="n">
        <v>0</v>
      </c>
      <c r="O6" t="n">
        <v>9</v>
      </c>
      <c r="P6" t="n">
        <v>4</v>
      </c>
      <c r="Q6" t="n">
        <v>27</v>
      </c>
      <c r="R6" s="2" t="inlineStr">
        <is>
          <t>Grangråticka
Gyllenfingersvamp
Läderdoftande fingersvamp
Violgubbe
Flattoppad klubbsvamp
Granticka
Gultoppig fingersvamp
Persiljespindling
Fruktkremla
Anisspindling
Blå slemspindling
Bolmörtsskivling
Dofttråding
Fjällig taggsvamp s.str.
Guckusko
Guldkremla
Kryddspindling
Mörk husmossa
Olivspindling
Skarp dropptaggsvamp
Strimspindling
Svavelriska
Sårläka
Trådticka
Underviol
Vårärt
Zontaggsvamp</t>
        </is>
      </c>
      <c r="S6">
        <f>HYPERLINK("https://klasma.github.io/Logging_0188/artfynd/A 30156-2022 artfynd.xlsx", "A 30156-2022")</f>
        <v/>
      </c>
      <c r="T6">
        <f>HYPERLINK("https://klasma.github.io/Logging_0188/kartor/A 30156-2022 karta.png", "A 30156-2022")</f>
        <v/>
      </c>
      <c r="V6">
        <f>HYPERLINK("https://klasma.github.io/Logging_0188/klagomål/A 30156-2022 FSC-klagomål.docx", "A 30156-2022")</f>
        <v/>
      </c>
      <c r="W6">
        <f>HYPERLINK("https://klasma.github.io/Logging_0188/klagomålsmail/A 30156-2022 FSC-klagomål mail.docx", "A 30156-2022")</f>
        <v/>
      </c>
      <c r="X6">
        <f>HYPERLINK("https://klasma.github.io/Logging_0188/tillsyn/A 30156-2022 tillsynsbegäran.docx", "A 30156-2022")</f>
        <v/>
      </c>
      <c r="Y6">
        <f>HYPERLINK("https://klasma.github.io/Logging_0188/tillsynsmail/A 30156-2022 tillsynsbegäran mail.docx", "A 30156-2022")</f>
        <v/>
      </c>
    </row>
    <row r="7" ht="15" customHeight="1">
      <c r="A7" t="inlineStr">
        <is>
          <t>A 9144-2021</t>
        </is>
      </c>
      <c r="B7" s="1" t="n">
        <v>44249</v>
      </c>
      <c r="C7" s="1" t="n">
        <v>45224</v>
      </c>
      <c r="D7" t="inlineStr">
        <is>
          <t>STOCKHOLMS LÄN</t>
        </is>
      </c>
      <c r="E7" t="inlineStr">
        <is>
          <t>NORRTÄLJE</t>
        </is>
      </c>
      <c r="G7" t="n">
        <v>11.8</v>
      </c>
      <c r="H7" t="n">
        <v>3</v>
      </c>
      <c r="I7" t="n">
        <v>15</v>
      </c>
      <c r="J7" t="n">
        <v>5</v>
      </c>
      <c r="K7" t="n">
        <v>4</v>
      </c>
      <c r="L7" t="n">
        <v>0</v>
      </c>
      <c r="M7" t="n">
        <v>1</v>
      </c>
      <c r="N7" t="n">
        <v>0</v>
      </c>
      <c r="O7" t="n">
        <v>10</v>
      </c>
      <c r="P7" t="n">
        <v>5</v>
      </c>
      <c r="Q7" t="n">
        <v>26</v>
      </c>
      <c r="R7" s="2" t="inlineStr">
        <is>
          <t>Skogsalm
Aspfjädermossa
Grangråticka
Koppartaggsvamp
Svartfjällig musseron
Granticka
Järpe
Kungsspindling
Orange taggsvamp
Ullticka
Bronshjon
Bårdlav
Fjällig taggsvamp s.str.
Grov fjädermossa
Grön sköldmossa
Mörk husmossa
Platt fjädermossa
Rävticka
Skogshakmossa
Stubbspretmossa
Svavelriska
Tibast
Vedticka
Vätteros
Vårärt
Blåsippa</t>
        </is>
      </c>
      <c r="S7">
        <f>HYPERLINK("https://klasma.github.io/Logging_0188/artfynd/A 9144-2021 artfynd.xlsx", "A 9144-2021")</f>
        <v/>
      </c>
      <c r="T7">
        <f>HYPERLINK("https://klasma.github.io/Logging_0188/kartor/A 9144-2021 karta.png", "A 9144-2021")</f>
        <v/>
      </c>
      <c r="V7">
        <f>HYPERLINK("https://klasma.github.io/Logging_0188/klagomål/A 9144-2021 FSC-klagomål.docx", "A 9144-2021")</f>
        <v/>
      </c>
      <c r="W7">
        <f>HYPERLINK("https://klasma.github.io/Logging_0188/klagomålsmail/A 9144-2021 FSC-klagomål mail.docx", "A 9144-2021")</f>
        <v/>
      </c>
      <c r="X7">
        <f>HYPERLINK("https://klasma.github.io/Logging_0188/tillsyn/A 9144-2021 tillsynsbegäran.docx", "A 9144-2021")</f>
        <v/>
      </c>
      <c r="Y7">
        <f>HYPERLINK("https://klasma.github.io/Logging_0188/tillsynsmail/A 9144-2021 tillsynsbegäran mail.docx", "A 9144-2021")</f>
        <v/>
      </c>
    </row>
    <row r="8" ht="15" customHeight="1">
      <c r="A8" t="inlineStr">
        <is>
          <t>A 60019-2022</t>
        </is>
      </c>
      <c r="B8" s="1" t="n">
        <v>44909</v>
      </c>
      <c r="C8" s="1" t="n">
        <v>45224</v>
      </c>
      <c r="D8" t="inlineStr">
        <is>
          <t>STOCKHOLMS LÄN</t>
        </is>
      </c>
      <c r="E8" t="inlineStr">
        <is>
          <t>NORRTÄLJE</t>
        </is>
      </c>
      <c r="G8" t="n">
        <v>6.7</v>
      </c>
      <c r="H8" t="n">
        <v>3</v>
      </c>
      <c r="I8" t="n">
        <v>9</v>
      </c>
      <c r="J8" t="n">
        <v>9</v>
      </c>
      <c r="K8" t="n">
        <v>4</v>
      </c>
      <c r="L8" t="n">
        <v>1</v>
      </c>
      <c r="M8" t="n">
        <v>0</v>
      </c>
      <c r="N8" t="n">
        <v>0</v>
      </c>
      <c r="O8" t="n">
        <v>14</v>
      </c>
      <c r="P8" t="n">
        <v>5</v>
      </c>
      <c r="Q8" t="n">
        <v>24</v>
      </c>
      <c r="R8" s="2" t="inlineStr">
        <is>
          <t>Raggtaggsvamp
Bitter taggsvamp
Brödtaggsvamp
Koppartaggsvamp
Violgubbe
Dofttaggsvamp
Druvfingersvamp
Flattoppad klubbsvamp
Garnlav
Granticka
Orange taggsvamp
Spillkråka
Svartvit taggsvamp
Ullticka
Bronshjon
Fjällig taggsvamp s.str.
Grön sköldmossa
Kamjordstjärna
Rödgul trumpetsvamp
Skarp dropptaggsvamp
Sårläka
Tibast
Zontaggsvamp
Blåsippa</t>
        </is>
      </c>
      <c r="S8">
        <f>HYPERLINK("https://klasma.github.io/Logging_0188/artfynd/A 60019-2022 artfynd.xlsx", "A 60019-2022")</f>
        <v/>
      </c>
      <c r="T8">
        <f>HYPERLINK("https://klasma.github.io/Logging_0188/kartor/A 60019-2022 karta.png", "A 60019-2022")</f>
        <v/>
      </c>
      <c r="V8">
        <f>HYPERLINK("https://klasma.github.io/Logging_0188/klagomål/A 60019-2022 FSC-klagomål.docx", "A 60019-2022")</f>
        <v/>
      </c>
      <c r="W8">
        <f>HYPERLINK("https://klasma.github.io/Logging_0188/klagomålsmail/A 60019-2022 FSC-klagomål mail.docx", "A 60019-2022")</f>
        <v/>
      </c>
      <c r="X8">
        <f>HYPERLINK("https://klasma.github.io/Logging_0188/tillsyn/A 60019-2022 tillsynsbegäran.docx", "A 60019-2022")</f>
        <v/>
      </c>
      <c r="Y8">
        <f>HYPERLINK("https://klasma.github.io/Logging_0188/tillsynsmail/A 60019-2022 tillsynsbegäran mail.docx", "A 60019-2022")</f>
        <v/>
      </c>
    </row>
    <row r="9" ht="15" customHeight="1">
      <c r="A9" t="inlineStr">
        <is>
          <t>A 22960-2019</t>
        </is>
      </c>
      <c r="B9" s="1" t="n">
        <v>43588</v>
      </c>
      <c r="C9" s="1" t="n">
        <v>45224</v>
      </c>
      <c r="D9" t="inlineStr">
        <is>
          <t>STOCKHOLMS LÄN</t>
        </is>
      </c>
      <c r="E9" t="inlineStr">
        <is>
          <t>NORRTÄLJE</t>
        </is>
      </c>
      <c r="G9" t="n">
        <v>65.90000000000001</v>
      </c>
      <c r="H9" t="n">
        <v>5</v>
      </c>
      <c r="I9" t="n">
        <v>15</v>
      </c>
      <c r="J9" t="n">
        <v>4</v>
      </c>
      <c r="K9" t="n">
        <v>2</v>
      </c>
      <c r="L9" t="n">
        <v>0</v>
      </c>
      <c r="M9" t="n">
        <v>0</v>
      </c>
      <c r="N9" t="n">
        <v>0</v>
      </c>
      <c r="O9" t="n">
        <v>6</v>
      </c>
      <c r="P9" t="n">
        <v>2</v>
      </c>
      <c r="Q9" t="n">
        <v>22</v>
      </c>
      <c r="R9" s="2" t="inlineStr">
        <is>
          <t>Koppartaggsvamp
Violgubbe
Granticka
Spillkråka
Svart taggsvamp
Tallticka
Brandticka
Bronshjon
Fjällig taggsvamp s.str.
Granbarkgnagare
Grön sköldmossa
Kattfotslav
Nästrot
Olivspindling
Skarp dropptaggsvamp
Skogsknipprot
Svavelriska
Sårläka
Tibast
Trådticka
Vårärt
Blåsippa</t>
        </is>
      </c>
      <c r="S9">
        <f>HYPERLINK("https://klasma.github.io/Logging_0188/artfynd/A 22960-2019 artfynd.xlsx", "A 22960-2019")</f>
        <v/>
      </c>
      <c r="T9">
        <f>HYPERLINK("https://klasma.github.io/Logging_0188/kartor/A 22960-2019 karta.png", "A 22960-2019")</f>
        <v/>
      </c>
      <c r="V9">
        <f>HYPERLINK("https://klasma.github.io/Logging_0188/klagomål/A 22960-2019 FSC-klagomål.docx", "A 22960-2019")</f>
        <v/>
      </c>
      <c r="W9">
        <f>HYPERLINK("https://klasma.github.io/Logging_0188/klagomålsmail/A 22960-2019 FSC-klagomål mail.docx", "A 22960-2019")</f>
        <v/>
      </c>
      <c r="X9">
        <f>HYPERLINK("https://klasma.github.io/Logging_0188/tillsyn/A 22960-2019 tillsynsbegäran.docx", "A 22960-2019")</f>
        <v/>
      </c>
      <c r="Y9">
        <f>HYPERLINK("https://klasma.github.io/Logging_0188/tillsynsmail/A 22960-2019 tillsynsbegäran mail.docx", "A 22960-2019")</f>
        <v/>
      </c>
    </row>
    <row r="10" ht="15" customHeight="1">
      <c r="A10" t="inlineStr">
        <is>
          <t>A 32244-2020</t>
        </is>
      </c>
      <c r="B10" s="1" t="n">
        <v>44015</v>
      </c>
      <c r="C10" s="1" t="n">
        <v>45224</v>
      </c>
      <c r="D10" t="inlineStr">
        <is>
          <t>STOCKHOLMS LÄN</t>
        </is>
      </c>
      <c r="E10" t="inlineStr">
        <is>
          <t>NORRTÄLJE</t>
        </is>
      </c>
      <c r="G10" t="n">
        <v>27.5</v>
      </c>
      <c r="H10" t="n">
        <v>5</v>
      </c>
      <c r="I10" t="n">
        <v>15</v>
      </c>
      <c r="J10" t="n">
        <v>4</v>
      </c>
      <c r="K10" t="n">
        <v>2</v>
      </c>
      <c r="L10" t="n">
        <v>0</v>
      </c>
      <c r="M10" t="n">
        <v>0</v>
      </c>
      <c r="N10" t="n">
        <v>0</v>
      </c>
      <c r="O10" t="n">
        <v>6</v>
      </c>
      <c r="P10" t="n">
        <v>2</v>
      </c>
      <c r="Q10" t="n">
        <v>22</v>
      </c>
      <c r="R10" s="2" t="inlineStr">
        <is>
          <t>Koppartaggsvamp
Violgubbe
Granticka
Spillkråka
Svart taggsvamp
Tallticka
Brandticka
Bronshjon
Fjällig taggsvamp s.str.
Granbarkgnagare
Grön sköldmossa
Kattfotslav
Nästrot
Olivspindling
Skarp dropptaggsvamp
Skogsknipprot
Svavelriska
Sårläka
Tibast
Trådticka
Vårärt
Blåsippa</t>
        </is>
      </c>
      <c r="S10">
        <f>HYPERLINK("https://klasma.github.io/Logging_0188/artfynd/A 32244-2020 artfynd.xlsx", "A 32244-2020")</f>
        <v/>
      </c>
      <c r="T10">
        <f>HYPERLINK("https://klasma.github.io/Logging_0188/kartor/A 32244-2020 karta.png", "A 32244-2020")</f>
        <v/>
      </c>
      <c r="V10">
        <f>HYPERLINK("https://klasma.github.io/Logging_0188/klagomål/A 32244-2020 FSC-klagomål.docx", "A 32244-2020")</f>
        <v/>
      </c>
      <c r="W10">
        <f>HYPERLINK("https://klasma.github.io/Logging_0188/klagomålsmail/A 32244-2020 FSC-klagomål mail.docx", "A 32244-2020")</f>
        <v/>
      </c>
      <c r="X10">
        <f>HYPERLINK("https://klasma.github.io/Logging_0188/tillsyn/A 32244-2020 tillsynsbegäran.docx", "A 32244-2020")</f>
        <v/>
      </c>
      <c r="Y10">
        <f>HYPERLINK("https://klasma.github.io/Logging_0188/tillsynsmail/A 32244-2020 tillsynsbegäran mail.docx", "A 32244-2020")</f>
        <v/>
      </c>
    </row>
    <row r="11" ht="15" customHeight="1">
      <c r="A11" t="inlineStr">
        <is>
          <t>A 61718-2022</t>
        </is>
      </c>
      <c r="B11" s="1" t="n">
        <v>44917</v>
      </c>
      <c r="C11" s="1" t="n">
        <v>45224</v>
      </c>
      <c r="D11" t="inlineStr">
        <is>
          <t>STOCKHOLMS LÄN</t>
        </is>
      </c>
      <c r="E11" t="inlineStr">
        <is>
          <t>ÖSTERÅKER</t>
        </is>
      </c>
      <c r="G11" t="n">
        <v>9.800000000000001</v>
      </c>
      <c r="H11" t="n">
        <v>2</v>
      </c>
      <c r="I11" t="n">
        <v>13</v>
      </c>
      <c r="J11" t="n">
        <v>6</v>
      </c>
      <c r="K11" t="n">
        <v>1</v>
      </c>
      <c r="L11" t="n">
        <v>0</v>
      </c>
      <c r="M11" t="n">
        <v>0</v>
      </c>
      <c r="N11" t="n">
        <v>0</v>
      </c>
      <c r="O11" t="n">
        <v>7</v>
      </c>
      <c r="P11" t="n">
        <v>1</v>
      </c>
      <c r="Q11" t="n">
        <v>21</v>
      </c>
      <c r="R11" s="2" t="inlineStr">
        <is>
          <t>Raggbock
Brunpudrad nållav
Grön aspvedbock
Spillkråka
Tallticka
Ullticka
Vedskivlav
Björksplintborre
Blåmossa
Bronshjon
Granbarkgnagare
Mindre märgborre
Mörk husmossa
Skuggblåslav
Stekelbock
Stor aspticka
Stubbspretmossa
Tibast
Vedticka
Vågbandad barkbock
Fläcknycklar</t>
        </is>
      </c>
      <c r="S11">
        <f>HYPERLINK("https://klasma.github.io/Logging_0117/artfynd/A 61718-2022 artfynd.xlsx", "A 61718-2022")</f>
        <v/>
      </c>
      <c r="T11">
        <f>HYPERLINK("https://klasma.github.io/Logging_0117/kartor/A 61718-2022 karta.png", "A 61718-2022")</f>
        <v/>
      </c>
      <c r="V11">
        <f>HYPERLINK("https://klasma.github.io/Logging_0117/klagomål/A 61718-2022 FSC-klagomål.docx", "A 61718-2022")</f>
        <v/>
      </c>
      <c r="W11">
        <f>HYPERLINK("https://klasma.github.io/Logging_0117/klagomålsmail/A 61718-2022 FSC-klagomål mail.docx", "A 61718-2022")</f>
        <v/>
      </c>
      <c r="X11">
        <f>HYPERLINK("https://klasma.github.io/Logging_0117/tillsyn/A 61718-2022 tillsynsbegäran.docx", "A 61718-2022")</f>
        <v/>
      </c>
      <c r="Y11">
        <f>HYPERLINK("https://klasma.github.io/Logging_0117/tillsynsmail/A 61718-2022 tillsynsbegäran mail.docx", "A 61718-2022")</f>
        <v/>
      </c>
    </row>
    <row r="12" ht="15" customHeight="1">
      <c r="A12" t="inlineStr">
        <is>
          <t>A 11828-2019</t>
        </is>
      </c>
      <c r="B12" s="1" t="n">
        <v>43521</v>
      </c>
      <c r="C12" s="1" t="n">
        <v>45224</v>
      </c>
      <c r="D12" t="inlineStr">
        <is>
          <t>STOCKHOLMS LÄN</t>
        </is>
      </c>
      <c r="E12" t="inlineStr">
        <is>
          <t>NORRTÄLJE</t>
        </is>
      </c>
      <c r="G12" t="n">
        <v>19.9</v>
      </c>
      <c r="H12" t="n">
        <v>2</v>
      </c>
      <c r="I12" t="n">
        <v>13</v>
      </c>
      <c r="J12" t="n">
        <v>6</v>
      </c>
      <c r="K12" t="n">
        <v>0</v>
      </c>
      <c r="L12" t="n">
        <v>0</v>
      </c>
      <c r="M12" t="n">
        <v>0</v>
      </c>
      <c r="N12" t="n">
        <v>0</v>
      </c>
      <c r="O12" t="n">
        <v>6</v>
      </c>
      <c r="P12" t="n">
        <v>0</v>
      </c>
      <c r="Q12" t="n">
        <v>20</v>
      </c>
      <c r="R12" s="2" t="inlineStr">
        <is>
          <t>Flattoppad klubbsvamp
Grantaggsvamp
Granticka
Orange taggsvamp
Tallticka
Ullticka
Bronshjon
Dvärgtufs
Fjällig taggsvamp s.str.
Fällmossa
Granbarkgnagare
Grön sköldmossa
Grönpyrola
Jättesvampmal
Platt fjädermossa
Rödgul trumpetsvamp
Skarp dropptaggsvamp
Stor aspticka
Svart trolldruva
Blåsippa</t>
        </is>
      </c>
      <c r="S12">
        <f>HYPERLINK("https://klasma.github.io/Logging_0188/artfynd/A 11828-2019 artfynd.xlsx", "A 11828-2019")</f>
        <v/>
      </c>
      <c r="T12">
        <f>HYPERLINK("https://klasma.github.io/Logging_0188/kartor/A 11828-2019 karta.png", "A 11828-2019")</f>
        <v/>
      </c>
      <c r="V12">
        <f>HYPERLINK("https://klasma.github.io/Logging_0188/klagomål/A 11828-2019 FSC-klagomål.docx", "A 11828-2019")</f>
        <v/>
      </c>
      <c r="W12">
        <f>HYPERLINK("https://klasma.github.io/Logging_0188/klagomålsmail/A 11828-2019 FSC-klagomål mail.docx", "A 11828-2019")</f>
        <v/>
      </c>
      <c r="X12">
        <f>HYPERLINK("https://klasma.github.io/Logging_0188/tillsyn/A 11828-2019 tillsynsbegäran.docx", "A 11828-2019")</f>
        <v/>
      </c>
      <c r="Y12">
        <f>HYPERLINK("https://klasma.github.io/Logging_0188/tillsynsmail/A 11828-2019 tillsynsbegäran mail.docx", "A 11828-2019")</f>
        <v/>
      </c>
    </row>
    <row r="13" ht="15" customHeight="1">
      <c r="A13" t="inlineStr">
        <is>
          <t>A 32254-2020</t>
        </is>
      </c>
      <c r="B13" s="1" t="n">
        <v>44015</v>
      </c>
      <c r="C13" s="1" t="n">
        <v>45224</v>
      </c>
      <c r="D13" t="inlineStr">
        <is>
          <t>STOCKHOLMS LÄN</t>
        </is>
      </c>
      <c r="E13" t="inlineStr">
        <is>
          <t>NORRTÄLJE</t>
        </is>
      </c>
      <c r="G13" t="n">
        <v>32</v>
      </c>
      <c r="H13" t="n">
        <v>4</v>
      </c>
      <c r="I13" t="n">
        <v>9</v>
      </c>
      <c r="J13" t="n">
        <v>5</v>
      </c>
      <c r="K13" t="n">
        <v>4</v>
      </c>
      <c r="L13" t="n">
        <v>0</v>
      </c>
      <c r="M13" t="n">
        <v>0</v>
      </c>
      <c r="N13" t="n">
        <v>0</v>
      </c>
      <c r="O13" t="n">
        <v>9</v>
      </c>
      <c r="P13" t="n">
        <v>4</v>
      </c>
      <c r="Q13" t="n">
        <v>20</v>
      </c>
      <c r="R13" s="2" t="inlineStr">
        <is>
          <t>Brödtaggsvamp
Grangråticka
Koppartaggsvamp
Violgubbe
Druvfingersvamp
Flattoppad klubbsvamp
Granticka
Kandelabersvamp
Orange taggsvamp
Brandticka
Grön sköldmossa
Guldkremla
Skarp dropptaggsvamp
Skinnlav
Skogsknipprot
Svart trolldruva
Tibast
Trådticka
Vanlig padda
Blåsippa</t>
        </is>
      </c>
      <c r="S13">
        <f>HYPERLINK("https://klasma.github.io/Logging_0188/artfynd/A 32254-2020 artfynd.xlsx", "A 32254-2020")</f>
        <v/>
      </c>
      <c r="T13">
        <f>HYPERLINK("https://klasma.github.io/Logging_0188/kartor/A 32254-2020 karta.png", "A 32254-2020")</f>
        <v/>
      </c>
      <c r="V13">
        <f>HYPERLINK("https://klasma.github.io/Logging_0188/klagomål/A 32254-2020 FSC-klagomål.docx", "A 32254-2020")</f>
        <v/>
      </c>
      <c r="W13">
        <f>HYPERLINK("https://klasma.github.io/Logging_0188/klagomålsmail/A 32254-2020 FSC-klagomål mail.docx", "A 32254-2020")</f>
        <v/>
      </c>
      <c r="X13">
        <f>HYPERLINK("https://klasma.github.io/Logging_0188/tillsyn/A 32254-2020 tillsynsbegäran.docx", "A 32254-2020")</f>
        <v/>
      </c>
      <c r="Y13">
        <f>HYPERLINK("https://klasma.github.io/Logging_0188/tillsynsmail/A 32254-2020 tillsynsbegäran mail.docx", "A 32254-2020")</f>
        <v/>
      </c>
    </row>
    <row r="14" ht="15" customHeight="1">
      <c r="A14" t="inlineStr">
        <is>
          <t>A 17731-2019</t>
        </is>
      </c>
      <c r="B14" s="1" t="n">
        <v>43556</v>
      </c>
      <c r="C14" s="1" t="n">
        <v>45224</v>
      </c>
      <c r="D14" t="inlineStr">
        <is>
          <t>STOCKHOLMS LÄN</t>
        </is>
      </c>
      <c r="E14" t="inlineStr">
        <is>
          <t>NORRTÄLJE</t>
        </is>
      </c>
      <c r="G14" t="n">
        <v>3</v>
      </c>
      <c r="H14" t="n">
        <v>4</v>
      </c>
      <c r="I14" t="n">
        <v>11</v>
      </c>
      <c r="J14" t="n">
        <v>2</v>
      </c>
      <c r="K14" t="n">
        <v>1</v>
      </c>
      <c r="L14" t="n">
        <v>3</v>
      </c>
      <c r="M14" t="n">
        <v>0</v>
      </c>
      <c r="N14" t="n">
        <v>0</v>
      </c>
      <c r="O14" t="n">
        <v>6</v>
      </c>
      <c r="P14" t="n">
        <v>4</v>
      </c>
      <c r="Q14" t="n">
        <v>18</v>
      </c>
      <c r="R14" s="2" t="inlineStr">
        <is>
          <t>Ask
Raggtaggsvamp
Ädellav
Knärot
Kalkkärrsgrynsnäcka
Lunglav
Fjällig taggsvamp s.str.
Grönpyrola
Kattfotslav
Nästrot
Skarp dropptaggsvamp
Skogsknipprot
Svart trolldruva
Svavelriska
Sårläka
Tibast
Underviol
Fläcknycklar</t>
        </is>
      </c>
      <c r="S14">
        <f>HYPERLINK("https://klasma.github.io/Logging_0188/artfynd/A 17731-2019 artfynd.xlsx", "A 17731-2019")</f>
        <v/>
      </c>
      <c r="T14">
        <f>HYPERLINK("https://klasma.github.io/Logging_0188/kartor/A 17731-2019 karta.png", "A 17731-2019")</f>
        <v/>
      </c>
      <c r="U14">
        <f>HYPERLINK("https://klasma.github.io/Logging_0188/knärot/A 17731-2019 karta knärot.png", "A 17731-2019")</f>
        <v/>
      </c>
      <c r="V14">
        <f>HYPERLINK("https://klasma.github.io/Logging_0188/klagomål/A 17731-2019 FSC-klagomål.docx", "A 17731-2019")</f>
        <v/>
      </c>
      <c r="W14">
        <f>HYPERLINK("https://klasma.github.io/Logging_0188/klagomålsmail/A 17731-2019 FSC-klagomål mail.docx", "A 17731-2019")</f>
        <v/>
      </c>
      <c r="X14">
        <f>HYPERLINK("https://klasma.github.io/Logging_0188/tillsyn/A 17731-2019 tillsynsbegäran.docx", "A 17731-2019")</f>
        <v/>
      </c>
      <c r="Y14">
        <f>HYPERLINK("https://klasma.github.io/Logging_0188/tillsynsmail/A 17731-2019 tillsynsbegäran mail.docx", "A 17731-2019")</f>
        <v/>
      </c>
    </row>
    <row r="15" ht="15" customHeight="1">
      <c r="A15" t="inlineStr">
        <is>
          <t>A 67868-2021</t>
        </is>
      </c>
      <c r="B15" s="1" t="n">
        <v>44525</v>
      </c>
      <c r="C15" s="1" t="n">
        <v>45224</v>
      </c>
      <c r="D15" t="inlineStr">
        <is>
          <t>STOCKHOLMS LÄN</t>
        </is>
      </c>
      <c r="E15" t="inlineStr">
        <is>
          <t>HANINGE</t>
        </is>
      </c>
      <c r="G15" t="n">
        <v>8.800000000000001</v>
      </c>
      <c r="H15" t="n">
        <v>4</v>
      </c>
      <c r="I15" t="n">
        <v>12</v>
      </c>
      <c r="J15" t="n">
        <v>4</v>
      </c>
      <c r="K15" t="n">
        <v>0</v>
      </c>
      <c r="L15" t="n">
        <v>0</v>
      </c>
      <c r="M15" t="n">
        <v>0</v>
      </c>
      <c r="N15" t="n">
        <v>0</v>
      </c>
      <c r="O15" t="n">
        <v>4</v>
      </c>
      <c r="P15" t="n">
        <v>0</v>
      </c>
      <c r="Q15" t="n">
        <v>18</v>
      </c>
      <c r="R15" s="2" t="inlineStr">
        <is>
          <t>Gränsticka
Spillkråka
Tallticka
Vedskivlav
Björksplintborre
Blåmossa
Bronshjon
Flagellkvastmossa
Granbarkgnagare
Grön sköldmossa
Kornknutmossa
Mindre märgborre
Platt fjädermossa
Scharlakansvårskål agg.
Stubbspretmossa
Sårläka
Blåsippa
Revlummer</t>
        </is>
      </c>
      <c r="S15">
        <f>HYPERLINK("https://klasma.github.io/Logging_0136/artfynd/A 67868-2021 artfynd.xlsx", "A 67868-2021")</f>
        <v/>
      </c>
      <c r="T15">
        <f>HYPERLINK("https://klasma.github.io/Logging_0136/kartor/A 67868-2021 karta.png", "A 67868-2021")</f>
        <v/>
      </c>
      <c r="V15">
        <f>HYPERLINK("https://klasma.github.io/Logging_0136/klagomål/A 67868-2021 FSC-klagomål.docx", "A 67868-2021")</f>
        <v/>
      </c>
      <c r="W15">
        <f>HYPERLINK("https://klasma.github.io/Logging_0136/klagomålsmail/A 67868-2021 FSC-klagomål mail.docx", "A 67868-2021")</f>
        <v/>
      </c>
      <c r="X15">
        <f>HYPERLINK("https://klasma.github.io/Logging_0136/tillsyn/A 67868-2021 tillsynsbegäran.docx", "A 67868-2021")</f>
        <v/>
      </c>
      <c r="Y15">
        <f>HYPERLINK("https://klasma.github.io/Logging_0136/tillsynsmail/A 67868-2021 tillsynsbegäran mail.docx", "A 67868-2021")</f>
        <v/>
      </c>
    </row>
    <row r="16" ht="15" customHeight="1">
      <c r="A16" t="inlineStr">
        <is>
          <t>A 67894-2021</t>
        </is>
      </c>
      <c r="B16" s="1" t="n">
        <v>44525</v>
      </c>
      <c r="C16" s="1" t="n">
        <v>45224</v>
      </c>
      <c r="D16" t="inlineStr">
        <is>
          <t>STOCKHOLMS LÄN</t>
        </is>
      </c>
      <c r="E16" t="inlineStr">
        <is>
          <t>HANINGE</t>
        </is>
      </c>
      <c r="G16" t="n">
        <v>5.1</v>
      </c>
      <c r="H16" t="n">
        <v>3</v>
      </c>
      <c r="I16" t="n">
        <v>9</v>
      </c>
      <c r="J16" t="n">
        <v>9</v>
      </c>
      <c r="K16" t="n">
        <v>0</v>
      </c>
      <c r="L16" t="n">
        <v>0</v>
      </c>
      <c r="M16" t="n">
        <v>0</v>
      </c>
      <c r="N16" t="n">
        <v>0</v>
      </c>
      <c r="O16" t="n">
        <v>9</v>
      </c>
      <c r="P16" t="n">
        <v>0</v>
      </c>
      <c r="Q16" t="n">
        <v>18</v>
      </c>
      <c r="R16" s="2" t="inlineStr">
        <is>
          <t>Grönhjon
Kortskaftad ärgspik
Motaggsvamp
Reliktbock
Spillkråka
Svartvit taggsvamp
Tallticka
Talltita
Ullticka
Björksplintborre
Blåmossa
Bronshjon
Granbarkgnagare
Grovticka
Grön sköldmossa
Kornknutmossa
Stor revmossa
Stubbspretmossa</t>
        </is>
      </c>
      <c r="S16">
        <f>HYPERLINK("https://klasma.github.io/Logging_0136/artfynd/A 67894-2021 artfynd.xlsx", "A 67894-2021")</f>
        <v/>
      </c>
      <c r="T16">
        <f>HYPERLINK("https://klasma.github.io/Logging_0136/kartor/A 67894-2021 karta.png", "A 67894-2021")</f>
        <v/>
      </c>
      <c r="V16">
        <f>HYPERLINK("https://klasma.github.io/Logging_0136/klagomål/A 67894-2021 FSC-klagomål.docx", "A 67894-2021")</f>
        <v/>
      </c>
      <c r="W16">
        <f>HYPERLINK("https://klasma.github.io/Logging_0136/klagomålsmail/A 67894-2021 FSC-klagomål mail.docx", "A 67894-2021")</f>
        <v/>
      </c>
      <c r="X16">
        <f>HYPERLINK("https://klasma.github.io/Logging_0136/tillsyn/A 67894-2021 tillsynsbegäran.docx", "A 67894-2021")</f>
        <v/>
      </c>
      <c r="Y16">
        <f>HYPERLINK("https://klasma.github.io/Logging_0136/tillsynsmail/A 67894-2021 tillsynsbegäran mail.docx", "A 67894-2021")</f>
        <v/>
      </c>
    </row>
    <row r="17" ht="15" customHeight="1">
      <c r="A17" t="inlineStr">
        <is>
          <t>A 66380-2021</t>
        </is>
      </c>
      <c r="B17" s="1" t="n">
        <v>44518</v>
      </c>
      <c r="C17" s="1" t="n">
        <v>45224</v>
      </c>
      <c r="D17" t="inlineStr">
        <is>
          <t>STOCKHOLMS LÄN</t>
        </is>
      </c>
      <c r="E17" t="inlineStr">
        <is>
          <t>HANINGE</t>
        </is>
      </c>
      <c r="G17" t="n">
        <v>10.3</v>
      </c>
      <c r="H17" t="n">
        <v>4</v>
      </c>
      <c r="I17" t="n">
        <v>9</v>
      </c>
      <c r="J17" t="n">
        <v>5</v>
      </c>
      <c r="K17" t="n">
        <v>1</v>
      </c>
      <c r="L17" t="n">
        <v>1</v>
      </c>
      <c r="M17" t="n">
        <v>0</v>
      </c>
      <c r="N17" t="n">
        <v>0</v>
      </c>
      <c r="O17" t="n">
        <v>7</v>
      </c>
      <c r="P17" t="n">
        <v>2</v>
      </c>
      <c r="Q17" t="n">
        <v>17</v>
      </c>
      <c r="R17" s="2" t="inlineStr">
        <is>
          <t>Ryl
Knärot
Motaggsvamp
Spillkråka
Tallticka
Ullticka
Vedskivlav
Blåmossa
Bronshjon
Fällmossa
Grön sköldmossa
Guldlockmossa
Jättesvampmal
Sårläka
Thomsons trägnagare
Vågbandad barkbock
Lopplummer</t>
        </is>
      </c>
      <c r="S17">
        <f>HYPERLINK("https://klasma.github.io/Logging_0136/artfynd/A 66380-2021 artfynd.xlsx", "A 66380-2021")</f>
        <v/>
      </c>
      <c r="T17">
        <f>HYPERLINK("https://klasma.github.io/Logging_0136/kartor/A 66380-2021 karta.png", "A 66380-2021")</f>
        <v/>
      </c>
      <c r="U17">
        <f>HYPERLINK("https://klasma.github.io/Logging_0136/knärot/A 66380-2021 karta knärot.png", "A 66380-2021")</f>
        <v/>
      </c>
      <c r="V17">
        <f>HYPERLINK("https://klasma.github.io/Logging_0136/klagomål/A 66380-2021 FSC-klagomål.docx", "A 66380-2021")</f>
        <v/>
      </c>
      <c r="W17">
        <f>HYPERLINK("https://klasma.github.io/Logging_0136/klagomålsmail/A 66380-2021 FSC-klagomål mail.docx", "A 66380-2021")</f>
        <v/>
      </c>
      <c r="X17">
        <f>HYPERLINK("https://klasma.github.io/Logging_0136/tillsyn/A 66380-2021 tillsynsbegäran.docx", "A 66380-2021")</f>
        <v/>
      </c>
      <c r="Y17">
        <f>HYPERLINK("https://klasma.github.io/Logging_0136/tillsynsmail/A 66380-2021 tillsynsbegäran mail.docx", "A 66380-2021")</f>
        <v/>
      </c>
    </row>
    <row r="18" ht="15" customHeight="1">
      <c r="A18" t="inlineStr">
        <is>
          <t>A 21853-2022</t>
        </is>
      </c>
      <c r="B18" s="1" t="n">
        <v>44709</v>
      </c>
      <c r="C18" s="1" t="n">
        <v>45224</v>
      </c>
      <c r="D18" t="inlineStr">
        <is>
          <t>STOCKHOLMS LÄN</t>
        </is>
      </c>
      <c r="E18" t="inlineStr">
        <is>
          <t>NACKA</t>
        </is>
      </c>
      <c r="G18" t="n">
        <v>9.300000000000001</v>
      </c>
      <c r="H18" t="n">
        <v>3</v>
      </c>
      <c r="I18" t="n">
        <v>8</v>
      </c>
      <c r="J18" t="n">
        <v>5</v>
      </c>
      <c r="K18" t="n">
        <v>2</v>
      </c>
      <c r="L18" t="n">
        <v>0</v>
      </c>
      <c r="M18" t="n">
        <v>0</v>
      </c>
      <c r="N18" t="n">
        <v>0</v>
      </c>
      <c r="O18" t="n">
        <v>7</v>
      </c>
      <c r="P18" t="n">
        <v>2</v>
      </c>
      <c r="Q18" t="n">
        <v>17</v>
      </c>
      <c r="R18" s="2" t="inlineStr">
        <is>
          <t>Goliatmusseron
Lakritsmusseron
Blå taggsvamp
Spillkråka
Svart taggsvamp
Svartvit taggsvamp
Tallticka
Björksplintborre
Blåmossa
Bronshjon
Dropptaggsvamp
Granbarkgnagare
Grovticka
Mindre märgborre
Skarp dropptaggsvamp
Fläcknycklar
Revlummer</t>
        </is>
      </c>
      <c r="S18">
        <f>HYPERLINK("https://klasma.github.io/Logging_0182/artfynd/A 21853-2022 artfynd.xlsx", "A 21853-2022")</f>
        <v/>
      </c>
      <c r="T18">
        <f>HYPERLINK("https://klasma.github.io/Logging_0182/kartor/A 21853-2022 karta.png", "A 21853-2022")</f>
        <v/>
      </c>
      <c r="V18">
        <f>HYPERLINK("https://klasma.github.io/Logging_0182/klagomål/A 21853-2022 FSC-klagomål.docx", "A 21853-2022")</f>
        <v/>
      </c>
      <c r="W18">
        <f>HYPERLINK("https://klasma.github.io/Logging_0182/klagomålsmail/A 21853-2022 FSC-klagomål mail.docx", "A 21853-2022")</f>
        <v/>
      </c>
      <c r="X18">
        <f>HYPERLINK("https://klasma.github.io/Logging_0182/tillsyn/A 21853-2022 tillsynsbegäran.docx", "A 21853-2022")</f>
        <v/>
      </c>
      <c r="Y18">
        <f>HYPERLINK("https://klasma.github.io/Logging_0182/tillsynsmail/A 21853-2022 tillsynsbegäran mail.docx", "A 21853-2022")</f>
        <v/>
      </c>
    </row>
    <row r="19" ht="15" customHeight="1">
      <c r="A19" t="inlineStr">
        <is>
          <t>A 33062-2023</t>
        </is>
      </c>
      <c r="B19" s="1" t="n">
        <v>45113</v>
      </c>
      <c r="C19" s="1" t="n">
        <v>45224</v>
      </c>
      <c r="D19" t="inlineStr">
        <is>
          <t>STOCKHOLMS LÄN</t>
        </is>
      </c>
      <c r="E19" t="inlineStr">
        <is>
          <t>UPPLANDS VÄSBY</t>
        </is>
      </c>
      <c r="G19" t="n">
        <v>3.9</v>
      </c>
      <c r="H19" t="n">
        <v>2</v>
      </c>
      <c r="I19" t="n">
        <v>5</v>
      </c>
      <c r="J19" t="n">
        <v>9</v>
      </c>
      <c r="K19" t="n">
        <v>2</v>
      </c>
      <c r="L19" t="n">
        <v>0</v>
      </c>
      <c r="M19" t="n">
        <v>0</v>
      </c>
      <c r="N19" t="n">
        <v>0</v>
      </c>
      <c r="O19" t="n">
        <v>11</v>
      </c>
      <c r="P19" t="n">
        <v>2</v>
      </c>
      <c r="Q19" t="n">
        <v>17</v>
      </c>
      <c r="R19" s="2" t="inlineStr">
        <is>
          <t>Grangråticka
Koppartaggsvamp
Barrviolspindling
Blå taggsvamp
Flattoppad klubbsvamp
Kandelabersvamp
Orange taggsvamp
Rosenticka
Svart taggsvamp
Svartvit taggsvamp
Ullticka
Dropptaggsvamp
Fjällig taggsvamp s.str.
Grön sköldmossa
Grönpyrola
Svavelriska
Blåsippa</t>
        </is>
      </c>
      <c r="S19">
        <f>HYPERLINK("https://klasma.github.io/Logging_0114/artfynd/A 33062-2023 artfynd.xlsx", "A 33062-2023")</f>
        <v/>
      </c>
      <c r="T19">
        <f>HYPERLINK("https://klasma.github.io/Logging_0114/kartor/A 33062-2023 karta.png", "A 33062-2023")</f>
        <v/>
      </c>
      <c r="V19">
        <f>HYPERLINK("https://klasma.github.io/Logging_0114/klagomål/A 33062-2023 FSC-klagomål.docx", "A 33062-2023")</f>
        <v/>
      </c>
      <c r="W19">
        <f>HYPERLINK("https://klasma.github.io/Logging_0114/klagomålsmail/A 33062-2023 FSC-klagomål mail.docx", "A 33062-2023")</f>
        <v/>
      </c>
      <c r="X19">
        <f>HYPERLINK("https://klasma.github.io/Logging_0114/tillsyn/A 33062-2023 tillsynsbegäran.docx", "A 33062-2023")</f>
        <v/>
      </c>
      <c r="Y19">
        <f>HYPERLINK("https://klasma.github.io/Logging_0114/tillsynsmail/A 33062-2023 tillsynsbegäran mail.docx", "A 33062-2023")</f>
        <v/>
      </c>
    </row>
    <row r="20" ht="15" customHeight="1">
      <c r="A20" t="inlineStr">
        <is>
          <t>A 2663-2019</t>
        </is>
      </c>
      <c r="B20" s="1" t="n">
        <v>43478</v>
      </c>
      <c r="C20" s="1" t="n">
        <v>45224</v>
      </c>
      <c r="D20" t="inlineStr">
        <is>
          <t>STOCKHOLMS LÄN</t>
        </is>
      </c>
      <c r="E20" t="inlineStr">
        <is>
          <t>NORRTÄLJE</t>
        </is>
      </c>
      <c r="G20" t="n">
        <v>21.2</v>
      </c>
      <c r="H20" t="n">
        <v>3</v>
      </c>
      <c r="I20" t="n">
        <v>7</v>
      </c>
      <c r="J20" t="n">
        <v>5</v>
      </c>
      <c r="K20" t="n">
        <v>3</v>
      </c>
      <c r="L20" t="n">
        <v>0</v>
      </c>
      <c r="M20" t="n">
        <v>0</v>
      </c>
      <c r="N20" t="n">
        <v>0</v>
      </c>
      <c r="O20" t="n">
        <v>8</v>
      </c>
      <c r="P20" t="n">
        <v>3</v>
      </c>
      <c r="Q20" t="n">
        <v>16</v>
      </c>
      <c r="R20" s="2" t="inlineStr">
        <is>
          <t>Knärot
Koppartaggsvamp
Rynkskinn
Motaggsvamp
Orange taggsvamp
Tallticka
Ullticka
Vedtrappmossa
Bronshjon
Grovticka
Grönpyrola
Nästrot
Rödgul trumpetsvamp
Skarp dropptaggsvamp
Svart trolldruva
Blåsippa</t>
        </is>
      </c>
      <c r="S20">
        <f>HYPERLINK("https://klasma.github.io/Logging_0188/artfynd/A 2663-2019 artfynd.xlsx", "A 2663-2019")</f>
        <v/>
      </c>
      <c r="T20">
        <f>HYPERLINK("https://klasma.github.io/Logging_0188/kartor/A 2663-2019 karta.png", "A 2663-2019")</f>
        <v/>
      </c>
      <c r="U20">
        <f>HYPERLINK("https://klasma.github.io/Logging_0188/knärot/A 2663-2019 karta knärot.png", "A 2663-2019")</f>
        <v/>
      </c>
      <c r="V20">
        <f>HYPERLINK("https://klasma.github.io/Logging_0188/klagomål/A 2663-2019 FSC-klagomål.docx", "A 2663-2019")</f>
        <v/>
      </c>
      <c r="W20">
        <f>HYPERLINK("https://klasma.github.io/Logging_0188/klagomålsmail/A 2663-2019 FSC-klagomål mail.docx", "A 2663-2019")</f>
        <v/>
      </c>
      <c r="X20">
        <f>HYPERLINK("https://klasma.github.io/Logging_0188/tillsyn/A 2663-2019 tillsynsbegäran.docx", "A 2663-2019")</f>
        <v/>
      </c>
      <c r="Y20">
        <f>HYPERLINK("https://klasma.github.io/Logging_0188/tillsynsmail/A 2663-2019 tillsynsbegäran mail.docx", "A 2663-2019")</f>
        <v/>
      </c>
    </row>
    <row r="21" ht="15" customHeight="1">
      <c r="A21" t="inlineStr">
        <is>
          <t>A 10099-2019</t>
        </is>
      </c>
      <c r="B21" s="1" t="n">
        <v>43509</v>
      </c>
      <c r="C21" s="1" t="n">
        <v>45224</v>
      </c>
      <c r="D21" t="inlineStr">
        <is>
          <t>STOCKHOLMS LÄN</t>
        </is>
      </c>
      <c r="E21" t="inlineStr">
        <is>
          <t>NORRTÄLJE</t>
        </is>
      </c>
      <c r="G21" t="n">
        <v>6</v>
      </c>
      <c r="H21" t="n">
        <v>0</v>
      </c>
      <c r="I21" t="n">
        <v>6</v>
      </c>
      <c r="J21" t="n">
        <v>7</v>
      </c>
      <c r="K21" t="n">
        <v>2</v>
      </c>
      <c r="L21" t="n">
        <v>1</v>
      </c>
      <c r="M21" t="n">
        <v>0</v>
      </c>
      <c r="N21" t="n">
        <v>0</v>
      </c>
      <c r="O21" t="n">
        <v>10</v>
      </c>
      <c r="P21" t="n">
        <v>3</v>
      </c>
      <c r="Q21" t="n">
        <v>16</v>
      </c>
      <c r="R21" s="2" t="inlineStr">
        <is>
          <t>Raggtaggsvamp
Grangråticka
Koppartaggsvamp
Barrviolspindling
Blek fingersvamp
Granticka
Gul taggsvamp
Motaggsvamp
Odörspindling
Orange taggsvamp
Anisspindling
Bronshjon
Dropptaggsvamp
Fjällig taggsvamp s.str.
Grönpyrola
Skarp dropptaggsvamp</t>
        </is>
      </c>
      <c r="S21">
        <f>HYPERLINK("https://klasma.github.io/Logging_0188/artfynd/A 10099-2019 artfynd.xlsx", "A 10099-2019")</f>
        <v/>
      </c>
      <c r="T21">
        <f>HYPERLINK("https://klasma.github.io/Logging_0188/kartor/A 10099-2019 karta.png", "A 10099-2019")</f>
        <v/>
      </c>
      <c r="V21">
        <f>HYPERLINK("https://klasma.github.io/Logging_0188/klagomål/A 10099-2019 FSC-klagomål.docx", "A 10099-2019")</f>
        <v/>
      </c>
      <c r="W21">
        <f>HYPERLINK("https://klasma.github.io/Logging_0188/klagomålsmail/A 10099-2019 FSC-klagomål mail.docx", "A 10099-2019")</f>
        <v/>
      </c>
      <c r="X21">
        <f>HYPERLINK("https://klasma.github.io/Logging_0188/tillsyn/A 10099-2019 tillsynsbegäran.docx", "A 10099-2019")</f>
        <v/>
      </c>
      <c r="Y21">
        <f>HYPERLINK("https://klasma.github.io/Logging_0188/tillsynsmail/A 10099-2019 tillsynsbegäran mail.docx", "A 10099-2019")</f>
        <v/>
      </c>
    </row>
    <row r="22" ht="15" customHeight="1">
      <c r="A22" t="inlineStr">
        <is>
          <t>A 59863-2022</t>
        </is>
      </c>
      <c r="B22" s="1" t="n">
        <v>44901</v>
      </c>
      <c r="C22" s="1" t="n">
        <v>45224</v>
      </c>
      <c r="D22" t="inlineStr">
        <is>
          <t>STOCKHOLMS LÄN</t>
        </is>
      </c>
      <c r="E22" t="inlineStr">
        <is>
          <t>SÖDERTÄLJE</t>
        </is>
      </c>
      <c r="F22" t="inlineStr">
        <is>
          <t>Kommuner</t>
        </is>
      </c>
      <c r="G22" t="n">
        <v>15</v>
      </c>
      <c r="H22" t="n">
        <v>0</v>
      </c>
      <c r="I22" t="n">
        <v>6</v>
      </c>
      <c r="J22" t="n">
        <v>7</v>
      </c>
      <c r="K22" t="n">
        <v>3</v>
      </c>
      <c r="L22" t="n">
        <v>0</v>
      </c>
      <c r="M22" t="n">
        <v>0</v>
      </c>
      <c r="N22" t="n">
        <v>0</v>
      </c>
      <c r="O22" t="n">
        <v>10</v>
      </c>
      <c r="P22" t="n">
        <v>3</v>
      </c>
      <c r="Q22" t="n">
        <v>16</v>
      </c>
      <c r="R22" s="2" t="inlineStr">
        <is>
          <t>Grangråticka
Spricktaggsvamp
Vågticka
Dofttaggsvamp
Grantaggsvamp
Gul taggsvamp
Motaggsvamp
Orange taggsvamp
Svartvit taggsvamp
Tallriska
Blåmossa
Brandticka
Diskvaxskivling
Fjällig taggsvamp s.str.
Skarp dropptaggsvamp
Tjockfotad fingersvamp</t>
        </is>
      </c>
      <c r="S22">
        <f>HYPERLINK("https://klasma.github.io/Logging_0181/artfynd/A 59863-2022 artfynd.xlsx", "A 59863-2022")</f>
        <v/>
      </c>
      <c r="T22">
        <f>HYPERLINK("https://klasma.github.io/Logging_0181/kartor/A 59863-2022 karta.png", "A 59863-2022")</f>
        <v/>
      </c>
      <c r="V22">
        <f>HYPERLINK("https://klasma.github.io/Logging_0181/klagomål/A 59863-2022 FSC-klagomål.docx", "A 59863-2022")</f>
        <v/>
      </c>
      <c r="W22">
        <f>HYPERLINK("https://klasma.github.io/Logging_0181/klagomålsmail/A 59863-2022 FSC-klagomål mail.docx", "A 59863-2022")</f>
        <v/>
      </c>
      <c r="X22">
        <f>HYPERLINK("https://klasma.github.io/Logging_0181/tillsyn/A 59863-2022 tillsynsbegäran.docx", "A 59863-2022")</f>
        <v/>
      </c>
      <c r="Y22">
        <f>HYPERLINK("https://klasma.github.io/Logging_0181/tillsynsmail/A 59863-2022 tillsynsbegäran mail.docx", "A 59863-2022")</f>
        <v/>
      </c>
    </row>
    <row r="23" ht="15" customHeight="1">
      <c r="A23" t="inlineStr">
        <is>
          <t>A 34417-2023</t>
        </is>
      </c>
      <c r="B23" s="1" t="n">
        <v>45139</v>
      </c>
      <c r="C23" s="1" t="n">
        <v>45224</v>
      </c>
      <c r="D23" t="inlineStr">
        <is>
          <t>STOCKHOLMS LÄN</t>
        </is>
      </c>
      <c r="E23" t="inlineStr">
        <is>
          <t>HANINGE</t>
        </is>
      </c>
      <c r="G23" t="n">
        <v>3.8</v>
      </c>
      <c r="H23" t="n">
        <v>4</v>
      </c>
      <c r="I23" t="n">
        <v>11</v>
      </c>
      <c r="J23" t="n">
        <v>3</v>
      </c>
      <c r="K23" t="n">
        <v>0</v>
      </c>
      <c r="L23" t="n">
        <v>0</v>
      </c>
      <c r="M23" t="n">
        <v>0</v>
      </c>
      <c r="N23" t="n">
        <v>0</v>
      </c>
      <c r="O23" t="n">
        <v>3</v>
      </c>
      <c r="P23" t="n">
        <v>0</v>
      </c>
      <c r="Q23" t="n">
        <v>16</v>
      </c>
      <c r="R23" s="2" t="inlineStr">
        <is>
          <t>Barrviolspindling
Spillkråka
Vedtrappmossa
Bronshjon
Dropptaggsvamp
Fällmossa
Grön sköldmossa
Guldlockmossa
Kornknutmossa
Rödgul trumpetsvamp
Stubbspretmossa
Svavelriska
Sårläka
Vågbandad barkbock
Blåsippa
Revlummer</t>
        </is>
      </c>
      <c r="S23">
        <f>HYPERLINK("https://klasma.github.io/Logging_0136/artfynd/A 34417-2023 artfynd.xlsx", "A 34417-2023")</f>
        <v/>
      </c>
      <c r="T23">
        <f>HYPERLINK("https://klasma.github.io/Logging_0136/kartor/A 34417-2023 karta.png", "A 34417-2023")</f>
        <v/>
      </c>
      <c r="V23">
        <f>HYPERLINK("https://klasma.github.io/Logging_0136/klagomål/A 34417-2023 FSC-klagomål.docx", "A 34417-2023")</f>
        <v/>
      </c>
      <c r="W23">
        <f>HYPERLINK("https://klasma.github.io/Logging_0136/klagomålsmail/A 34417-2023 FSC-klagomål mail.docx", "A 34417-2023")</f>
        <v/>
      </c>
      <c r="X23">
        <f>HYPERLINK("https://klasma.github.io/Logging_0136/tillsyn/A 34417-2023 tillsynsbegäran.docx", "A 34417-2023")</f>
        <v/>
      </c>
      <c r="Y23">
        <f>HYPERLINK("https://klasma.github.io/Logging_0136/tillsynsmail/A 34417-2023 tillsynsbegäran mail.docx", "A 34417-2023")</f>
        <v/>
      </c>
    </row>
    <row r="24" ht="15" customHeight="1">
      <c r="A24" t="inlineStr">
        <is>
          <t>A 34890-2018</t>
        </is>
      </c>
      <c r="B24" s="1" t="n">
        <v>43321</v>
      </c>
      <c r="C24" s="1" t="n">
        <v>45224</v>
      </c>
      <c r="D24" t="inlineStr">
        <is>
          <t>STOCKHOLMS LÄN</t>
        </is>
      </c>
      <c r="E24" t="inlineStr">
        <is>
          <t>UPPLANDS-BRO</t>
        </is>
      </c>
      <c r="G24" t="n">
        <v>19.2</v>
      </c>
      <c r="H24" t="n">
        <v>3</v>
      </c>
      <c r="I24" t="n">
        <v>8</v>
      </c>
      <c r="J24" t="n">
        <v>4</v>
      </c>
      <c r="K24" t="n">
        <v>1</v>
      </c>
      <c r="L24" t="n">
        <v>0</v>
      </c>
      <c r="M24" t="n">
        <v>0</v>
      </c>
      <c r="N24" t="n">
        <v>0</v>
      </c>
      <c r="O24" t="n">
        <v>5</v>
      </c>
      <c r="P24" t="n">
        <v>1</v>
      </c>
      <c r="Q24" t="n">
        <v>15</v>
      </c>
      <c r="R24" s="2" t="inlineStr">
        <is>
          <t>Rynkskinn
Motaggsvamp
Såpfingersvamp
Talltita
Ullticka
Blåmossa
Granbarkgnagare
Granbräken
Grönpyrola
Gullgröppa
Skarp dropptaggsvamp
Tallfingersvamp
Zontaggsvamp
Fläcknycklar
Revlummer</t>
        </is>
      </c>
      <c r="S24">
        <f>HYPERLINK("https://klasma.github.io/Logging_0139/artfynd/A 34890-2018 artfynd.xlsx", "A 34890-2018")</f>
        <v/>
      </c>
      <c r="T24">
        <f>HYPERLINK("https://klasma.github.io/Logging_0139/kartor/A 34890-2018 karta.png", "A 34890-2018")</f>
        <v/>
      </c>
      <c r="V24">
        <f>HYPERLINK("https://klasma.github.io/Logging_0139/klagomål/A 34890-2018 FSC-klagomål.docx", "A 34890-2018")</f>
        <v/>
      </c>
      <c r="W24">
        <f>HYPERLINK("https://klasma.github.io/Logging_0139/klagomålsmail/A 34890-2018 FSC-klagomål mail.docx", "A 34890-2018")</f>
        <v/>
      </c>
      <c r="X24">
        <f>HYPERLINK("https://klasma.github.io/Logging_0139/tillsyn/A 34890-2018 tillsynsbegäran.docx", "A 34890-2018")</f>
        <v/>
      </c>
      <c r="Y24">
        <f>HYPERLINK("https://klasma.github.io/Logging_0139/tillsynsmail/A 34890-2018 tillsynsbegäran mail.docx", "A 34890-2018")</f>
        <v/>
      </c>
    </row>
    <row r="25" ht="15" customHeight="1">
      <c r="A25" t="inlineStr">
        <is>
          <t>A 5738-2020</t>
        </is>
      </c>
      <c r="B25" s="1" t="n">
        <v>43863</v>
      </c>
      <c r="C25" s="1" t="n">
        <v>45224</v>
      </c>
      <c r="D25" t="inlineStr">
        <is>
          <t>STOCKHOLMS LÄN</t>
        </is>
      </c>
      <c r="E25" t="inlineStr">
        <is>
          <t>NORRTÄLJE</t>
        </is>
      </c>
      <c r="G25" t="n">
        <v>2</v>
      </c>
      <c r="H25" t="n">
        <v>1</v>
      </c>
      <c r="I25" t="n">
        <v>4</v>
      </c>
      <c r="J25" t="n">
        <v>4</v>
      </c>
      <c r="K25" t="n">
        <v>5</v>
      </c>
      <c r="L25" t="n">
        <v>1</v>
      </c>
      <c r="M25" t="n">
        <v>0</v>
      </c>
      <c r="N25" t="n">
        <v>0</v>
      </c>
      <c r="O25" t="n">
        <v>10</v>
      </c>
      <c r="P25" t="n">
        <v>6</v>
      </c>
      <c r="Q25" t="n">
        <v>15</v>
      </c>
      <c r="R25" s="2" t="inlineStr">
        <is>
          <t>Raggtaggsvamp
Bitter taggsvamp
Grangråticka
Kopparspindling
Koppartaggsvamp
Violgubbe
Odörspindling
Orange taggsvamp
Persiljespindling
Svart taggsvamp
Fjällig taggsvamp s.str.
Granbarkgnagare
Kryddspindling
Skarp dropptaggsvamp
Blåsippa</t>
        </is>
      </c>
      <c r="S25">
        <f>HYPERLINK("https://klasma.github.io/Logging_0188/artfynd/A 5738-2020 artfynd.xlsx", "A 5738-2020")</f>
        <v/>
      </c>
      <c r="T25">
        <f>HYPERLINK("https://klasma.github.io/Logging_0188/kartor/A 5738-2020 karta.png", "A 5738-2020")</f>
        <v/>
      </c>
      <c r="V25">
        <f>HYPERLINK("https://klasma.github.io/Logging_0188/klagomål/A 5738-2020 FSC-klagomål.docx", "A 5738-2020")</f>
        <v/>
      </c>
      <c r="W25">
        <f>HYPERLINK("https://klasma.github.io/Logging_0188/klagomålsmail/A 5738-2020 FSC-klagomål mail.docx", "A 5738-2020")</f>
        <v/>
      </c>
      <c r="X25">
        <f>HYPERLINK("https://klasma.github.io/Logging_0188/tillsyn/A 5738-2020 tillsynsbegäran.docx", "A 5738-2020")</f>
        <v/>
      </c>
      <c r="Y25">
        <f>HYPERLINK("https://klasma.github.io/Logging_0188/tillsynsmail/A 5738-2020 tillsynsbegäran mail.docx", "A 5738-2020")</f>
        <v/>
      </c>
    </row>
    <row r="26" ht="15" customHeight="1">
      <c r="A26" t="inlineStr">
        <is>
          <t>A 20601-2022</t>
        </is>
      </c>
      <c r="B26" s="1" t="n">
        <v>44700</v>
      </c>
      <c r="C26" s="1" t="n">
        <v>45224</v>
      </c>
      <c r="D26" t="inlineStr">
        <is>
          <t>STOCKHOLMS LÄN</t>
        </is>
      </c>
      <c r="E26" t="inlineStr">
        <is>
          <t>UPPLANDS-BRO</t>
        </is>
      </c>
      <c r="G26" t="n">
        <v>3</v>
      </c>
      <c r="H26" t="n">
        <v>12</v>
      </c>
      <c r="I26" t="n">
        <v>0</v>
      </c>
      <c r="J26" t="n">
        <v>10</v>
      </c>
      <c r="K26" t="n">
        <v>1</v>
      </c>
      <c r="L26" t="n">
        <v>2</v>
      </c>
      <c r="M26" t="n">
        <v>0</v>
      </c>
      <c r="N26" t="n">
        <v>0</v>
      </c>
      <c r="O26" t="n">
        <v>13</v>
      </c>
      <c r="P26" t="n">
        <v>3</v>
      </c>
      <c r="Q26" t="n">
        <v>15</v>
      </c>
      <c r="R26" s="2" t="inlineStr">
        <is>
          <t>Grönfink
Tornseglare
Gråtrut
Bredbrämad bastardsvärmare
Entita
Grönsångare
Gulsparv
Kråka
Mindre bastardsvärmare
Mindre hackspett
Sexfläckig bastardsvärmare
Spillkråka
Talltita
Huggorm
Kopparödla</t>
        </is>
      </c>
      <c r="S26">
        <f>HYPERLINK("https://klasma.github.io/Logging_0139/artfynd/A 20601-2022 artfynd.xlsx", "A 20601-2022")</f>
        <v/>
      </c>
      <c r="T26">
        <f>HYPERLINK("https://klasma.github.io/Logging_0139/kartor/A 20601-2022 karta.png", "A 20601-2022")</f>
        <v/>
      </c>
      <c r="V26">
        <f>HYPERLINK("https://klasma.github.io/Logging_0139/klagomål/A 20601-2022 FSC-klagomål.docx", "A 20601-2022")</f>
        <v/>
      </c>
      <c r="W26">
        <f>HYPERLINK("https://klasma.github.io/Logging_0139/klagomålsmail/A 20601-2022 FSC-klagomål mail.docx", "A 20601-2022")</f>
        <v/>
      </c>
      <c r="X26">
        <f>HYPERLINK("https://klasma.github.io/Logging_0139/tillsyn/A 20601-2022 tillsynsbegäran.docx", "A 20601-2022")</f>
        <v/>
      </c>
      <c r="Y26">
        <f>HYPERLINK("https://klasma.github.io/Logging_0139/tillsynsmail/A 20601-2022 tillsynsbegäran mail.docx", "A 20601-2022")</f>
        <v/>
      </c>
    </row>
    <row r="27" ht="15" customHeight="1">
      <c r="A27" t="inlineStr">
        <is>
          <t>A 2276-2019</t>
        </is>
      </c>
      <c r="B27" s="1" t="n">
        <v>43475</v>
      </c>
      <c r="C27" s="1" t="n">
        <v>45224</v>
      </c>
      <c r="D27" t="inlineStr">
        <is>
          <t>STOCKHOLMS LÄN</t>
        </is>
      </c>
      <c r="E27" t="inlineStr">
        <is>
          <t>NORRTÄLJE</t>
        </is>
      </c>
      <c r="G27" t="n">
        <v>12.1</v>
      </c>
      <c r="H27" t="n">
        <v>2</v>
      </c>
      <c r="I27" t="n">
        <v>8</v>
      </c>
      <c r="J27" t="n">
        <v>1</v>
      </c>
      <c r="K27" t="n">
        <v>3</v>
      </c>
      <c r="L27" t="n">
        <v>0</v>
      </c>
      <c r="M27" t="n">
        <v>0</v>
      </c>
      <c r="N27" t="n">
        <v>0</v>
      </c>
      <c r="O27" t="n">
        <v>4</v>
      </c>
      <c r="P27" t="n">
        <v>3</v>
      </c>
      <c r="Q27" t="n">
        <v>14</v>
      </c>
      <c r="R27" s="2" t="inlineStr">
        <is>
          <t>Grangråticka
Koppartaggsvamp
Violgubbe
Blek fingersvamp
Anisspindling
Fjällig taggsvamp s.str.
Skarp dropptaggsvamp
Svavelriska
Tjockfotad fingersvamp
Toppvaxskivling
Vårärt
Zontaggsvamp
Blåsippa
Revlummer</t>
        </is>
      </c>
      <c r="S27">
        <f>HYPERLINK("https://klasma.github.io/Logging_0188/artfynd/A 2276-2019 artfynd.xlsx", "A 2276-2019")</f>
        <v/>
      </c>
      <c r="T27">
        <f>HYPERLINK("https://klasma.github.io/Logging_0188/kartor/A 2276-2019 karta.png", "A 2276-2019")</f>
        <v/>
      </c>
      <c r="V27">
        <f>HYPERLINK("https://klasma.github.io/Logging_0188/klagomål/A 2276-2019 FSC-klagomål.docx", "A 2276-2019")</f>
        <v/>
      </c>
      <c r="W27">
        <f>HYPERLINK("https://klasma.github.io/Logging_0188/klagomålsmail/A 2276-2019 FSC-klagomål mail.docx", "A 2276-2019")</f>
        <v/>
      </c>
      <c r="X27">
        <f>HYPERLINK("https://klasma.github.io/Logging_0188/tillsyn/A 2276-2019 tillsynsbegäran.docx", "A 2276-2019")</f>
        <v/>
      </c>
      <c r="Y27">
        <f>HYPERLINK("https://klasma.github.io/Logging_0188/tillsynsmail/A 2276-2019 tillsynsbegäran mail.docx", "A 2276-2019")</f>
        <v/>
      </c>
    </row>
    <row r="28" ht="15" customHeight="1">
      <c r="A28" t="inlineStr">
        <is>
          <t>A 28411-2019</t>
        </is>
      </c>
      <c r="B28" s="1" t="n">
        <v>43626</v>
      </c>
      <c r="C28" s="1" t="n">
        <v>45224</v>
      </c>
      <c r="D28" t="inlineStr">
        <is>
          <t>STOCKHOLMS LÄN</t>
        </is>
      </c>
      <c r="E28" t="inlineStr">
        <is>
          <t>NORRTÄLJE</t>
        </is>
      </c>
      <c r="G28" t="n">
        <v>3.1</v>
      </c>
      <c r="H28" t="n">
        <v>3</v>
      </c>
      <c r="I28" t="n">
        <v>11</v>
      </c>
      <c r="J28" t="n">
        <v>2</v>
      </c>
      <c r="K28" t="n">
        <v>0</v>
      </c>
      <c r="L28" t="n">
        <v>0</v>
      </c>
      <c r="M28" t="n">
        <v>0</v>
      </c>
      <c r="N28" t="n">
        <v>0</v>
      </c>
      <c r="O28" t="n">
        <v>2</v>
      </c>
      <c r="P28" t="n">
        <v>0</v>
      </c>
      <c r="Q28" t="n">
        <v>14</v>
      </c>
      <c r="R28" s="2" t="inlineStr">
        <is>
          <t>Granticka
Spillkråka
Bronshjon
Granbarkgnagare
Grönpyrola
Jättesvampmal
Kattfotslav
Källpraktmossa
Mörk husmossa
Nästrot
Svavelriska
Thomsons trägnagare
Tibast
Blåsippa</t>
        </is>
      </c>
      <c r="S28">
        <f>HYPERLINK("https://klasma.github.io/Logging_0188/artfynd/A 28411-2019 artfynd.xlsx", "A 28411-2019")</f>
        <v/>
      </c>
      <c r="T28">
        <f>HYPERLINK("https://klasma.github.io/Logging_0188/kartor/A 28411-2019 karta.png", "A 28411-2019")</f>
        <v/>
      </c>
      <c r="V28">
        <f>HYPERLINK("https://klasma.github.io/Logging_0188/klagomål/A 28411-2019 FSC-klagomål.docx", "A 28411-2019")</f>
        <v/>
      </c>
      <c r="W28">
        <f>HYPERLINK("https://klasma.github.io/Logging_0188/klagomålsmail/A 28411-2019 FSC-klagomål mail.docx", "A 28411-2019")</f>
        <v/>
      </c>
      <c r="X28">
        <f>HYPERLINK("https://klasma.github.io/Logging_0188/tillsyn/A 28411-2019 tillsynsbegäran.docx", "A 28411-2019")</f>
        <v/>
      </c>
      <c r="Y28">
        <f>HYPERLINK("https://klasma.github.io/Logging_0188/tillsynsmail/A 28411-2019 tillsynsbegäran mail.docx", "A 28411-2019")</f>
        <v/>
      </c>
    </row>
    <row r="29" ht="15" customHeight="1">
      <c r="A29" t="inlineStr">
        <is>
          <t>A 63484-2019</t>
        </is>
      </c>
      <c r="B29" s="1" t="n">
        <v>43794</v>
      </c>
      <c r="C29" s="1" t="n">
        <v>45224</v>
      </c>
      <c r="D29" t="inlineStr">
        <is>
          <t>STOCKHOLMS LÄN</t>
        </is>
      </c>
      <c r="E29" t="inlineStr">
        <is>
          <t>NORRTÄLJE</t>
        </is>
      </c>
      <c r="G29" t="n">
        <v>7.8</v>
      </c>
      <c r="H29" t="n">
        <v>3</v>
      </c>
      <c r="I29" t="n">
        <v>6</v>
      </c>
      <c r="J29" t="n">
        <v>5</v>
      </c>
      <c r="K29" t="n">
        <v>2</v>
      </c>
      <c r="L29" t="n">
        <v>0</v>
      </c>
      <c r="M29" t="n">
        <v>0</v>
      </c>
      <c r="N29" t="n">
        <v>0</v>
      </c>
      <c r="O29" t="n">
        <v>7</v>
      </c>
      <c r="P29" t="n">
        <v>2</v>
      </c>
      <c r="Q29" t="n">
        <v>14</v>
      </c>
      <c r="R29" s="2" t="inlineStr">
        <is>
          <t>Grangråticka
Koppartaggsvamp
Motaggsvamp
Orange taggsvamp
Persiljespindling
Spillkråka
Tretåig hackspett
Bronshjon
Dropptaggsvamp
Fjällig taggsvamp s.str.
Grönpyrola
Skarp dropptaggsvamp
Vågbandad barkbock
Blåsippa</t>
        </is>
      </c>
      <c r="S29">
        <f>HYPERLINK("https://klasma.github.io/Logging_0188/artfynd/A 63484-2019 artfynd.xlsx", "A 63484-2019")</f>
        <v/>
      </c>
      <c r="T29">
        <f>HYPERLINK("https://klasma.github.io/Logging_0188/kartor/A 63484-2019 karta.png", "A 63484-2019")</f>
        <v/>
      </c>
      <c r="V29">
        <f>HYPERLINK("https://klasma.github.io/Logging_0188/klagomål/A 63484-2019 FSC-klagomål.docx", "A 63484-2019")</f>
        <v/>
      </c>
      <c r="W29">
        <f>HYPERLINK("https://klasma.github.io/Logging_0188/klagomålsmail/A 63484-2019 FSC-klagomål mail.docx", "A 63484-2019")</f>
        <v/>
      </c>
      <c r="X29">
        <f>HYPERLINK("https://klasma.github.io/Logging_0188/tillsyn/A 63484-2019 tillsynsbegäran.docx", "A 63484-2019")</f>
        <v/>
      </c>
      <c r="Y29">
        <f>HYPERLINK("https://klasma.github.io/Logging_0188/tillsynsmail/A 63484-2019 tillsynsbegäran mail.docx", "A 63484-2019")</f>
        <v/>
      </c>
    </row>
    <row r="30" ht="15" customHeight="1">
      <c r="A30" t="inlineStr">
        <is>
          <t>A 51334-2022</t>
        </is>
      </c>
      <c r="B30" s="1" t="n">
        <v>44869</v>
      </c>
      <c r="C30" s="1" t="n">
        <v>45224</v>
      </c>
      <c r="D30" t="inlineStr">
        <is>
          <t>STOCKHOLMS LÄN</t>
        </is>
      </c>
      <c r="E30" t="inlineStr">
        <is>
          <t>NORRTÄLJE</t>
        </is>
      </c>
      <c r="F30" t="inlineStr">
        <is>
          <t>Holmen skog AB</t>
        </is>
      </c>
      <c r="G30" t="n">
        <v>8.699999999999999</v>
      </c>
      <c r="H30" t="n">
        <v>1</v>
      </c>
      <c r="I30" t="n">
        <v>7</v>
      </c>
      <c r="J30" t="n">
        <v>6</v>
      </c>
      <c r="K30" t="n">
        <v>1</v>
      </c>
      <c r="L30" t="n">
        <v>0</v>
      </c>
      <c r="M30" t="n">
        <v>0</v>
      </c>
      <c r="N30" t="n">
        <v>0</v>
      </c>
      <c r="O30" t="n">
        <v>7</v>
      </c>
      <c r="P30" t="n">
        <v>1</v>
      </c>
      <c r="Q30" t="n">
        <v>14</v>
      </c>
      <c r="R30" s="2" t="inlineStr">
        <is>
          <t>Västlig njurlav
Gränsticka
Kortskaftad ärgspik
Rödbrun blekspik
Större flatbagge
Ullticka
Vedtrappmossa
Brandticka
Bronshjon
Grön sköldmossa
Myskmadra
Skogshakmossa
Stubbspretmossa
Vedticka</t>
        </is>
      </c>
      <c r="S30">
        <f>HYPERLINK("https://klasma.github.io/Logging_0188/artfynd/A 51334-2022 artfynd.xlsx", "A 51334-2022")</f>
        <v/>
      </c>
      <c r="T30">
        <f>HYPERLINK("https://klasma.github.io/Logging_0188/kartor/A 51334-2022 karta.png", "A 51334-2022")</f>
        <v/>
      </c>
      <c r="V30">
        <f>HYPERLINK("https://klasma.github.io/Logging_0188/klagomål/A 51334-2022 FSC-klagomål.docx", "A 51334-2022")</f>
        <v/>
      </c>
      <c r="W30">
        <f>HYPERLINK("https://klasma.github.io/Logging_0188/klagomålsmail/A 51334-2022 FSC-klagomål mail.docx", "A 51334-2022")</f>
        <v/>
      </c>
      <c r="X30">
        <f>HYPERLINK("https://klasma.github.io/Logging_0188/tillsyn/A 51334-2022 tillsynsbegäran.docx", "A 51334-2022")</f>
        <v/>
      </c>
      <c r="Y30">
        <f>HYPERLINK("https://klasma.github.io/Logging_0188/tillsynsmail/A 51334-2022 tillsynsbegäran mail.docx", "A 51334-2022")</f>
        <v/>
      </c>
    </row>
    <row r="31" ht="15" customHeight="1">
      <c r="A31" t="inlineStr">
        <is>
          <t>A 25567-2023</t>
        </is>
      </c>
      <c r="B31" s="1" t="n">
        <v>45089</v>
      </c>
      <c r="C31" s="1" t="n">
        <v>45224</v>
      </c>
      <c r="D31" t="inlineStr">
        <is>
          <t>STOCKHOLMS LÄN</t>
        </is>
      </c>
      <c r="E31" t="inlineStr">
        <is>
          <t>HANINGE</t>
        </is>
      </c>
      <c r="F31" t="inlineStr">
        <is>
          <t>Övriga Aktiebolag</t>
        </is>
      </c>
      <c r="G31" t="n">
        <v>10.9</v>
      </c>
      <c r="H31" t="n">
        <v>4</v>
      </c>
      <c r="I31" t="n">
        <v>10</v>
      </c>
      <c r="J31" t="n">
        <v>2</v>
      </c>
      <c r="K31" t="n">
        <v>0</v>
      </c>
      <c r="L31" t="n">
        <v>0</v>
      </c>
      <c r="M31" t="n">
        <v>0</v>
      </c>
      <c r="N31" t="n">
        <v>0</v>
      </c>
      <c r="O31" t="n">
        <v>2</v>
      </c>
      <c r="P31" t="n">
        <v>0</v>
      </c>
      <c r="Q31" t="n">
        <v>14</v>
      </c>
      <c r="R31" s="2" t="inlineStr">
        <is>
          <t>Granticka
Vedtrappmossa
Bronshjon
Granbarkgnagare
Grön sköldmossa
Korallrot
Källmossor
Mörk husmossa
Stubbspretmossa
Svart trolldruva
Vedticka
Vågbandad barkbock
Mattlummer
Revlummer</t>
        </is>
      </c>
      <c r="S31">
        <f>HYPERLINK("https://klasma.github.io/Logging_0136/artfynd/A 25567-2023 artfynd.xlsx", "A 25567-2023")</f>
        <v/>
      </c>
      <c r="T31">
        <f>HYPERLINK("https://klasma.github.io/Logging_0136/kartor/A 25567-2023 karta.png", "A 25567-2023")</f>
        <v/>
      </c>
      <c r="V31">
        <f>HYPERLINK("https://klasma.github.io/Logging_0136/klagomål/A 25567-2023 FSC-klagomål.docx", "A 25567-2023")</f>
        <v/>
      </c>
      <c r="W31">
        <f>HYPERLINK("https://klasma.github.io/Logging_0136/klagomålsmail/A 25567-2023 FSC-klagomål mail.docx", "A 25567-2023")</f>
        <v/>
      </c>
      <c r="X31">
        <f>HYPERLINK("https://klasma.github.io/Logging_0136/tillsyn/A 25567-2023 tillsynsbegäran.docx", "A 25567-2023")</f>
        <v/>
      </c>
      <c r="Y31">
        <f>HYPERLINK("https://klasma.github.io/Logging_0136/tillsynsmail/A 25567-2023 tillsynsbegäran mail.docx", "A 25567-2023")</f>
        <v/>
      </c>
    </row>
    <row r="32" ht="15" customHeight="1">
      <c r="A32" t="inlineStr">
        <is>
          <t>A 42742-2023</t>
        </is>
      </c>
      <c r="B32" s="1" t="n">
        <v>45181</v>
      </c>
      <c r="C32" s="1" t="n">
        <v>45224</v>
      </c>
      <c r="D32" t="inlineStr">
        <is>
          <t>STOCKHOLMS LÄN</t>
        </is>
      </c>
      <c r="E32" t="inlineStr">
        <is>
          <t>VALLENTUNA</t>
        </is>
      </c>
      <c r="G32" t="n">
        <v>10.4</v>
      </c>
      <c r="H32" t="n">
        <v>1</v>
      </c>
      <c r="I32" t="n">
        <v>5</v>
      </c>
      <c r="J32" t="n">
        <v>7</v>
      </c>
      <c r="K32" t="n">
        <v>1</v>
      </c>
      <c r="L32" t="n">
        <v>0</v>
      </c>
      <c r="M32" t="n">
        <v>0</v>
      </c>
      <c r="N32" t="n">
        <v>0</v>
      </c>
      <c r="O32" t="n">
        <v>8</v>
      </c>
      <c r="P32" t="n">
        <v>1</v>
      </c>
      <c r="Q32" t="n">
        <v>14</v>
      </c>
      <c r="R32" s="2" t="inlineStr">
        <is>
          <t>Blackticka
Granticka
Koralltaggsvamp
Orange taggsvamp
Rosenticka
Ullticka
Veckticka
Vedtrappmossa
Blomkålssvamp
Brandticka
Fjällig taggsvamp s.str.
Grönpyrola
Rödgul trumpetsvamp
Blåsippa</t>
        </is>
      </c>
      <c r="S32">
        <f>HYPERLINK("https://klasma.github.io/Logging_0115/artfynd/A 42742-2023 artfynd.xlsx", "A 42742-2023")</f>
        <v/>
      </c>
      <c r="T32">
        <f>HYPERLINK("https://klasma.github.io/Logging_0115/kartor/A 42742-2023 karta.png", "A 42742-2023")</f>
        <v/>
      </c>
      <c r="V32">
        <f>HYPERLINK("https://klasma.github.io/Logging_0115/klagomål/A 42742-2023 FSC-klagomål.docx", "A 42742-2023")</f>
        <v/>
      </c>
      <c r="W32">
        <f>HYPERLINK("https://klasma.github.io/Logging_0115/klagomålsmail/A 42742-2023 FSC-klagomål mail.docx", "A 42742-2023")</f>
        <v/>
      </c>
      <c r="X32">
        <f>HYPERLINK("https://klasma.github.io/Logging_0115/tillsyn/A 42742-2023 tillsynsbegäran.docx", "A 42742-2023")</f>
        <v/>
      </c>
      <c r="Y32">
        <f>HYPERLINK("https://klasma.github.io/Logging_0115/tillsynsmail/A 42742-2023 tillsynsbegäran mail.docx", "A 42742-2023")</f>
        <v/>
      </c>
    </row>
    <row r="33" ht="15" customHeight="1">
      <c r="A33" t="inlineStr">
        <is>
          <t>A 26273-2019</t>
        </is>
      </c>
      <c r="B33" s="1" t="n">
        <v>43611</v>
      </c>
      <c r="C33" s="1" t="n">
        <v>45224</v>
      </c>
      <c r="D33" t="inlineStr">
        <is>
          <t>STOCKHOLMS LÄN</t>
        </is>
      </c>
      <c r="E33" t="inlineStr">
        <is>
          <t>NORRTÄLJE</t>
        </is>
      </c>
      <c r="G33" t="n">
        <v>2.6</v>
      </c>
      <c r="H33" t="n">
        <v>2</v>
      </c>
      <c r="I33" t="n">
        <v>8</v>
      </c>
      <c r="J33" t="n">
        <v>3</v>
      </c>
      <c r="K33" t="n">
        <v>1</v>
      </c>
      <c r="L33" t="n">
        <v>0</v>
      </c>
      <c r="M33" t="n">
        <v>0</v>
      </c>
      <c r="N33" t="n">
        <v>0</v>
      </c>
      <c r="O33" t="n">
        <v>4</v>
      </c>
      <c r="P33" t="n">
        <v>1</v>
      </c>
      <c r="Q33" t="n">
        <v>13</v>
      </c>
      <c r="R33" s="2" t="inlineStr">
        <is>
          <t>Knärot
Granticka
Kandelabersvamp
Ullticka
Bronshjon
Kattfotslav
Rostfläck
Skinnlav
Stor aspticka
Svavelriska
Vedticka
Vågbandad barkbock
Blåsippa</t>
        </is>
      </c>
      <c r="S33">
        <f>HYPERLINK("https://klasma.github.io/Logging_0188/artfynd/A 26273-2019 artfynd.xlsx", "A 26273-2019")</f>
        <v/>
      </c>
      <c r="T33">
        <f>HYPERLINK("https://klasma.github.io/Logging_0188/kartor/A 26273-2019 karta.png", "A 26273-2019")</f>
        <v/>
      </c>
      <c r="U33">
        <f>HYPERLINK("https://klasma.github.io/Logging_0188/knärot/A 26273-2019 karta knärot.png", "A 26273-2019")</f>
        <v/>
      </c>
      <c r="V33">
        <f>HYPERLINK("https://klasma.github.io/Logging_0188/klagomål/A 26273-2019 FSC-klagomål.docx", "A 26273-2019")</f>
        <v/>
      </c>
      <c r="W33">
        <f>HYPERLINK("https://klasma.github.io/Logging_0188/klagomålsmail/A 26273-2019 FSC-klagomål mail.docx", "A 26273-2019")</f>
        <v/>
      </c>
      <c r="X33">
        <f>HYPERLINK("https://klasma.github.io/Logging_0188/tillsyn/A 26273-2019 tillsynsbegäran.docx", "A 26273-2019")</f>
        <v/>
      </c>
      <c r="Y33">
        <f>HYPERLINK("https://klasma.github.io/Logging_0188/tillsynsmail/A 26273-2019 tillsynsbegäran mail.docx", "A 26273-2019")</f>
        <v/>
      </c>
    </row>
    <row r="34" ht="15" customHeight="1">
      <c r="A34" t="inlineStr">
        <is>
          <t>A 5736-2020</t>
        </is>
      </c>
      <c r="B34" s="1" t="n">
        <v>43863</v>
      </c>
      <c r="C34" s="1" t="n">
        <v>45224</v>
      </c>
      <c r="D34" t="inlineStr">
        <is>
          <t>STOCKHOLMS LÄN</t>
        </is>
      </c>
      <c r="E34" t="inlineStr">
        <is>
          <t>NORRTÄLJE</t>
        </is>
      </c>
      <c r="G34" t="n">
        <v>2.1</v>
      </c>
      <c r="H34" t="n">
        <v>0</v>
      </c>
      <c r="I34" t="n">
        <v>6</v>
      </c>
      <c r="J34" t="n">
        <v>4</v>
      </c>
      <c r="K34" t="n">
        <v>2</v>
      </c>
      <c r="L34" t="n">
        <v>1</v>
      </c>
      <c r="M34" t="n">
        <v>0</v>
      </c>
      <c r="N34" t="n">
        <v>0</v>
      </c>
      <c r="O34" t="n">
        <v>7</v>
      </c>
      <c r="P34" t="n">
        <v>3</v>
      </c>
      <c r="Q34" t="n">
        <v>13</v>
      </c>
      <c r="R34" s="2" t="inlineStr">
        <is>
          <t>Raggtaggsvamp
Fläckfingersvamp
Koppartaggsvamp
Dofttaggsvamp
Druvfingersvamp
Orange taggsvamp
Ullticka
Dropptaggsvamp
Fjällig taggsvamp s.str.
Grönpyrola
Olivspindling
Skarp dropptaggsvamp
Zontaggsvamp</t>
        </is>
      </c>
      <c r="S34">
        <f>HYPERLINK("https://klasma.github.io/Logging_0188/artfynd/A 5736-2020 artfynd.xlsx", "A 5736-2020")</f>
        <v/>
      </c>
      <c r="T34">
        <f>HYPERLINK("https://klasma.github.io/Logging_0188/kartor/A 5736-2020 karta.png", "A 5736-2020")</f>
        <v/>
      </c>
      <c r="V34">
        <f>HYPERLINK("https://klasma.github.io/Logging_0188/klagomål/A 5736-2020 FSC-klagomål.docx", "A 5736-2020")</f>
        <v/>
      </c>
      <c r="W34">
        <f>HYPERLINK("https://klasma.github.io/Logging_0188/klagomålsmail/A 5736-2020 FSC-klagomål mail.docx", "A 5736-2020")</f>
        <v/>
      </c>
      <c r="X34">
        <f>HYPERLINK("https://klasma.github.io/Logging_0188/tillsyn/A 5736-2020 tillsynsbegäran.docx", "A 5736-2020")</f>
        <v/>
      </c>
      <c r="Y34">
        <f>HYPERLINK("https://klasma.github.io/Logging_0188/tillsynsmail/A 5736-2020 tillsynsbegäran mail.docx", "A 5736-2020")</f>
        <v/>
      </c>
    </row>
    <row r="35" ht="15" customHeight="1">
      <c r="A35" t="inlineStr">
        <is>
          <t>A 11053-2022</t>
        </is>
      </c>
      <c r="B35" s="1" t="n">
        <v>44628</v>
      </c>
      <c r="C35" s="1" t="n">
        <v>45224</v>
      </c>
      <c r="D35" t="inlineStr">
        <is>
          <t>STOCKHOLMS LÄN</t>
        </is>
      </c>
      <c r="E35" t="inlineStr">
        <is>
          <t>NYKVARN</t>
        </is>
      </c>
      <c r="G35" t="n">
        <v>4.8</v>
      </c>
      <c r="H35" t="n">
        <v>10</v>
      </c>
      <c r="I35" t="n">
        <v>1</v>
      </c>
      <c r="J35" t="n">
        <v>9</v>
      </c>
      <c r="K35" t="n">
        <v>1</v>
      </c>
      <c r="L35" t="n">
        <v>1</v>
      </c>
      <c r="M35" t="n">
        <v>0</v>
      </c>
      <c r="N35" t="n">
        <v>0</v>
      </c>
      <c r="O35" t="n">
        <v>11</v>
      </c>
      <c r="P35" t="n">
        <v>2</v>
      </c>
      <c r="Q35" t="n">
        <v>13</v>
      </c>
      <c r="R35" s="2" t="inlineStr">
        <is>
          <t>Grönfink
Stare
Björktrast
Fiskmås
Granticka
Gulsparv
Kråka
Rödvingetrast
Spillkråka
Svartvit flugsnappare
Vippärt
Vårärt
Blåsippa</t>
        </is>
      </c>
      <c r="S35">
        <f>HYPERLINK("https://klasma.github.io/Logging_0140/artfynd/A 11053-2022 artfynd.xlsx", "A 11053-2022")</f>
        <v/>
      </c>
      <c r="T35">
        <f>HYPERLINK("https://klasma.github.io/Logging_0140/kartor/A 11053-2022 karta.png", "A 11053-2022")</f>
        <v/>
      </c>
      <c r="V35">
        <f>HYPERLINK("https://klasma.github.io/Logging_0140/klagomål/A 11053-2022 FSC-klagomål.docx", "A 11053-2022")</f>
        <v/>
      </c>
      <c r="W35">
        <f>HYPERLINK("https://klasma.github.io/Logging_0140/klagomålsmail/A 11053-2022 FSC-klagomål mail.docx", "A 11053-2022")</f>
        <v/>
      </c>
      <c r="X35">
        <f>HYPERLINK("https://klasma.github.io/Logging_0140/tillsyn/A 11053-2022 tillsynsbegäran.docx", "A 11053-2022")</f>
        <v/>
      </c>
      <c r="Y35">
        <f>HYPERLINK("https://klasma.github.io/Logging_0140/tillsynsmail/A 11053-2022 tillsynsbegäran mail.docx", "A 11053-2022")</f>
        <v/>
      </c>
    </row>
    <row r="36" ht="15" customHeight="1">
      <c r="A36" t="inlineStr">
        <is>
          <t>A 34343-2023</t>
        </is>
      </c>
      <c r="B36" s="1" t="n">
        <v>45139</v>
      </c>
      <c r="C36" s="1" t="n">
        <v>45224</v>
      </c>
      <c r="D36" t="inlineStr">
        <is>
          <t>STOCKHOLMS LÄN</t>
        </is>
      </c>
      <c r="E36" t="inlineStr">
        <is>
          <t>HANINGE</t>
        </is>
      </c>
      <c r="G36" t="n">
        <v>3.9</v>
      </c>
      <c r="H36" t="n">
        <v>3</v>
      </c>
      <c r="I36" t="n">
        <v>7</v>
      </c>
      <c r="J36" t="n">
        <v>3</v>
      </c>
      <c r="K36" t="n">
        <v>0</v>
      </c>
      <c r="L36" t="n">
        <v>1</v>
      </c>
      <c r="M36" t="n">
        <v>0</v>
      </c>
      <c r="N36" t="n">
        <v>0</v>
      </c>
      <c r="O36" t="n">
        <v>4</v>
      </c>
      <c r="P36" t="n">
        <v>1</v>
      </c>
      <c r="Q36" t="n">
        <v>13</v>
      </c>
      <c r="R36" s="2" t="inlineStr">
        <is>
          <t>Ask
Granticka
Grön aspvedbock
Spillkråka
Björksplintborre
Fjällig taggsvamp s.str.
Granbarkgnagare
Guldlockmossa
Stubbspretmossa
Sårläka
Vågbandad barkbock
Blåsippa
Gullviva</t>
        </is>
      </c>
      <c r="S36">
        <f>HYPERLINK("https://klasma.github.io/Logging_0136/artfynd/A 34343-2023 artfynd.xlsx", "A 34343-2023")</f>
        <v/>
      </c>
      <c r="T36">
        <f>HYPERLINK("https://klasma.github.io/Logging_0136/kartor/A 34343-2023 karta.png", "A 34343-2023")</f>
        <v/>
      </c>
      <c r="V36">
        <f>HYPERLINK("https://klasma.github.io/Logging_0136/klagomål/A 34343-2023 FSC-klagomål.docx", "A 34343-2023")</f>
        <v/>
      </c>
      <c r="W36">
        <f>HYPERLINK("https://klasma.github.io/Logging_0136/klagomålsmail/A 34343-2023 FSC-klagomål mail.docx", "A 34343-2023")</f>
        <v/>
      </c>
      <c r="X36">
        <f>HYPERLINK("https://klasma.github.io/Logging_0136/tillsyn/A 34343-2023 tillsynsbegäran.docx", "A 34343-2023")</f>
        <v/>
      </c>
      <c r="Y36">
        <f>HYPERLINK("https://klasma.github.io/Logging_0136/tillsynsmail/A 34343-2023 tillsynsbegäran mail.docx", "A 34343-2023")</f>
        <v/>
      </c>
    </row>
    <row r="37" ht="15" customHeight="1">
      <c r="A37" t="inlineStr">
        <is>
          <t>A 20632-2019</t>
        </is>
      </c>
      <c r="B37" s="1" t="n">
        <v>43572</v>
      </c>
      <c r="C37" s="1" t="n">
        <v>45224</v>
      </c>
      <c r="D37" t="inlineStr">
        <is>
          <t>STOCKHOLMS LÄN</t>
        </is>
      </c>
      <c r="E37" t="inlineStr">
        <is>
          <t>NORRTÄLJE</t>
        </is>
      </c>
      <c r="G37" t="n">
        <v>6.2</v>
      </c>
      <c r="H37" t="n">
        <v>4</v>
      </c>
      <c r="I37" t="n">
        <v>6</v>
      </c>
      <c r="J37" t="n">
        <v>1</v>
      </c>
      <c r="K37" t="n">
        <v>0</v>
      </c>
      <c r="L37" t="n">
        <v>2</v>
      </c>
      <c r="M37" t="n">
        <v>0</v>
      </c>
      <c r="N37" t="n">
        <v>0</v>
      </c>
      <c r="O37" t="n">
        <v>3</v>
      </c>
      <c r="P37" t="n">
        <v>2</v>
      </c>
      <c r="Q37" t="n">
        <v>12</v>
      </c>
      <c r="R37" s="2" t="inlineStr">
        <is>
          <t>Ask
Fältgentiana
Slåtterfibbla
Svart trolldruva
Tibast
Tvåblad
Underviol
Vätteros
Vårärt
Nattviol
Blåsippa
Gullviva</t>
        </is>
      </c>
      <c r="S37">
        <f>HYPERLINK("https://klasma.github.io/Logging_0188/artfynd/A 20632-2019 artfynd.xlsx", "A 20632-2019")</f>
        <v/>
      </c>
      <c r="T37">
        <f>HYPERLINK("https://klasma.github.io/Logging_0188/kartor/A 20632-2019 karta.png", "A 20632-2019")</f>
        <v/>
      </c>
      <c r="V37">
        <f>HYPERLINK("https://klasma.github.io/Logging_0188/klagomål/A 20632-2019 FSC-klagomål.docx", "A 20632-2019")</f>
        <v/>
      </c>
      <c r="W37">
        <f>HYPERLINK("https://klasma.github.io/Logging_0188/klagomålsmail/A 20632-2019 FSC-klagomål mail.docx", "A 20632-2019")</f>
        <v/>
      </c>
      <c r="X37">
        <f>HYPERLINK("https://klasma.github.io/Logging_0188/tillsyn/A 20632-2019 tillsynsbegäran.docx", "A 20632-2019")</f>
        <v/>
      </c>
      <c r="Y37">
        <f>HYPERLINK("https://klasma.github.io/Logging_0188/tillsynsmail/A 20632-2019 tillsynsbegäran mail.docx", "A 20632-2019")</f>
        <v/>
      </c>
    </row>
    <row r="38" ht="15" customHeight="1">
      <c r="A38" t="inlineStr">
        <is>
          <t>A 68153-2019</t>
        </is>
      </c>
      <c r="B38" s="1" t="n">
        <v>43817</v>
      </c>
      <c r="C38" s="1" t="n">
        <v>45224</v>
      </c>
      <c r="D38" t="inlineStr">
        <is>
          <t>STOCKHOLMS LÄN</t>
        </is>
      </c>
      <c r="E38" t="inlineStr">
        <is>
          <t>VALLENTUNA</t>
        </is>
      </c>
      <c r="G38" t="n">
        <v>21.8</v>
      </c>
      <c r="H38" t="n">
        <v>1</v>
      </c>
      <c r="I38" t="n">
        <v>9</v>
      </c>
      <c r="J38" t="n">
        <v>3</v>
      </c>
      <c r="K38" t="n">
        <v>0</v>
      </c>
      <c r="L38" t="n">
        <v>0</v>
      </c>
      <c r="M38" t="n">
        <v>0</v>
      </c>
      <c r="N38" t="n">
        <v>0</v>
      </c>
      <c r="O38" t="n">
        <v>3</v>
      </c>
      <c r="P38" t="n">
        <v>0</v>
      </c>
      <c r="Q38" t="n">
        <v>12</v>
      </c>
      <c r="R38" s="2" t="inlineStr">
        <is>
          <t>Dofttaggsvamp
Granticka
Mörk kolflarnlav
Blåmossa
Bollvitmossa
Grön sköldmossa
Kattfotslav
Mindre märgborre
Rödgul trumpetsvamp
Skarp dropptaggsvamp
Skuggblåslav
Vedticka</t>
        </is>
      </c>
      <c r="S38">
        <f>HYPERLINK("https://klasma.github.io/Logging_0115/artfynd/A 68153-2019 artfynd.xlsx", "A 68153-2019")</f>
        <v/>
      </c>
      <c r="T38">
        <f>HYPERLINK("https://klasma.github.io/Logging_0115/kartor/A 68153-2019 karta.png", "A 68153-2019")</f>
        <v/>
      </c>
      <c r="V38">
        <f>HYPERLINK("https://klasma.github.io/Logging_0115/klagomål/A 68153-2019 FSC-klagomål.docx", "A 68153-2019")</f>
        <v/>
      </c>
      <c r="W38">
        <f>HYPERLINK("https://klasma.github.io/Logging_0115/klagomålsmail/A 68153-2019 FSC-klagomål mail.docx", "A 68153-2019")</f>
        <v/>
      </c>
      <c r="X38">
        <f>HYPERLINK("https://klasma.github.io/Logging_0115/tillsyn/A 68153-2019 tillsynsbegäran.docx", "A 68153-2019")</f>
        <v/>
      </c>
      <c r="Y38">
        <f>HYPERLINK("https://klasma.github.io/Logging_0115/tillsynsmail/A 68153-2019 tillsynsbegäran mail.docx", "A 68153-2019")</f>
        <v/>
      </c>
    </row>
    <row r="39" ht="15" customHeight="1">
      <c r="A39" t="inlineStr">
        <is>
          <t>A 40859-2022</t>
        </is>
      </c>
      <c r="B39" s="1" t="n">
        <v>44825</v>
      </c>
      <c r="C39" s="1" t="n">
        <v>45224</v>
      </c>
      <c r="D39" t="inlineStr">
        <is>
          <t>STOCKHOLMS LÄN</t>
        </is>
      </c>
      <c r="E39" t="inlineStr">
        <is>
          <t>HANINGE</t>
        </is>
      </c>
      <c r="G39" t="n">
        <v>7.8</v>
      </c>
      <c r="H39" t="n">
        <v>3</v>
      </c>
      <c r="I39" t="n">
        <v>8</v>
      </c>
      <c r="J39" t="n">
        <v>4</v>
      </c>
      <c r="K39" t="n">
        <v>0</v>
      </c>
      <c r="L39" t="n">
        <v>0</v>
      </c>
      <c r="M39" t="n">
        <v>0</v>
      </c>
      <c r="N39" t="n">
        <v>0</v>
      </c>
      <c r="O39" t="n">
        <v>4</v>
      </c>
      <c r="P39" t="n">
        <v>0</v>
      </c>
      <c r="Q39" t="n">
        <v>12</v>
      </c>
      <c r="R39" s="2" t="inlineStr">
        <is>
          <t>Granticka
Spillkråka
Talltita
Ullticka
Bronshjon
Fjällig taggsvamp s.str.
Granbarkgnagare
Grön sköldmossa
Mörk husmossa
Rödgul trumpetsvamp
Svavelriska
Thomsons trägnagare</t>
        </is>
      </c>
      <c r="S39">
        <f>HYPERLINK("https://klasma.github.io/Logging_0136/artfynd/A 40859-2022 artfynd.xlsx", "A 40859-2022")</f>
        <v/>
      </c>
      <c r="T39">
        <f>HYPERLINK("https://klasma.github.io/Logging_0136/kartor/A 40859-2022 karta.png", "A 40859-2022")</f>
        <v/>
      </c>
      <c r="V39">
        <f>HYPERLINK("https://klasma.github.io/Logging_0136/klagomål/A 40859-2022 FSC-klagomål.docx", "A 40859-2022")</f>
        <v/>
      </c>
      <c r="W39">
        <f>HYPERLINK("https://klasma.github.io/Logging_0136/klagomålsmail/A 40859-2022 FSC-klagomål mail.docx", "A 40859-2022")</f>
        <v/>
      </c>
      <c r="X39">
        <f>HYPERLINK("https://klasma.github.io/Logging_0136/tillsyn/A 40859-2022 tillsynsbegäran.docx", "A 40859-2022")</f>
        <v/>
      </c>
      <c r="Y39">
        <f>HYPERLINK("https://klasma.github.io/Logging_0136/tillsynsmail/A 40859-2022 tillsynsbegäran mail.docx", "A 40859-2022")</f>
        <v/>
      </c>
    </row>
    <row r="40" ht="15" customHeight="1">
      <c r="A40" t="inlineStr">
        <is>
          <t>A 60543-2022</t>
        </is>
      </c>
      <c r="B40" s="1" t="n">
        <v>44911</v>
      </c>
      <c r="C40" s="1" t="n">
        <v>45224</v>
      </c>
      <c r="D40" t="inlineStr">
        <is>
          <t>STOCKHOLMS LÄN</t>
        </is>
      </c>
      <c r="E40" t="inlineStr">
        <is>
          <t>NORRTÄLJE</t>
        </is>
      </c>
      <c r="G40" t="n">
        <v>4.3</v>
      </c>
      <c r="H40" t="n">
        <v>2</v>
      </c>
      <c r="I40" t="n">
        <v>5</v>
      </c>
      <c r="J40" t="n">
        <v>5</v>
      </c>
      <c r="K40" t="n">
        <v>1</v>
      </c>
      <c r="L40" t="n">
        <v>0</v>
      </c>
      <c r="M40" t="n">
        <v>0</v>
      </c>
      <c r="N40" t="n">
        <v>0</v>
      </c>
      <c r="O40" t="n">
        <v>6</v>
      </c>
      <c r="P40" t="n">
        <v>1</v>
      </c>
      <c r="Q40" t="n">
        <v>12</v>
      </c>
      <c r="R40" s="2" t="inlineStr">
        <is>
          <t>Läderlappslav
Granticka
Grönhjon
Rosenticka
Tretåig hackspett
Ullticka
Bronshjon
Grönpyrola
Gulnål
Kornig nållav
Vågbandad barkbock
Blåsippa</t>
        </is>
      </c>
      <c r="S40">
        <f>HYPERLINK("https://klasma.github.io/Logging_0188/artfynd/A 60543-2022 artfynd.xlsx", "A 60543-2022")</f>
        <v/>
      </c>
      <c r="T40">
        <f>HYPERLINK("https://klasma.github.io/Logging_0188/kartor/A 60543-2022 karta.png", "A 60543-2022")</f>
        <v/>
      </c>
      <c r="V40">
        <f>HYPERLINK("https://klasma.github.io/Logging_0188/klagomål/A 60543-2022 FSC-klagomål.docx", "A 60543-2022")</f>
        <v/>
      </c>
      <c r="W40">
        <f>HYPERLINK("https://klasma.github.io/Logging_0188/klagomålsmail/A 60543-2022 FSC-klagomål mail.docx", "A 60543-2022")</f>
        <v/>
      </c>
      <c r="X40">
        <f>HYPERLINK("https://klasma.github.io/Logging_0188/tillsyn/A 60543-2022 tillsynsbegäran.docx", "A 60543-2022")</f>
        <v/>
      </c>
      <c r="Y40">
        <f>HYPERLINK("https://klasma.github.io/Logging_0188/tillsynsmail/A 60543-2022 tillsynsbegäran mail.docx", "A 60543-2022")</f>
        <v/>
      </c>
    </row>
    <row r="41" ht="15" customHeight="1">
      <c r="A41" t="inlineStr">
        <is>
          <t>A 31418-2023</t>
        </is>
      </c>
      <c r="B41" s="1" t="n">
        <v>45114</v>
      </c>
      <c r="C41" s="1" t="n">
        <v>45224</v>
      </c>
      <c r="D41" t="inlineStr">
        <is>
          <t>STOCKHOLMS LÄN</t>
        </is>
      </c>
      <c r="E41" t="inlineStr">
        <is>
          <t>NORRTÄLJE</t>
        </is>
      </c>
      <c r="G41" t="n">
        <v>4.1</v>
      </c>
      <c r="H41" t="n">
        <v>0</v>
      </c>
      <c r="I41" t="n">
        <v>7</v>
      </c>
      <c r="J41" t="n">
        <v>2</v>
      </c>
      <c r="K41" t="n">
        <v>3</v>
      </c>
      <c r="L41" t="n">
        <v>0</v>
      </c>
      <c r="M41" t="n">
        <v>0</v>
      </c>
      <c r="N41" t="n">
        <v>0</v>
      </c>
      <c r="O41" t="n">
        <v>5</v>
      </c>
      <c r="P41" t="n">
        <v>3</v>
      </c>
      <c r="Q41" t="n">
        <v>12</v>
      </c>
      <c r="R41" s="2" t="inlineStr">
        <is>
          <t>Duvspindling
Koppartaggsvamp
Läderdoftande fingersvamp
Odörspindling
Orange taggsvamp
Anisspindling
Dropptaggsvamp
Grönpyrola
Mörk husmossa
Skarp dropptaggsvamp
Skogshakmossa
Tjockfotad fingersvamp</t>
        </is>
      </c>
      <c r="S41">
        <f>HYPERLINK("https://klasma.github.io/Logging_0188/artfynd/A 31418-2023 artfynd.xlsx", "A 31418-2023")</f>
        <v/>
      </c>
      <c r="T41">
        <f>HYPERLINK("https://klasma.github.io/Logging_0188/kartor/A 31418-2023 karta.png", "A 31418-2023")</f>
        <v/>
      </c>
      <c r="U41">
        <f>HYPERLINK("https://klasma.github.io/Logging_0188/knärot/A 31418-2023 karta knärot.png", "A 31418-2023")</f>
        <v/>
      </c>
      <c r="V41">
        <f>HYPERLINK("https://klasma.github.io/Logging_0188/klagomål/A 31418-2023 FSC-klagomål.docx", "A 31418-2023")</f>
        <v/>
      </c>
      <c r="W41">
        <f>HYPERLINK("https://klasma.github.io/Logging_0188/klagomålsmail/A 31418-2023 FSC-klagomål mail.docx", "A 31418-2023")</f>
        <v/>
      </c>
      <c r="X41">
        <f>HYPERLINK("https://klasma.github.io/Logging_0188/tillsyn/A 31418-2023 tillsynsbegäran.docx", "A 31418-2023")</f>
        <v/>
      </c>
      <c r="Y41">
        <f>HYPERLINK("https://klasma.github.io/Logging_0188/tillsynsmail/A 31418-2023 tillsynsbegäran mail.docx", "A 31418-2023")</f>
        <v/>
      </c>
    </row>
    <row r="42" ht="15" customHeight="1">
      <c r="A42" t="inlineStr">
        <is>
          <t>A 7987-2019</t>
        </is>
      </c>
      <c r="B42" s="1" t="n">
        <v>43493</v>
      </c>
      <c r="C42" s="1" t="n">
        <v>45224</v>
      </c>
      <c r="D42" t="inlineStr">
        <is>
          <t>STOCKHOLMS LÄN</t>
        </is>
      </c>
      <c r="E42" t="inlineStr">
        <is>
          <t>NORRTÄLJE</t>
        </is>
      </c>
      <c r="G42" t="n">
        <v>4.3</v>
      </c>
      <c r="H42" t="n">
        <v>1</v>
      </c>
      <c r="I42" t="n">
        <v>8</v>
      </c>
      <c r="J42" t="n">
        <v>2</v>
      </c>
      <c r="K42" t="n">
        <v>0</v>
      </c>
      <c r="L42" t="n">
        <v>1</v>
      </c>
      <c r="M42" t="n">
        <v>0</v>
      </c>
      <c r="N42" t="n">
        <v>0</v>
      </c>
      <c r="O42" t="n">
        <v>3</v>
      </c>
      <c r="P42" t="n">
        <v>1</v>
      </c>
      <c r="Q42" t="n">
        <v>11</v>
      </c>
      <c r="R42" s="2" t="inlineStr">
        <is>
          <t>Ask
Granticka
Tallticka
Fjällig taggsvamp s.str.
Granbarkgnagare
Grön sköldmossa
Hasselticka
Lönnlav
Mörk husmossa
Svavelriska
Thomsons trägnagare</t>
        </is>
      </c>
      <c r="S42">
        <f>HYPERLINK("https://klasma.github.io/Logging_0188/artfynd/A 7987-2019 artfynd.xlsx", "A 7987-2019")</f>
        <v/>
      </c>
      <c r="T42">
        <f>HYPERLINK("https://klasma.github.io/Logging_0188/kartor/A 7987-2019 karta.png", "A 7987-2019")</f>
        <v/>
      </c>
      <c r="V42">
        <f>HYPERLINK("https://klasma.github.io/Logging_0188/klagomål/A 7987-2019 FSC-klagomål.docx", "A 7987-2019")</f>
        <v/>
      </c>
      <c r="W42">
        <f>HYPERLINK("https://klasma.github.io/Logging_0188/klagomålsmail/A 7987-2019 FSC-klagomål mail.docx", "A 7987-2019")</f>
        <v/>
      </c>
      <c r="X42">
        <f>HYPERLINK("https://klasma.github.io/Logging_0188/tillsyn/A 7987-2019 tillsynsbegäran.docx", "A 7987-2019")</f>
        <v/>
      </c>
      <c r="Y42">
        <f>HYPERLINK("https://klasma.github.io/Logging_0188/tillsynsmail/A 7987-2019 tillsynsbegäran mail.docx", "A 7987-2019")</f>
        <v/>
      </c>
    </row>
    <row r="43" ht="15" customHeight="1">
      <c r="A43" t="inlineStr">
        <is>
          <t>A 66797-2021</t>
        </is>
      </c>
      <c r="B43" s="1" t="n">
        <v>44519</v>
      </c>
      <c r="C43" s="1" t="n">
        <v>45224</v>
      </c>
      <c r="D43" t="inlineStr">
        <is>
          <t>STOCKHOLMS LÄN</t>
        </is>
      </c>
      <c r="E43" t="inlineStr">
        <is>
          <t>HANINGE</t>
        </is>
      </c>
      <c r="G43" t="n">
        <v>3</v>
      </c>
      <c r="H43" t="n">
        <v>0</v>
      </c>
      <c r="I43" t="n">
        <v>2</v>
      </c>
      <c r="J43" t="n">
        <v>6</v>
      </c>
      <c r="K43" t="n">
        <v>3</v>
      </c>
      <c r="L43" t="n">
        <v>0</v>
      </c>
      <c r="M43" t="n">
        <v>0</v>
      </c>
      <c r="N43" t="n">
        <v>0</v>
      </c>
      <c r="O43" t="n">
        <v>9</v>
      </c>
      <c r="P43" t="n">
        <v>3</v>
      </c>
      <c r="Q43" t="n">
        <v>11</v>
      </c>
      <c r="R43" s="2" t="inlineStr">
        <is>
          <t>Gulbrunt nejlikfly
Korkmusslingsmal
Tajgafältmätare
Hedjordfly
Mindre aspvårvecklare
Snedstreckad fältmätare
Spybollsmal
Större aspvårvecklare
Svartfläckig högstjärt
Jättesvampmal
Större aspvedbock</t>
        </is>
      </c>
      <c r="S43">
        <f>HYPERLINK("https://klasma.github.io/Logging_0136/artfynd/A 66797-2021 artfynd.xlsx", "A 66797-2021")</f>
        <v/>
      </c>
      <c r="T43">
        <f>HYPERLINK("https://klasma.github.io/Logging_0136/kartor/A 66797-2021 karta.png", "A 66797-2021")</f>
        <v/>
      </c>
      <c r="V43">
        <f>HYPERLINK("https://klasma.github.io/Logging_0136/klagomål/A 66797-2021 FSC-klagomål.docx", "A 66797-2021")</f>
        <v/>
      </c>
      <c r="W43">
        <f>HYPERLINK("https://klasma.github.io/Logging_0136/klagomålsmail/A 66797-2021 FSC-klagomål mail.docx", "A 66797-2021")</f>
        <v/>
      </c>
      <c r="X43">
        <f>HYPERLINK("https://klasma.github.io/Logging_0136/tillsyn/A 66797-2021 tillsynsbegäran.docx", "A 66797-2021")</f>
        <v/>
      </c>
      <c r="Y43">
        <f>HYPERLINK("https://klasma.github.io/Logging_0136/tillsynsmail/A 66797-2021 tillsynsbegäran mail.docx", "A 66797-2021")</f>
        <v/>
      </c>
    </row>
    <row r="44" ht="15" customHeight="1">
      <c r="A44" t="inlineStr">
        <is>
          <t>A 22060-2022</t>
        </is>
      </c>
      <c r="B44" s="1" t="n">
        <v>44711</v>
      </c>
      <c r="C44" s="1" t="n">
        <v>45224</v>
      </c>
      <c r="D44" t="inlineStr">
        <is>
          <t>STOCKHOLMS LÄN</t>
        </is>
      </c>
      <c r="E44" t="inlineStr">
        <is>
          <t>VALLENTUNA</t>
        </is>
      </c>
      <c r="G44" t="n">
        <v>5.4</v>
      </c>
      <c r="H44" t="n">
        <v>3</v>
      </c>
      <c r="I44" t="n">
        <v>7</v>
      </c>
      <c r="J44" t="n">
        <v>2</v>
      </c>
      <c r="K44" t="n">
        <v>0</v>
      </c>
      <c r="L44" t="n">
        <v>0</v>
      </c>
      <c r="M44" t="n">
        <v>0</v>
      </c>
      <c r="N44" t="n">
        <v>0</v>
      </c>
      <c r="O44" t="n">
        <v>2</v>
      </c>
      <c r="P44" t="n">
        <v>0</v>
      </c>
      <c r="Q44" t="n">
        <v>11</v>
      </c>
      <c r="R44" s="2" t="inlineStr">
        <is>
          <t>Grönhjon
Ullticka
Bronshjon
Granbarkgnagare
Grönpyrola
Korallrot
Stubbspretmossa
Vågbandad barkbock
Ögonpyrola
Fläcknycklar
Blåsippa</t>
        </is>
      </c>
      <c r="S44">
        <f>HYPERLINK("https://klasma.github.io/Logging_0115/artfynd/A 22060-2022 artfynd.xlsx", "A 22060-2022")</f>
        <v/>
      </c>
      <c r="T44">
        <f>HYPERLINK("https://klasma.github.io/Logging_0115/kartor/A 22060-2022 karta.png", "A 22060-2022")</f>
        <v/>
      </c>
      <c r="V44">
        <f>HYPERLINK("https://klasma.github.io/Logging_0115/klagomål/A 22060-2022 FSC-klagomål.docx", "A 22060-2022")</f>
        <v/>
      </c>
      <c r="W44">
        <f>HYPERLINK("https://klasma.github.io/Logging_0115/klagomålsmail/A 22060-2022 FSC-klagomål mail.docx", "A 22060-2022")</f>
        <v/>
      </c>
      <c r="X44">
        <f>HYPERLINK("https://klasma.github.io/Logging_0115/tillsyn/A 22060-2022 tillsynsbegäran.docx", "A 22060-2022")</f>
        <v/>
      </c>
      <c r="Y44">
        <f>HYPERLINK("https://klasma.github.io/Logging_0115/tillsynsmail/A 22060-2022 tillsynsbegäran mail.docx", "A 22060-2022")</f>
        <v/>
      </c>
    </row>
    <row r="45" ht="15" customHeight="1">
      <c r="A45" t="inlineStr">
        <is>
          <t>A 61724-2022</t>
        </is>
      </c>
      <c r="B45" s="1" t="n">
        <v>44917</v>
      </c>
      <c r="C45" s="1" t="n">
        <v>45224</v>
      </c>
      <c r="D45" t="inlineStr">
        <is>
          <t>STOCKHOLMS LÄN</t>
        </is>
      </c>
      <c r="E45" t="inlineStr">
        <is>
          <t>ÖSTERÅKER</t>
        </is>
      </c>
      <c r="G45" t="n">
        <v>3.5</v>
      </c>
      <c r="H45" t="n">
        <v>2</v>
      </c>
      <c r="I45" t="n">
        <v>9</v>
      </c>
      <c r="J45" t="n">
        <v>1</v>
      </c>
      <c r="K45" t="n">
        <v>0</v>
      </c>
      <c r="L45" t="n">
        <v>0</v>
      </c>
      <c r="M45" t="n">
        <v>0</v>
      </c>
      <c r="N45" t="n">
        <v>0</v>
      </c>
      <c r="O45" t="n">
        <v>1</v>
      </c>
      <c r="P45" t="n">
        <v>0</v>
      </c>
      <c r="Q45" t="n">
        <v>11</v>
      </c>
      <c r="R45" s="2" t="inlineStr">
        <is>
          <t>Spillkråka
Bronshjon
Granbarkgnagare
Mörk husmossa
Skogshakmossa
Stubbspretmossa
Tibast
Västlig hakmossa
Vätteros
Vårärt
Blåsippa</t>
        </is>
      </c>
      <c r="S45">
        <f>HYPERLINK("https://klasma.github.io/Logging_0117/artfynd/A 61724-2022 artfynd.xlsx", "A 61724-2022")</f>
        <v/>
      </c>
      <c r="T45">
        <f>HYPERLINK("https://klasma.github.io/Logging_0117/kartor/A 61724-2022 karta.png", "A 61724-2022")</f>
        <v/>
      </c>
      <c r="V45">
        <f>HYPERLINK("https://klasma.github.io/Logging_0117/klagomål/A 61724-2022 FSC-klagomål.docx", "A 61724-2022")</f>
        <v/>
      </c>
      <c r="W45">
        <f>HYPERLINK("https://klasma.github.io/Logging_0117/klagomålsmail/A 61724-2022 FSC-klagomål mail.docx", "A 61724-2022")</f>
        <v/>
      </c>
      <c r="X45">
        <f>HYPERLINK("https://klasma.github.io/Logging_0117/tillsyn/A 61724-2022 tillsynsbegäran.docx", "A 61724-2022")</f>
        <v/>
      </c>
      <c r="Y45">
        <f>HYPERLINK("https://klasma.github.io/Logging_0117/tillsynsmail/A 61724-2022 tillsynsbegäran mail.docx", "A 61724-2022")</f>
        <v/>
      </c>
    </row>
    <row r="46" ht="15" customHeight="1">
      <c r="A46" t="inlineStr">
        <is>
          <t>A 3472-2023</t>
        </is>
      </c>
      <c r="B46" s="1" t="n">
        <v>44949</v>
      </c>
      <c r="C46" s="1" t="n">
        <v>45224</v>
      </c>
      <c r="D46" t="inlineStr">
        <is>
          <t>STOCKHOLMS LÄN</t>
        </is>
      </c>
      <c r="E46" t="inlineStr">
        <is>
          <t>NORRTÄLJE</t>
        </is>
      </c>
      <c r="G46" t="n">
        <v>26.3</v>
      </c>
      <c r="H46" t="n">
        <v>1</v>
      </c>
      <c r="I46" t="n">
        <v>7</v>
      </c>
      <c r="J46" t="n">
        <v>2</v>
      </c>
      <c r="K46" t="n">
        <v>1</v>
      </c>
      <c r="L46" t="n">
        <v>0</v>
      </c>
      <c r="M46" t="n">
        <v>0</v>
      </c>
      <c r="N46" t="n">
        <v>0</v>
      </c>
      <c r="O46" t="n">
        <v>3</v>
      </c>
      <c r="P46" t="n">
        <v>1</v>
      </c>
      <c r="Q46" t="n">
        <v>11</v>
      </c>
      <c r="R46" s="2" t="inlineStr">
        <is>
          <t>Blackticka
Tallticka
Ullticka
Aspvedgnagare
Platt fjädermossa
Rävticka
Rökmusseron
Stor aspticka
Svavelriska
Vårärt
Blåsippa</t>
        </is>
      </c>
      <c r="S46">
        <f>HYPERLINK("https://klasma.github.io/Logging_0188/artfynd/A 3472-2023 artfynd.xlsx", "A 3472-2023")</f>
        <v/>
      </c>
      <c r="T46">
        <f>HYPERLINK("https://klasma.github.io/Logging_0188/kartor/A 3472-2023 karta.png", "A 3472-2023")</f>
        <v/>
      </c>
      <c r="V46">
        <f>HYPERLINK("https://klasma.github.io/Logging_0188/klagomål/A 3472-2023 FSC-klagomål.docx", "A 3472-2023")</f>
        <v/>
      </c>
      <c r="W46">
        <f>HYPERLINK("https://klasma.github.io/Logging_0188/klagomålsmail/A 3472-2023 FSC-klagomål mail.docx", "A 3472-2023")</f>
        <v/>
      </c>
      <c r="X46">
        <f>HYPERLINK("https://klasma.github.io/Logging_0188/tillsyn/A 3472-2023 tillsynsbegäran.docx", "A 3472-2023")</f>
        <v/>
      </c>
      <c r="Y46">
        <f>HYPERLINK("https://klasma.github.io/Logging_0188/tillsynsmail/A 3472-2023 tillsynsbegäran mail.docx", "A 3472-2023")</f>
        <v/>
      </c>
    </row>
    <row r="47" ht="15" customHeight="1">
      <c r="A47" t="inlineStr">
        <is>
          <t>A 16743-2023</t>
        </is>
      </c>
      <c r="B47" s="1" t="n">
        <v>45030</v>
      </c>
      <c r="C47" s="1" t="n">
        <v>45224</v>
      </c>
      <c r="D47" t="inlineStr">
        <is>
          <t>STOCKHOLMS LÄN</t>
        </is>
      </c>
      <c r="E47" t="inlineStr">
        <is>
          <t>NORRTÄLJE</t>
        </is>
      </c>
      <c r="G47" t="n">
        <v>6</v>
      </c>
      <c r="H47" t="n">
        <v>3</v>
      </c>
      <c r="I47" t="n">
        <v>6</v>
      </c>
      <c r="J47" t="n">
        <v>1</v>
      </c>
      <c r="K47" t="n">
        <v>2</v>
      </c>
      <c r="L47" t="n">
        <v>0</v>
      </c>
      <c r="M47" t="n">
        <v>0</v>
      </c>
      <c r="N47" t="n">
        <v>0</v>
      </c>
      <c r="O47" t="n">
        <v>3</v>
      </c>
      <c r="P47" t="n">
        <v>2</v>
      </c>
      <c r="Q47" t="n">
        <v>11</v>
      </c>
      <c r="R47" s="2" t="inlineStr">
        <is>
          <t>Grangråticka
Koppartaggsvamp
Granticka
Fjällig taggsvamp s.str.
Grönpyrola
Jättesvampmal
Skarp dropptaggsvamp
Skogsknipprot
Zontaggsvamp
Nattviol
Blåsippa</t>
        </is>
      </c>
      <c r="S47">
        <f>HYPERLINK("https://klasma.github.io/Logging_0188/artfynd/A 16743-2023 artfynd.xlsx", "A 16743-2023")</f>
        <v/>
      </c>
      <c r="T47">
        <f>HYPERLINK("https://klasma.github.io/Logging_0188/kartor/A 16743-2023 karta.png", "A 16743-2023")</f>
        <v/>
      </c>
      <c r="V47">
        <f>HYPERLINK("https://klasma.github.io/Logging_0188/klagomål/A 16743-2023 FSC-klagomål.docx", "A 16743-2023")</f>
        <v/>
      </c>
      <c r="W47">
        <f>HYPERLINK("https://klasma.github.io/Logging_0188/klagomålsmail/A 16743-2023 FSC-klagomål mail.docx", "A 16743-2023")</f>
        <v/>
      </c>
      <c r="X47">
        <f>HYPERLINK("https://klasma.github.io/Logging_0188/tillsyn/A 16743-2023 tillsynsbegäran.docx", "A 16743-2023")</f>
        <v/>
      </c>
      <c r="Y47">
        <f>HYPERLINK("https://klasma.github.io/Logging_0188/tillsynsmail/A 16743-2023 tillsynsbegäran mail.docx", "A 16743-2023")</f>
        <v/>
      </c>
    </row>
    <row r="48" ht="15" customHeight="1">
      <c r="A48" t="inlineStr">
        <is>
          <t>A 21999-2019</t>
        </is>
      </c>
      <c r="B48" s="1" t="n">
        <v>43584</v>
      </c>
      <c r="C48" s="1" t="n">
        <v>45224</v>
      </c>
      <c r="D48" t="inlineStr">
        <is>
          <t>STOCKHOLMS LÄN</t>
        </is>
      </c>
      <c r="E48" t="inlineStr">
        <is>
          <t>NORRTÄLJE</t>
        </is>
      </c>
      <c r="G48" t="n">
        <v>6.4</v>
      </c>
      <c r="H48" t="n">
        <v>0</v>
      </c>
      <c r="I48" t="n">
        <v>7</v>
      </c>
      <c r="J48" t="n">
        <v>3</v>
      </c>
      <c r="K48" t="n">
        <v>0</v>
      </c>
      <c r="L48" t="n">
        <v>0</v>
      </c>
      <c r="M48" t="n">
        <v>0</v>
      </c>
      <c r="N48" t="n">
        <v>0</v>
      </c>
      <c r="O48" t="n">
        <v>3</v>
      </c>
      <c r="P48" t="n">
        <v>0</v>
      </c>
      <c r="Q48" t="n">
        <v>10</v>
      </c>
      <c r="R48" s="2" t="inlineStr">
        <is>
          <t>Dofttaggsvamp
Granticka
Orange taggsvamp
Fjällig taggsvamp s.str.
Granbräken
Skarp dropptaggsvamp
Sårläka
Thomsons trägnagare
Tibast
Vårärt</t>
        </is>
      </c>
      <c r="S48">
        <f>HYPERLINK("https://klasma.github.io/Logging_0188/artfynd/A 21999-2019 artfynd.xlsx", "A 21999-2019")</f>
        <v/>
      </c>
      <c r="T48">
        <f>HYPERLINK("https://klasma.github.io/Logging_0188/kartor/A 21999-2019 karta.png", "A 21999-2019")</f>
        <v/>
      </c>
      <c r="V48">
        <f>HYPERLINK("https://klasma.github.io/Logging_0188/klagomål/A 21999-2019 FSC-klagomål.docx", "A 21999-2019")</f>
        <v/>
      </c>
      <c r="W48">
        <f>HYPERLINK("https://klasma.github.io/Logging_0188/klagomålsmail/A 21999-2019 FSC-klagomål mail.docx", "A 21999-2019")</f>
        <v/>
      </c>
      <c r="X48">
        <f>HYPERLINK("https://klasma.github.io/Logging_0188/tillsyn/A 21999-2019 tillsynsbegäran.docx", "A 21999-2019")</f>
        <v/>
      </c>
      <c r="Y48">
        <f>HYPERLINK("https://klasma.github.io/Logging_0188/tillsynsmail/A 21999-2019 tillsynsbegäran mail.docx", "A 21999-2019")</f>
        <v/>
      </c>
    </row>
    <row r="49" ht="15" customHeight="1">
      <c r="A49" t="inlineStr">
        <is>
          <t>A 27195-2019</t>
        </is>
      </c>
      <c r="B49" s="1" t="n">
        <v>43614</v>
      </c>
      <c r="C49" s="1" t="n">
        <v>45224</v>
      </c>
      <c r="D49" t="inlineStr">
        <is>
          <t>STOCKHOLMS LÄN</t>
        </is>
      </c>
      <c r="E49" t="inlineStr">
        <is>
          <t>NORRTÄLJE</t>
        </is>
      </c>
      <c r="G49" t="n">
        <v>6.8</v>
      </c>
      <c r="H49" t="n">
        <v>0</v>
      </c>
      <c r="I49" t="n">
        <v>6</v>
      </c>
      <c r="J49" t="n">
        <v>3</v>
      </c>
      <c r="K49" t="n">
        <v>1</v>
      </c>
      <c r="L49" t="n">
        <v>0</v>
      </c>
      <c r="M49" t="n">
        <v>0</v>
      </c>
      <c r="N49" t="n">
        <v>0</v>
      </c>
      <c r="O49" t="n">
        <v>4</v>
      </c>
      <c r="P49" t="n">
        <v>1</v>
      </c>
      <c r="Q49" t="n">
        <v>10</v>
      </c>
      <c r="R49" s="2" t="inlineStr">
        <is>
          <t>Violgubbe
Granticka
Gropticka
Kandelabersvamp
Barkticka
Bronshjon
Dvärgtufs
Fjällig taggsvamp s.str.
Jättesvampmal
Skarp dropptaggsvamp</t>
        </is>
      </c>
      <c r="S49">
        <f>HYPERLINK("https://klasma.github.io/Logging_0188/artfynd/A 27195-2019 artfynd.xlsx", "A 27195-2019")</f>
        <v/>
      </c>
      <c r="T49">
        <f>HYPERLINK("https://klasma.github.io/Logging_0188/kartor/A 27195-2019 karta.png", "A 27195-2019")</f>
        <v/>
      </c>
      <c r="V49">
        <f>HYPERLINK("https://klasma.github.io/Logging_0188/klagomål/A 27195-2019 FSC-klagomål.docx", "A 27195-2019")</f>
        <v/>
      </c>
      <c r="W49">
        <f>HYPERLINK("https://klasma.github.io/Logging_0188/klagomålsmail/A 27195-2019 FSC-klagomål mail.docx", "A 27195-2019")</f>
        <v/>
      </c>
      <c r="X49">
        <f>HYPERLINK("https://klasma.github.io/Logging_0188/tillsyn/A 27195-2019 tillsynsbegäran.docx", "A 27195-2019")</f>
        <v/>
      </c>
      <c r="Y49">
        <f>HYPERLINK("https://klasma.github.io/Logging_0188/tillsynsmail/A 27195-2019 tillsynsbegäran mail.docx", "A 27195-2019")</f>
        <v/>
      </c>
    </row>
    <row r="50" ht="15" customHeight="1">
      <c r="A50" t="inlineStr">
        <is>
          <t>A 43913-2021</t>
        </is>
      </c>
      <c r="B50" s="1" t="n">
        <v>44434</v>
      </c>
      <c r="C50" s="1" t="n">
        <v>45224</v>
      </c>
      <c r="D50" t="inlineStr">
        <is>
          <t>STOCKHOLMS LÄN</t>
        </is>
      </c>
      <c r="E50" t="inlineStr">
        <is>
          <t>BOTKYRKA</t>
        </is>
      </c>
      <c r="F50" t="inlineStr">
        <is>
          <t>Kommuner</t>
        </is>
      </c>
      <c r="G50" t="n">
        <v>2.8</v>
      </c>
      <c r="H50" t="n">
        <v>1</v>
      </c>
      <c r="I50" t="n">
        <v>7</v>
      </c>
      <c r="J50" t="n">
        <v>3</v>
      </c>
      <c r="K50" t="n">
        <v>0</v>
      </c>
      <c r="L50" t="n">
        <v>0</v>
      </c>
      <c r="M50" t="n">
        <v>0</v>
      </c>
      <c r="N50" t="n">
        <v>0</v>
      </c>
      <c r="O50" t="n">
        <v>3</v>
      </c>
      <c r="P50" t="n">
        <v>0</v>
      </c>
      <c r="Q50" t="n">
        <v>10</v>
      </c>
      <c r="R50" s="2" t="inlineStr">
        <is>
          <t>Blek fingersvamp
Gul taggsvamp
Tallticka
Brandticka
Dropptaggsvamp
Fjällig taggsvamp s.str.
Grovticka
Grön sköldmossa
Jättesvampmal
Trådticka</t>
        </is>
      </c>
      <c r="S50">
        <f>HYPERLINK("https://klasma.github.io/Logging_0127/artfynd/A 43913-2021 artfynd.xlsx", "A 43913-2021")</f>
        <v/>
      </c>
      <c r="T50">
        <f>HYPERLINK("https://klasma.github.io/Logging_0127/kartor/A 43913-2021 karta.png", "A 43913-2021")</f>
        <v/>
      </c>
      <c r="U50">
        <f>HYPERLINK("https://klasma.github.io/Logging_0127/knärot/A 43913-2021 karta knärot.png", "A 43913-2021")</f>
        <v/>
      </c>
      <c r="V50">
        <f>HYPERLINK("https://klasma.github.io/Logging_0127/klagomål/A 43913-2021 FSC-klagomål.docx", "A 43913-2021")</f>
        <v/>
      </c>
      <c r="W50">
        <f>HYPERLINK("https://klasma.github.io/Logging_0127/klagomålsmail/A 43913-2021 FSC-klagomål mail.docx", "A 43913-2021")</f>
        <v/>
      </c>
      <c r="X50">
        <f>HYPERLINK("https://klasma.github.io/Logging_0127/tillsyn/A 43913-2021 tillsynsbegäran.docx", "A 43913-2021")</f>
        <v/>
      </c>
      <c r="Y50">
        <f>HYPERLINK("https://klasma.github.io/Logging_0127/tillsynsmail/A 43913-2021 tillsynsbegäran mail.docx", "A 43913-2021")</f>
        <v/>
      </c>
    </row>
    <row r="51" ht="15" customHeight="1">
      <c r="A51" t="inlineStr">
        <is>
          <t>A 4262-2023</t>
        </is>
      </c>
      <c r="B51" s="1" t="n">
        <v>44953</v>
      </c>
      <c r="C51" s="1" t="n">
        <v>45224</v>
      </c>
      <c r="D51" t="inlineStr">
        <is>
          <t>STOCKHOLMS LÄN</t>
        </is>
      </c>
      <c r="E51" t="inlineStr">
        <is>
          <t>NORRTÄLJE</t>
        </is>
      </c>
      <c r="G51" t="n">
        <v>8.699999999999999</v>
      </c>
      <c r="H51" t="n">
        <v>0</v>
      </c>
      <c r="I51" t="n">
        <v>9</v>
      </c>
      <c r="J51" t="n">
        <v>0</v>
      </c>
      <c r="K51" t="n">
        <v>1</v>
      </c>
      <c r="L51" t="n">
        <v>0</v>
      </c>
      <c r="M51" t="n">
        <v>0</v>
      </c>
      <c r="N51" t="n">
        <v>0</v>
      </c>
      <c r="O51" t="n">
        <v>1</v>
      </c>
      <c r="P51" t="n">
        <v>1</v>
      </c>
      <c r="Q51" t="n">
        <v>10</v>
      </c>
      <c r="R51" s="2" t="inlineStr">
        <is>
          <t>Grangråticka
Dofttråding
Fjällig taggsvamp s.str.
Guldkremla
Kryddspindling
Olivspindling
Rödgul trumpetsvamp
Skarp dropptaggsvamp
Strimspindling
Svavelriska</t>
        </is>
      </c>
      <c r="S51">
        <f>HYPERLINK("https://klasma.github.io/Logging_0188/artfynd/A 4262-2023 artfynd.xlsx", "A 4262-2023")</f>
        <v/>
      </c>
      <c r="T51">
        <f>HYPERLINK("https://klasma.github.io/Logging_0188/kartor/A 4262-2023 karta.png", "A 4262-2023")</f>
        <v/>
      </c>
      <c r="V51">
        <f>HYPERLINK("https://klasma.github.io/Logging_0188/klagomål/A 4262-2023 FSC-klagomål.docx", "A 4262-2023")</f>
        <v/>
      </c>
      <c r="W51">
        <f>HYPERLINK("https://klasma.github.io/Logging_0188/klagomålsmail/A 4262-2023 FSC-klagomål mail.docx", "A 4262-2023")</f>
        <v/>
      </c>
      <c r="X51">
        <f>HYPERLINK("https://klasma.github.io/Logging_0188/tillsyn/A 4262-2023 tillsynsbegäran.docx", "A 4262-2023")</f>
        <v/>
      </c>
      <c r="Y51">
        <f>HYPERLINK("https://klasma.github.io/Logging_0188/tillsynsmail/A 4262-2023 tillsynsbegäran mail.docx", "A 4262-2023")</f>
        <v/>
      </c>
    </row>
    <row r="52" ht="15" customHeight="1">
      <c r="A52" t="inlineStr">
        <is>
          <t>A 15265-2023</t>
        </is>
      </c>
      <c r="B52" s="1" t="n">
        <v>45019</v>
      </c>
      <c r="C52" s="1" t="n">
        <v>45224</v>
      </c>
      <c r="D52" t="inlineStr">
        <is>
          <t>STOCKHOLMS LÄN</t>
        </is>
      </c>
      <c r="E52" t="inlineStr">
        <is>
          <t>VALLENTUNA</t>
        </is>
      </c>
      <c r="G52" t="n">
        <v>4.2</v>
      </c>
      <c r="H52" t="n">
        <v>3</v>
      </c>
      <c r="I52" t="n">
        <v>5</v>
      </c>
      <c r="J52" t="n">
        <v>4</v>
      </c>
      <c r="K52" t="n">
        <v>0</v>
      </c>
      <c r="L52" t="n">
        <v>0</v>
      </c>
      <c r="M52" t="n">
        <v>0</v>
      </c>
      <c r="N52" t="n">
        <v>0</v>
      </c>
      <c r="O52" t="n">
        <v>4</v>
      </c>
      <c r="P52" t="n">
        <v>0</v>
      </c>
      <c r="Q52" t="n">
        <v>10</v>
      </c>
      <c r="R52" s="2" t="inlineStr">
        <is>
          <t>Asppraktbagge
Gullklöver
Mindre bastardsvärmare
Spillkråka
Ljus vedstrit
Skogsknipprot
Spindelbock
Stekelbock
Tibast
Skogsödla</t>
        </is>
      </c>
      <c r="S52">
        <f>HYPERLINK("https://klasma.github.io/Logging_0115/artfynd/A 15265-2023 artfynd.xlsx", "A 15265-2023")</f>
        <v/>
      </c>
      <c r="T52">
        <f>HYPERLINK("https://klasma.github.io/Logging_0115/kartor/A 15265-2023 karta.png", "A 15265-2023")</f>
        <v/>
      </c>
      <c r="V52">
        <f>HYPERLINK("https://klasma.github.io/Logging_0115/klagomål/A 15265-2023 FSC-klagomål.docx", "A 15265-2023")</f>
        <v/>
      </c>
      <c r="W52">
        <f>HYPERLINK("https://klasma.github.io/Logging_0115/klagomålsmail/A 15265-2023 FSC-klagomål mail.docx", "A 15265-2023")</f>
        <v/>
      </c>
      <c r="X52">
        <f>HYPERLINK("https://klasma.github.io/Logging_0115/tillsyn/A 15265-2023 tillsynsbegäran.docx", "A 15265-2023")</f>
        <v/>
      </c>
      <c r="Y52">
        <f>HYPERLINK("https://klasma.github.io/Logging_0115/tillsynsmail/A 15265-2023 tillsynsbegäran mail.docx", "A 15265-2023")</f>
        <v/>
      </c>
    </row>
    <row r="53" ht="15" customHeight="1">
      <c r="A53" t="inlineStr">
        <is>
          <t>A 31462-2023</t>
        </is>
      </c>
      <c r="B53" s="1" t="n">
        <v>45114</v>
      </c>
      <c r="C53" s="1" t="n">
        <v>45224</v>
      </c>
      <c r="D53" t="inlineStr">
        <is>
          <t>STOCKHOLMS LÄN</t>
        </is>
      </c>
      <c r="E53" t="inlineStr">
        <is>
          <t>NORRTÄLJE</t>
        </is>
      </c>
      <c r="G53" t="n">
        <v>6.8</v>
      </c>
      <c r="H53" t="n">
        <v>6</v>
      </c>
      <c r="I53" t="n">
        <v>3</v>
      </c>
      <c r="J53" t="n">
        <v>1</v>
      </c>
      <c r="K53" t="n">
        <v>0</v>
      </c>
      <c r="L53" t="n">
        <v>0</v>
      </c>
      <c r="M53" t="n">
        <v>0</v>
      </c>
      <c r="N53" t="n">
        <v>0</v>
      </c>
      <c r="O53" t="n">
        <v>1</v>
      </c>
      <c r="P53" t="n">
        <v>0</v>
      </c>
      <c r="Q53" t="n">
        <v>10</v>
      </c>
      <c r="R53" s="2" t="inlineStr">
        <is>
          <t>Ängsstarr
Gräsull
Terpentinmossa
Vågbandad barkbock
Gröngöling
Vanlig groda
Kärrknipprot
Ängsnycklar
Blåsippa
Revlummer</t>
        </is>
      </c>
      <c r="S53">
        <f>HYPERLINK("https://klasma.github.io/Logging_0188/artfynd/A 31462-2023 artfynd.xlsx", "A 31462-2023")</f>
        <v/>
      </c>
      <c r="T53">
        <f>HYPERLINK("https://klasma.github.io/Logging_0188/kartor/A 31462-2023 karta.png", "A 31462-2023")</f>
        <v/>
      </c>
      <c r="V53">
        <f>HYPERLINK("https://klasma.github.io/Logging_0188/klagomål/A 31462-2023 FSC-klagomål.docx", "A 31462-2023")</f>
        <v/>
      </c>
      <c r="W53">
        <f>HYPERLINK("https://klasma.github.io/Logging_0188/klagomålsmail/A 31462-2023 FSC-klagomål mail.docx", "A 31462-2023")</f>
        <v/>
      </c>
      <c r="X53">
        <f>HYPERLINK("https://klasma.github.io/Logging_0188/tillsyn/A 31462-2023 tillsynsbegäran.docx", "A 31462-2023")</f>
        <v/>
      </c>
      <c r="Y53">
        <f>HYPERLINK("https://klasma.github.io/Logging_0188/tillsynsmail/A 31462-2023 tillsynsbegäran mail.docx", "A 31462-2023")</f>
        <v/>
      </c>
    </row>
    <row r="54" ht="15" customHeight="1">
      <c r="A54" t="inlineStr">
        <is>
          <t>A 44847-2023</t>
        </is>
      </c>
      <c r="B54" s="1" t="n">
        <v>45190</v>
      </c>
      <c r="C54" s="1" t="n">
        <v>45224</v>
      </c>
      <c r="D54" t="inlineStr">
        <is>
          <t>STOCKHOLMS LÄN</t>
        </is>
      </c>
      <c r="E54" t="inlineStr">
        <is>
          <t>NORRTÄLJE</t>
        </is>
      </c>
      <c r="G54" t="n">
        <v>8.5</v>
      </c>
      <c r="H54" t="n">
        <v>10</v>
      </c>
      <c r="I54" t="n">
        <v>0</v>
      </c>
      <c r="J54" t="n">
        <v>5</v>
      </c>
      <c r="K54" t="n">
        <v>4</v>
      </c>
      <c r="L54" t="n">
        <v>1</v>
      </c>
      <c r="M54" t="n">
        <v>0</v>
      </c>
      <c r="N54" t="n">
        <v>0</v>
      </c>
      <c r="O54" t="n">
        <v>10</v>
      </c>
      <c r="P54" t="n">
        <v>5</v>
      </c>
      <c r="Q54" t="n">
        <v>10</v>
      </c>
      <c r="R54" s="2" t="inlineStr">
        <is>
          <t>Ejder
Gråtrut
Havstrut
Knärot
Stare
Fiskmås
Havsörn
Kråka
Skrattmås
Strandskata</t>
        </is>
      </c>
      <c r="S54">
        <f>HYPERLINK("https://klasma.github.io/Logging_0188/artfynd/A 44847-2023 artfynd.xlsx", "A 44847-2023")</f>
        <v/>
      </c>
      <c r="T54">
        <f>HYPERLINK("https://klasma.github.io/Logging_0188/kartor/A 44847-2023 karta.png", "A 44847-2023")</f>
        <v/>
      </c>
      <c r="U54">
        <f>HYPERLINK("https://klasma.github.io/Logging_0188/knärot/A 44847-2023 karta knärot.png", "A 44847-2023")</f>
        <v/>
      </c>
      <c r="V54">
        <f>HYPERLINK("https://klasma.github.io/Logging_0188/klagomål/A 44847-2023 FSC-klagomål.docx", "A 44847-2023")</f>
        <v/>
      </c>
      <c r="W54">
        <f>HYPERLINK("https://klasma.github.io/Logging_0188/klagomålsmail/A 44847-2023 FSC-klagomål mail.docx", "A 44847-2023")</f>
        <v/>
      </c>
      <c r="X54">
        <f>HYPERLINK("https://klasma.github.io/Logging_0188/tillsyn/A 44847-2023 tillsynsbegäran.docx", "A 44847-2023")</f>
        <v/>
      </c>
      <c r="Y54">
        <f>HYPERLINK("https://klasma.github.io/Logging_0188/tillsynsmail/A 44847-2023 tillsynsbegäran mail.docx", "A 44847-2023")</f>
        <v/>
      </c>
    </row>
    <row r="55" ht="15" customHeight="1">
      <c r="A55" t="inlineStr">
        <is>
          <t>A 4801-2019</t>
        </is>
      </c>
      <c r="B55" s="1" t="n">
        <v>43486</v>
      </c>
      <c r="C55" s="1" t="n">
        <v>45224</v>
      </c>
      <c r="D55" t="inlineStr">
        <is>
          <t>STOCKHOLMS LÄN</t>
        </is>
      </c>
      <c r="E55" t="inlineStr">
        <is>
          <t>SIGTUNA</t>
        </is>
      </c>
      <c r="G55" t="n">
        <v>1.4</v>
      </c>
      <c r="H55" t="n">
        <v>0</v>
      </c>
      <c r="I55" t="n">
        <v>4</v>
      </c>
      <c r="J55" t="n">
        <v>3</v>
      </c>
      <c r="K55" t="n">
        <v>2</v>
      </c>
      <c r="L55" t="n">
        <v>0</v>
      </c>
      <c r="M55" t="n">
        <v>0</v>
      </c>
      <c r="N55" t="n">
        <v>0</v>
      </c>
      <c r="O55" t="n">
        <v>5</v>
      </c>
      <c r="P55" t="n">
        <v>2</v>
      </c>
      <c r="Q55" t="n">
        <v>9</v>
      </c>
      <c r="R55" s="2" t="inlineStr">
        <is>
          <t>Gyllenfingersvamp
Läderdoftande fingersvamp
Blå taggsvamp
Gultoppig fingersvamp
Tallticka
Granriska
Kryddspindling
Stubbspretmossa
Svavelriska</t>
        </is>
      </c>
      <c r="S55">
        <f>HYPERLINK("https://klasma.github.io/Logging_0191/artfynd/A 4801-2019 artfynd.xlsx", "A 4801-2019")</f>
        <v/>
      </c>
      <c r="T55">
        <f>HYPERLINK("https://klasma.github.io/Logging_0191/kartor/A 4801-2019 karta.png", "A 4801-2019")</f>
        <v/>
      </c>
      <c r="V55">
        <f>HYPERLINK("https://klasma.github.io/Logging_0191/klagomål/A 4801-2019 FSC-klagomål.docx", "A 4801-2019")</f>
        <v/>
      </c>
      <c r="W55">
        <f>HYPERLINK("https://klasma.github.io/Logging_0191/klagomålsmail/A 4801-2019 FSC-klagomål mail.docx", "A 4801-2019")</f>
        <v/>
      </c>
      <c r="X55">
        <f>HYPERLINK("https://klasma.github.io/Logging_0191/tillsyn/A 4801-2019 tillsynsbegäran.docx", "A 4801-2019")</f>
        <v/>
      </c>
      <c r="Y55">
        <f>HYPERLINK("https://klasma.github.io/Logging_0191/tillsynsmail/A 4801-2019 tillsynsbegäran mail.docx", "A 4801-2019")</f>
        <v/>
      </c>
    </row>
    <row r="56" ht="15" customHeight="1">
      <c r="A56" t="inlineStr">
        <is>
          <t>A 6703-2020</t>
        </is>
      </c>
      <c r="B56" s="1" t="n">
        <v>43865</v>
      </c>
      <c r="C56" s="1" t="n">
        <v>45224</v>
      </c>
      <c r="D56" t="inlineStr">
        <is>
          <t>STOCKHOLMS LÄN</t>
        </is>
      </c>
      <c r="E56" t="inlineStr">
        <is>
          <t>HANINGE</t>
        </is>
      </c>
      <c r="G56" t="n">
        <v>2.3</v>
      </c>
      <c r="H56" t="n">
        <v>4</v>
      </c>
      <c r="I56" t="n">
        <v>4</v>
      </c>
      <c r="J56" t="n">
        <v>3</v>
      </c>
      <c r="K56" t="n">
        <v>0</v>
      </c>
      <c r="L56" t="n">
        <v>1</v>
      </c>
      <c r="M56" t="n">
        <v>0</v>
      </c>
      <c r="N56" t="n">
        <v>0</v>
      </c>
      <c r="O56" t="n">
        <v>4</v>
      </c>
      <c r="P56" t="n">
        <v>1</v>
      </c>
      <c r="Q56" t="n">
        <v>9</v>
      </c>
      <c r="R56" s="2" t="inlineStr">
        <is>
          <t>Ask
Gulsparv
Spillkråka
Tallticka
Grön sköldmossa
Scharlakansvårskål agg.
Skogshakmossa
Västlig hakmossa
Blåsippa</t>
        </is>
      </c>
      <c r="S56">
        <f>HYPERLINK("https://klasma.github.io/Logging_0136/artfynd/A 6703-2020 artfynd.xlsx", "A 6703-2020")</f>
        <v/>
      </c>
      <c r="T56">
        <f>HYPERLINK("https://klasma.github.io/Logging_0136/kartor/A 6703-2020 karta.png", "A 6703-2020")</f>
        <v/>
      </c>
      <c r="V56">
        <f>HYPERLINK("https://klasma.github.io/Logging_0136/klagomål/A 6703-2020 FSC-klagomål.docx", "A 6703-2020")</f>
        <v/>
      </c>
      <c r="W56">
        <f>HYPERLINK("https://klasma.github.io/Logging_0136/klagomålsmail/A 6703-2020 FSC-klagomål mail.docx", "A 6703-2020")</f>
        <v/>
      </c>
      <c r="X56">
        <f>HYPERLINK("https://klasma.github.io/Logging_0136/tillsyn/A 6703-2020 tillsynsbegäran.docx", "A 6703-2020")</f>
        <v/>
      </c>
      <c r="Y56">
        <f>HYPERLINK("https://klasma.github.io/Logging_0136/tillsynsmail/A 6703-2020 tillsynsbegäran mail.docx", "A 6703-2020")</f>
        <v/>
      </c>
    </row>
    <row r="57" ht="15" customHeight="1">
      <c r="A57" t="inlineStr">
        <is>
          <t>A 11231-2021</t>
        </is>
      </c>
      <c r="B57" s="1" t="n">
        <v>44263</v>
      </c>
      <c r="C57" s="1" t="n">
        <v>45224</v>
      </c>
      <c r="D57" t="inlineStr">
        <is>
          <t>STOCKHOLMS LÄN</t>
        </is>
      </c>
      <c r="E57" t="inlineStr">
        <is>
          <t>NORRTÄLJE</t>
        </is>
      </c>
      <c r="F57" t="inlineStr">
        <is>
          <t>Holmen skog AB</t>
        </is>
      </c>
      <c r="G57" t="n">
        <v>12</v>
      </c>
      <c r="H57" t="n">
        <v>5</v>
      </c>
      <c r="I57" t="n">
        <v>2</v>
      </c>
      <c r="J57" t="n">
        <v>5</v>
      </c>
      <c r="K57" t="n">
        <v>0</v>
      </c>
      <c r="L57" t="n">
        <v>2</v>
      </c>
      <c r="M57" t="n">
        <v>0</v>
      </c>
      <c r="N57" t="n">
        <v>0</v>
      </c>
      <c r="O57" t="n">
        <v>7</v>
      </c>
      <c r="P57" t="n">
        <v>2</v>
      </c>
      <c r="Q57" t="n">
        <v>9</v>
      </c>
      <c r="R57" s="2" t="inlineStr">
        <is>
          <t>Grönfink
Tornseglare
Fiskmås
Havsörn
Motaggsvamp
Talltita
Vedskivlav
Björksplintborre
Dropptaggsvamp</t>
        </is>
      </c>
      <c r="S57">
        <f>HYPERLINK("https://klasma.github.io/Logging_0188/artfynd/A 11231-2021 artfynd.xlsx", "A 11231-2021")</f>
        <v/>
      </c>
      <c r="T57">
        <f>HYPERLINK("https://klasma.github.io/Logging_0188/kartor/A 11231-2021 karta.png", "A 11231-2021")</f>
        <v/>
      </c>
      <c r="V57">
        <f>HYPERLINK("https://klasma.github.io/Logging_0188/klagomål/A 11231-2021 FSC-klagomål.docx", "A 11231-2021")</f>
        <v/>
      </c>
      <c r="W57">
        <f>HYPERLINK("https://klasma.github.io/Logging_0188/klagomålsmail/A 11231-2021 FSC-klagomål mail.docx", "A 11231-2021")</f>
        <v/>
      </c>
      <c r="X57">
        <f>HYPERLINK("https://klasma.github.io/Logging_0188/tillsyn/A 11231-2021 tillsynsbegäran.docx", "A 11231-2021")</f>
        <v/>
      </c>
      <c r="Y57">
        <f>HYPERLINK("https://klasma.github.io/Logging_0188/tillsynsmail/A 11231-2021 tillsynsbegäran mail.docx", "A 11231-2021")</f>
        <v/>
      </c>
    </row>
    <row r="58" ht="15" customHeight="1">
      <c r="A58" t="inlineStr">
        <is>
          <t>A 31366-2021</t>
        </is>
      </c>
      <c r="B58" s="1" t="n">
        <v>44368</v>
      </c>
      <c r="C58" s="1" t="n">
        <v>45224</v>
      </c>
      <c r="D58" t="inlineStr">
        <is>
          <t>STOCKHOLMS LÄN</t>
        </is>
      </c>
      <c r="E58" t="inlineStr">
        <is>
          <t>UPPLANDS-BRO</t>
        </is>
      </c>
      <c r="G58" t="n">
        <v>8.5</v>
      </c>
      <c r="H58" t="n">
        <v>2</v>
      </c>
      <c r="I58" t="n">
        <v>5</v>
      </c>
      <c r="J58" t="n">
        <v>2</v>
      </c>
      <c r="K58" t="n">
        <v>1</v>
      </c>
      <c r="L58" t="n">
        <v>0</v>
      </c>
      <c r="M58" t="n">
        <v>0</v>
      </c>
      <c r="N58" t="n">
        <v>0</v>
      </c>
      <c r="O58" t="n">
        <v>3</v>
      </c>
      <c r="P58" t="n">
        <v>1</v>
      </c>
      <c r="Q58" t="n">
        <v>9</v>
      </c>
      <c r="R58" s="2" t="inlineStr">
        <is>
          <t>Klotsporig murkla
Motaggsvamp
Spillkråka
Blåmossa
Rödbrun jordstjärna
Stubbspretmossa
Svavelriska
Thomsons trägnagare
Blåsippa</t>
        </is>
      </c>
      <c r="S58">
        <f>HYPERLINK("https://klasma.github.io/Logging_0139/artfynd/A 31366-2021 artfynd.xlsx", "A 31366-2021")</f>
        <v/>
      </c>
      <c r="T58">
        <f>HYPERLINK("https://klasma.github.io/Logging_0139/kartor/A 31366-2021 karta.png", "A 31366-2021")</f>
        <v/>
      </c>
      <c r="V58">
        <f>HYPERLINK("https://klasma.github.io/Logging_0139/klagomål/A 31366-2021 FSC-klagomål.docx", "A 31366-2021")</f>
        <v/>
      </c>
      <c r="W58">
        <f>HYPERLINK("https://klasma.github.io/Logging_0139/klagomålsmail/A 31366-2021 FSC-klagomål mail.docx", "A 31366-2021")</f>
        <v/>
      </c>
      <c r="X58">
        <f>HYPERLINK("https://klasma.github.io/Logging_0139/tillsyn/A 31366-2021 tillsynsbegäran.docx", "A 31366-2021")</f>
        <v/>
      </c>
      <c r="Y58">
        <f>HYPERLINK("https://klasma.github.io/Logging_0139/tillsynsmail/A 31366-2021 tillsynsbegäran mail.docx", "A 31366-2021")</f>
        <v/>
      </c>
    </row>
    <row r="59" ht="15" customHeight="1">
      <c r="A59" t="inlineStr">
        <is>
          <t>A 52815-2021</t>
        </is>
      </c>
      <c r="B59" s="1" t="n">
        <v>44467</v>
      </c>
      <c r="C59" s="1" t="n">
        <v>45224</v>
      </c>
      <c r="D59" t="inlineStr">
        <is>
          <t>STOCKHOLMS LÄN</t>
        </is>
      </c>
      <c r="E59" t="inlineStr">
        <is>
          <t>NORRTÄLJE</t>
        </is>
      </c>
      <c r="G59" t="n">
        <v>2.8</v>
      </c>
      <c r="H59" t="n">
        <v>0</v>
      </c>
      <c r="I59" t="n">
        <v>2</v>
      </c>
      <c r="J59" t="n">
        <v>2</v>
      </c>
      <c r="K59" t="n">
        <v>4</v>
      </c>
      <c r="L59" t="n">
        <v>1</v>
      </c>
      <c r="M59" t="n">
        <v>0</v>
      </c>
      <c r="N59" t="n">
        <v>0</v>
      </c>
      <c r="O59" t="n">
        <v>7</v>
      </c>
      <c r="P59" t="n">
        <v>5</v>
      </c>
      <c r="Q59" t="n">
        <v>9</v>
      </c>
      <c r="R59" s="2" t="inlineStr">
        <is>
          <t>Raggtaggsvamp
Gul lammticka
Koppartaggsvamp
Spricktaggsvamp
Svartfjällig musseron
Bittermusseron
Flattoppad klubbsvamp
Diskvaxskivling
Fjällig taggsvamp s.str.</t>
        </is>
      </c>
      <c r="S59">
        <f>HYPERLINK("https://klasma.github.io/Logging_0188/artfynd/A 52815-2021 artfynd.xlsx", "A 52815-2021")</f>
        <v/>
      </c>
      <c r="T59">
        <f>HYPERLINK("https://klasma.github.io/Logging_0188/kartor/A 52815-2021 karta.png", "A 52815-2021")</f>
        <v/>
      </c>
      <c r="V59">
        <f>HYPERLINK("https://klasma.github.io/Logging_0188/klagomål/A 52815-2021 FSC-klagomål.docx", "A 52815-2021")</f>
        <v/>
      </c>
      <c r="W59">
        <f>HYPERLINK("https://klasma.github.io/Logging_0188/klagomålsmail/A 52815-2021 FSC-klagomål mail.docx", "A 52815-2021")</f>
        <v/>
      </c>
      <c r="X59">
        <f>HYPERLINK("https://klasma.github.io/Logging_0188/tillsyn/A 52815-2021 tillsynsbegäran.docx", "A 52815-2021")</f>
        <v/>
      </c>
      <c r="Y59">
        <f>HYPERLINK("https://klasma.github.io/Logging_0188/tillsynsmail/A 52815-2021 tillsynsbegäran mail.docx", "A 52815-2021")</f>
        <v/>
      </c>
    </row>
    <row r="60" ht="15" customHeight="1">
      <c r="A60" t="inlineStr">
        <is>
          <t>A 4779-2019</t>
        </is>
      </c>
      <c r="B60" s="1" t="n">
        <v>43486</v>
      </c>
      <c r="C60" s="1" t="n">
        <v>45224</v>
      </c>
      <c r="D60" t="inlineStr">
        <is>
          <t>STOCKHOLMS LÄN</t>
        </is>
      </c>
      <c r="E60" t="inlineStr">
        <is>
          <t>VÄRMDÖ</t>
        </is>
      </c>
      <c r="F60" t="inlineStr">
        <is>
          <t>Övriga Aktiebolag</t>
        </is>
      </c>
      <c r="G60" t="n">
        <v>8.800000000000001</v>
      </c>
      <c r="H60" t="n">
        <v>4</v>
      </c>
      <c r="I60" t="n">
        <v>5</v>
      </c>
      <c r="J60" t="n">
        <v>2</v>
      </c>
      <c r="K60" t="n">
        <v>0</v>
      </c>
      <c r="L60" t="n">
        <v>0</v>
      </c>
      <c r="M60" t="n">
        <v>0</v>
      </c>
      <c r="N60" t="n">
        <v>0</v>
      </c>
      <c r="O60" t="n">
        <v>2</v>
      </c>
      <c r="P60" t="n">
        <v>0</v>
      </c>
      <c r="Q60" t="n">
        <v>8</v>
      </c>
      <c r="R60" s="2" t="inlineStr">
        <is>
          <t>Duvhök
Fyrflikig jordstjärna
Grovticka
Grön sköldmossa
Guldlockmossa
Skogsknipprot
Stor aspticka
Vanlig groda</t>
        </is>
      </c>
      <c r="S60">
        <f>HYPERLINK("https://klasma.github.io/Logging_0120/artfynd/A 4779-2019 artfynd.xlsx", "A 4779-2019")</f>
        <v/>
      </c>
      <c r="T60">
        <f>HYPERLINK("https://klasma.github.io/Logging_0120/kartor/A 4779-2019 karta.png", "A 4779-2019")</f>
        <v/>
      </c>
      <c r="V60">
        <f>HYPERLINK("https://klasma.github.io/Logging_0120/klagomål/A 4779-2019 FSC-klagomål.docx", "A 4779-2019")</f>
        <v/>
      </c>
      <c r="W60">
        <f>HYPERLINK("https://klasma.github.io/Logging_0120/klagomålsmail/A 4779-2019 FSC-klagomål mail.docx", "A 4779-2019")</f>
        <v/>
      </c>
      <c r="X60">
        <f>HYPERLINK("https://klasma.github.io/Logging_0120/tillsyn/A 4779-2019 tillsynsbegäran.docx", "A 4779-2019")</f>
        <v/>
      </c>
      <c r="Y60">
        <f>HYPERLINK("https://klasma.github.io/Logging_0120/tillsynsmail/A 4779-2019 tillsynsbegäran mail.docx", "A 4779-2019")</f>
        <v/>
      </c>
    </row>
    <row r="61" ht="15" customHeight="1">
      <c r="A61" t="inlineStr">
        <is>
          <t>A 9148-2020</t>
        </is>
      </c>
      <c r="B61" s="1" t="n">
        <v>43879</v>
      </c>
      <c r="C61" s="1" t="n">
        <v>45224</v>
      </c>
      <c r="D61" t="inlineStr">
        <is>
          <t>STOCKHOLMS LÄN</t>
        </is>
      </c>
      <c r="E61" t="inlineStr">
        <is>
          <t>SALEM</t>
        </is>
      </c>
      <c r="F61" t="inlineStr">
        <is>
          <t>Kommuner</t>
        </is>
      </c>
      <c r="G61" t="n">
        <v>2.1</v>
      </c>
      <c r="H61" t="n">
        <v>1</v>
      </c>
      <c r="I61" t="n">
        <v>6</v>
      </c>
      <c r="J61" t="n">
        <v>2</v>
      </c>
      <c r="K61" t="n">
        <v>0</v>
      </c>
      <c r="L61" t="n">
        <v>0</v>
      </c>
      <c r="M61" t="n">
        <v>0</v>
      </c>
      <c r="N61" t="n">
        <v>0</v>
      </c>
      <c r="O61" t="n">
        <v>2</v>
      </c>
      <c r="P61" t="n">
        <v>0</v>
      </c>
      <c r="Q61" t="n">
        <v>8</v>
      </c>
      <c r="R61" s="2" t="inlineStr">
        <is>
          <t>Granticka
Kandelabersvamp
Bronshjon
Fjällig taggsvamp s.str.
Grovticka
Grön sköldmossa
Hasselticka
Skarp dropptaggsvamp</t>
        </is>
      </c>
      <c r="S61">
        <f>HYPERLINK("https://klasma.github.io/Logging_0128/artfynd/A 9148-2020 artfynd.xlsx", "A 9148-2020")</f>
        <v/>
      </c>
      <c r="T61">
        <f>HYPERLINK("https://klasma.github.io/Logging_0128/kartor/A 9148-2020 karta.png", "A 9148-2020")</f>
        <v/>
      </c>
      <c r="V61">
        <f>HYPERLINK("https://klasma.github.io/Logging_0128/klagomål/A 9148-2020 FSC-klagomål.docx", "A 9148-2020")</f>
        <v/>
      </c>
      <c r="W61">
        <f>HYPERLINK("https://klasma.github.io/Logging_0128/klagomålsmail/A 9148-2020 FSC-klagomål mail.docx", "A 9148-2020")</f>
        <v/>
      </c>
      <c r="X61">
        <f>HYPERLINK("https://klasma.github.io/Logging_0128/tillsyn/A 9148-2020 tillsynsbegäran.docx", "A 9148-2020")</f>
        <v/>
      </c>
      <c r="Y61">
        <f>HYPERLINK("https://klasma.github.io/Logging_0128/tillsynsmail/A 9148-2020 tillsynsbegäran mail.docx", "A 9148-2020")</f>
        <v/>
      </c>
    </row>
    <row r="62" ht="15" customHeight="1">
      <c r="A62" t="inlineStr">
        <is>
          <t>A 27838-2021</t>
        </is>
      </c>
      <c r="B62" s="1" t="n">
        <v>44354</v>
      </c>
      <c r="C62" s="1" t="n">
        <v>45224</v>
      </c>
      <c r="D62" t="inlineStr">
        <is>
          <t>STOCKHOLMS LÄN</t>
        </is>
      </c>
      <c r="E62" t="inlineStr">
        <is>
          <t>SÖDERTÄLJE</t>
        </is>
      </c>
      <c r="F62" t="inlineStr">
        <is>
          <t>Sveaskog</t>
        </is>
      </c>
      <c r="G62" t="n">
        <v>3.8</v>
      </c>
      <c r="H62" t="n">
        <v>1</v>
      </c>
      <c r="I62" t="n">
        <v>5</v>
      </c>
      <c r="J62" t="n">
        <v>3</v>
      </c>
      <c r="K62" t="n">
        <v>0</v>
      </c>
      <c r="L62" t="n">
        <v>0</v>
      </c>
      <c r="M62" t="n">
        <v>0</v>
      </c>
      <c r="N62" t="n">
        <v>0</v>
      </c>
      <c r="O62" t="n">
        <v>3</v>
      </c>
      <c r="P62" t="n">
        <v>0</v>
      </c>
      <c r="Q62" t="n">
        <v>8</v>
      </c>
      <c r="R62" s="2" t="inlineStr">
        <is>
          <t>Ekticka
Kortskaftad ärgspik
Rödbrun blekspik
Grön sköldmossa
Guldlockmossa
Kornig nållav
Rostfläck
Vätteros</t>
        </is>
      </c>
      <c r="S62">
        <f>HYPERLINK("https://klasma.github.io/Logging_0181/artfynd/A 27838-2021 artfynd.xlsx", "A 27838-2021")</f>
        <v/>
      </c>
      <c r="T62">
        <f>HYPERLINK("https://klasma.github.io/Logging_0181/kartor/A 27838-2021 karta.png", "A 27838-2021")</f>
        <v/>
      </c>
      <c r="V62">
        <f>HYPERLINK("https://klasma.github.io/Logging_0181/klagomål/A 27838-2021 FSC-klagomål.docx", "A 27838-2021")</f>
        <v/>
      </c>
      <c r="W62">
        <f>HYPERLINK("https://klasma.github.io/Logging_0181/klagomålsmail/A 27838-2021 FSC-klagomål mail.docx", "A 27838-2021")</f>
        <v/>
      </c>
      <c r="X62">
        <f>HYPERLINK("https://klasma.github.io/Logging_0181/tillsyn/A 27838-2021 tillsynsbegäran.docx", "A 27838-2021")</f>
        <v/>
      </c>
      <c r="Y62">
        <f>HYPERLINK("https://klasma.github.io/Logging_0181/tillsynsmail/A 27838-2021 tillsynsbegäran mail.docx", "A 27838-2021")</f>
        <v/>
      </c>
    </row>
    <row r="63" ht="15" customHeight="1">
      <c r="A63" t="inlineStr">
        <is>
          <t>A 29817-2021</t>
        </is>
      </c>
      <c r="B63" s="1" t="n">
        <v>44362</v>
      </c>
      <c r="C63" s="1" t="n">
        <v>45224</v>
      </c>
      <c r="D63" t="inlineStr">
        <is>
          <t>STOCKHOLMS LÄN</t>
        </is>
      </c>
      <c r="E63" t="inlineStr">
        <is>
          <t>VÄRMDÖ</t>
        </is>
      </c>
      <c r="F63" t="inlineStr">
        <is>
          <t>Övriga Aktiebolag</t>
        </is>
      </c>
      <c r="G63" t="n">
        <v>5</v>
      </c>
      <c r="H63" t="n">
        <v>2</v>
      </c>
      <c r="I63" t="n">
        <v>4</v>
      </c>
      <c r="J63" t="n">
        <v>2</v>
      </c>
      <c r="K63" t="n">
        <v>0</v>
      </c>
      <c r="L63" t="n">
        <v>1</v>
      </c>
      <c r="M63" t="n">
        <v>0</v>
      </c>
      <c r="N63" t="n">
        <v>0</v>
      </c>
      <c r="O63" t="n">
        <v>3</v>
      </c>
      <c r="P63" t="n">
        <v>1</v>
      </c>
      <c r="Q63" t="n">
        <v>8</v>
      </c>
      <c r="R63" s="2" t="inlineStr">
        <is>
          <t>Ryl
Svartvit flugsnappare
Tallticka
Granbarkgnagare
Grovticka
Myskbock
Stubbspretmossa
Blåsippa</t>
        </is>
      </c>
      <c r="S63">
        <f>HYPERLINK("https://klasma.github.io/Logging_0120/artfynd/A 29817-2021 artfynd.xlsx", "A 29817-2021")</f>
        <v/>
      </c>
      <c r="T63">
        <f>HYPERLINK("https://klasma.github.io/Logging_0120/kartor/A 29817-2021 karta.png", "A 29817-2021")</f>
        <v/>
      </c>
      <c r="V63">
        <f>HYPERLINK("https://klasma.github.io/Logging_0120/klagomål/A 29817-2021 FSC-klagomål.docx", "A 29817-2021")</f>
        <v/>
      </c>
      <c r="W63">
        <f>HYPERLINK("https://klasma.github.io/Logging_0120/klagomålsmail/A 29817-2021 FSC-klagomål mail.docx", "A 29817-2021")</f>
        <v/>
      </c>
      <c r="X63">
        <f>HYPERLINK("https://klasma.github.io/Logging_0120/tillsyn/A 29817-2021 tillsynsbegäran.docx", "A 29817-2021")</f>
        <v/>
      </c>
      <c r="Y63">
        <f>HYPERLINK("https://klasma.github.io/Logging_0120/tillsynsmail/A 29817-2021 tillsynsbegäran mail.docx", "A 29817-2021")</f>
        <v/>
      </c>
    </row>
    <row r="64" ht="15" customHeight="1">
      <c r="A64" t="inlineStr">
        <is>
          <t>A 25512-2022</t>
        </is>
      </c>
      <c r="B64" s="1" t="n">
        <v>44732</v>
      </c>
      <c r="C64" s="1" t="n">
        <v>45224</v>
      </c>
      <c r="D64" t="inlineStr">
        <is>
          <t>STOCKHOLMS LÄN</t>
        </is>
      </c>
      <c r="E64" t="inlineStr">
        <is>
          <t>VALLENTUNA</t>
        </is>
      </c>
      <c r="G64" t="n">
        <v>13.8</v>
      </c>
      <c r="H64" t="n">
        <v>0</v>
      </c>
      <c r="I64" t="n">
        <v>5</v>
      </c>
      <c r="J64" t="n">
        <v>3</v>
      </c>
      <c r="K64" t="n">
        <v>0</v>
      </c>
      <c r="L64" t="n">
        <v>0</v>
      </c>
      <c r="M64" t="n">
        <v>0</v>
      </c>
      <c r="N64" t="n">
        <v>0</v>
      </c>
      <c r="O64" t="n">
        <v>3</v>
      </c>
      <c r="P64" t="n">
        <v>0</v>
      </c>
      <c r="Q64" t="n">
        <v>8</v>
      </c>
      <c r="R64" s="2" t="inlineStr">
        <is>
          <t>Granticka
Gränsticka
Orange taggsvamp
Fjällig taggsvamp s.str.
Gullgröppa
Rödgul trumpetsvamp
Skarp dropptaggsvamp
Vedticka</t>
        </is>
      </c>
      <c r="S64">
        <f>HYPERLINK("https://klasma.github.io/Logging_0115/artfynd/A 25512-2022 artfynd.xlsx", "A 25512-2022")</f>
        <v/>
      </c>
      <c r="T64">
        <f>HYPERLINK("https://klasma.github.io/Logging_0115/kartor/A 25512-2022 karta.png", "A 25512-2022")</f>
        <v/>
      </c>
      <c r="V64">
        <f>HYPERLINK("https://klasma.github.io/Logging_0115/klagomål/A 25512-2022 FSC-klagomål.docx", "A 25512-2022")</f>
        <v/>
      </c>
      <c r="W64">
        <f>HYPERLINK("https://klasma.github.io/Logging_0115/klagomålsmail/A 25512-2022 FSC-klagomål mail.docx", "A 25512-2022")</f>
        <v/>
      </c>
      <c r="X64">
        <f>HYPERLINK("https://klasma.github.io/Logging_0115/tillsyn/A 25512-2022 tillsynsbegäran.docx", "A 25512-2022")</f>
        <v/>
      </c>
      <c r="Y64">
        <f>HYPERLINK("https://klasma.github.io/Logging_0115/tillsynsmail/A 25512-2022 tillsynsbegäran mail.docx", "A 25512-2022")</f>
        <v/>
      </c>
    </row>
    <row r="65" ht="15" customHeight="1">
      <c r="A65" t="inlineStr">
        <is>
          <t>A 48658-2022</t>
        </is>
      </c>
      <c r="B65" s="1" t="n">
        <v>44859</v>
      </c>
      <c r="C65" s="1" t="n">
        <v>45224</v>
      </c>
      <c r="D65" t="inlineStr">
        <is>
          <t>STOCKHOLMS LÄN</t>
        </is>
      </c>
      <c r="E65" t="inlineStr">
        <is>
          <t>VÄRMDÖ</t>
        </is>
      </c>
      <c r="G65" t="n">
        <v>8.1</v>
      </c>
      <c r="H65" t="n">
        <v>0</v>
      </c>
      <c r="I65" t="n">
        <v>5</v>
      </c>
      <c r="J65" t="n">
        <v>3</v>
      </c>
      <c r="K65" t="n">
        <v>0</v>
      </c>
      <c r="L65" t="n">
        <v>0</v>
      </c>
      <c r="M65" t="n">
        <v>0</v>
      </c>
      <c r="N65" t="n">
        <v>0</v>
      </c>
      <c r="O65" t="n">
        <v>3</v>
      </c>
      <c r="P65" t="n">
        <v>0</v>
      </c>
      <c r="Q65" t="n">
        <v>8</v>
      </c>
      <c r="R65" s="2" t="inlineStr">
        <is>
          <t>Rosenticka
Tallticka
Ullticka
Blåmossa
Bronshjon
Flagellkvastmossa
Kattfotslav
Rödgul trumpetsvamp</t>
        </is>
      </c>
      <c r="S65">
        <f>HYPERLINK("https://klasma.github.io/Logging_0120/artfynd/A 48658-2022 artfynd.xlsx", "A 48658-2022")</f>
        <v/>
      </c>
      <c r="T65">
        <f>HYPERLINK("https://klasma.github.io/Logging_0120/kartor/A 48658-2022 karta.png", "A 48658-2022")</f>
        <v/>
      </c>
      <c r="V65">
        <f>HYPERLINK("https://klasma.github.io/Logging_0120/klagomål/A 48658-2022 FSC-klagomål.docx", "A 48658-2022")</f>
        <v/>
      </c>
      <c r="W65">
        <f>HYPERLINK("https://klasma.github.io/Logging_0120/klagomålsmail/A 48658-2022 FSC-klagomål mail.docx", "A 48658-2022")</f>
        <v/>
      </c>
      <c r="X65">
        <f>HYPERLINK("https://klasma.github.io/Logging_0120/tillsyn/A 48658-2022 tillsynsbegäran.docx", "A 48658-2022")</f>
        <v/>
      </c>
      <c r="Y65">
        <f>HYPERLINK("https://klasma.github.io/Logging_0120/tillsynsmail/A 48658-2022 tillsynsbegäran mail.docx", "A 48658-2022")</f>
        <v/>
      </c>
    </row>
    <row r="66" ht="15" customHeight="1">
      <c r="A66" t="inlineStr">
        <is>
          <t>A 14020-2023</t>
        </is>
      </c>
      <c r="B66" s="1" t="n">
        <v>45008</v>
      </c>
      <c r="C66" s="1" t="n">
        <v>45224</v>
      </c>
      <c r="D66" t="inlineStr">
        <is>
          <t>STOCKHOLMS LÄN</t>
        </is>
      </c>
      <c r="E66" t="inlineStr">
        <is>
          <t>EKERÖ</t>
        </is>
      </c>
      <c r="G66" t="n">
        <v>9.300000000000001</v>
      </c>
      <c r="H66" t="n">
        <v>2</v>
      </c>
      <c r="I66" t="n">
        <v>2</v>
      </c>
      <c r="J66" t="n">
        <v>3</v>
      </c>
      <c r="K66" t="n">
        <v>1</v>
      </c>
      <c r="L66" t="n">
        <v>1</v>
      </c>
      <c r="M66" t="n">
        <v>0</v>
      </c>
      <c r="N66" t="n">
        <v>0</v>
      </c>
      <c r="O66" t="n">
        <v>5</v>
      </c>
      <c r="P66" t="n">
        <v>2</v>
      </c>
      <c r="Q66" t="n">
        <v>8</v>
      </c>
      <c r="R66" s="2" t="inlineStr">
        <is>
          <t>Ryl
Spricktaggsvamp
Backtimjan
Orange taggsvamp
Spillkråka
Dropptaggsvamp
Grönpyrola
Kopparödla</t>
        </is>
      </c>
      <c r="S66">
        <f>HYPERLINK("https://klasma.github.io/Logging_0125/artfynd/A 14020-2023 artfynd.xlsx", "A 14020-2023")</f>
        <v/>
      </c>
      <c r="T66">
        <f>HYPERLINK("https://klasma.github.io/Logging_0125/kartor/A 14020-2023 karta.png", "A 14020-2023")</f>
        <v/>
      </c>
      <c r="V66">
        <f>HYPERLINK("https://klasma.github.io/Logging_0125/klagomål/A 14020-2023 FSC-klagomål.docx", "A 14020-2023")</f>
        <v/>
      </c>
      <c r="W66">
        <f>HYPERLINK("https://klasma.github.io/Logging_0125/klagomålsmail/A 14020-2023 FSC-klagomål mail.docx", "A 14020-2023")</f>
        <v/>
      </c>
      <c r="X66">
        <f>HYPERLINK("https://klasma.github.io/Logging_0125/tillsyn/A 14020-2023 tillsynsbegäran.docx", "A 14020-2023")</f>
        <v/>
      </c>
      <c r="Y66">
        <f>HYPERLINK("https://klasma.github.io/Logging_0125/tillsynsmail/A 14020-2023 tillsynsbegäran mail.docx", "A 14020-2023")</f>
        <v/>
      </c>
    </row>
    <row r="67" ht="15" customHeight="1">
      <c r="A67" t="inlineStr">
        <is>
          <t>A 4794-2019</t>
        </is>
      </c>
      <c r="B67" s="1" t="n">
        <v>43486</v>
      </c>
      <c r="C67" s="1" t="n">
        <v>45224</v>
      </c>
      <c r="D67" t="inlineStr">
        <is>
          <t>STOCKHOLMS LÄN</t>
        </is>
      </c>
      <c r="E67" t="inlineStr">
        <is>
          <t>SIGTUNA</t>
        </is>
      </c>
      <c r="G67" t="n">
        <v>1.3</v>
      </c>
      <c r="H67" t="n">
        <v>0</v>
      </c>
      <c r="I67" t="n">
        <v>3</v>
      </c>
      <c r="J67" t="n">
        <v>3</v>
      </c>
      <c r="K67" t="n">
        <v>1</v>
      </c>
      <c r="L67" t="n">
        <v>0</v>
      </c>
      <c r="M67" t="n">
        <v>0</v>
      </c>
      <c r="N67" t="n">
        <v>0</v>
      </c>
      <c r="O67" t="n">
        <v>4</v>
      </c>
      <c r="P67" t="n">
        <v>1</v>
      </c>
      <c r="Q67" t="n">
        <v>7</v>
      </c>
      <c r="R67" s="2" t="inlineStr">
        <is>
          <t>Läderdoftande fingersvamp
Motaggsvamp
Svart taggsvamp
Tallticka
Blomkålssvamp
Grovticka
Skarp dropptaggsvamp</t>
        </is>
      </c>
      <c r="S67">
        <f>HYPERLINK("https://klasma.github.io/Logging_0191/artfynd/A 4794-2019 artfynd.xlsx", "A 4794-2019")</f>
        <v/>
      </c>
      <c r="T67">
        <f>HYPERLINK("https://klasma.github.io/Logging_0191/kartor/A 4794-2019 karta.png", "A 4794-2019")</f>
        <v/>
      </c>
      <c r="V67">
        <f>HYPERLINK("https://klasma.github.io/Logging_0191/klagomål/A 4794-2019 FSC-klagomål.docx", "A 4794-2019")</f>
        <v/>
      </c>
      <c r="W67">
        <f>HYPERLINK("https://klasma.github.io/Logging_0191/klagomålsmail/A 4794-2019 FSC-klagomål mail.docx", "A 4794-2019")</f>
        <v/>
      </c>
      <c r="X67">
        <f>HYPERLINK("https://klasma.github.io/Logging_0191/tillsyn/A 4794-2019 tillsynsbegäran.docx", "A 4794-2019")</f>
        <v/>
      </c>
      <c r="Y67">
        <f>HYPERLINK("https://klasma.github.io/Logging_0191/tillsynsmail/A 4794-2019 tillsynsbegäran mail.docx", "A 4794-2019")</f>
        <v/>
      </c>
    </row>
    <row r="68" ht="15" customHeight="1">
      <c r="A68" t="inlineStr">
        <is>
          <t>A 7430-2020</t>
        </is>
      </c>
      <c r="B68" s="1" t="n">
        <v>43871</v>
      </c>
      <c r="C68" s="1" t="n">
        <v>45224</v>
      </c>
      <c r="D68" t="inlineStr">
        <is>
          <t>STOCKHOLMS LÄN</t>
        </is>
      </c>
      <c r="E68" t="inlineStr">
        <is>
          <t>NYNÄSHAMN</t>
        </is>
      </c>
      <c r="F68" t="inlineStr">
        <is>
          <t>Kommuner</t>
        </is>
      </c>
      <c r="G68" t="n">
        <v>1.5</v>
      </c>
      <c r="H68" t="n">
        <v>6</v>
      </c>
      <c r="I68" t="n">
        <v>1</v>
      </c>
      <c r="J68" t="n">
        <v>2</v>
      </c>
      <c r="K68" t="n">
        <v>0</v>
      </c>
      <c r="L68" t="n">
        <v>0</v>
      </c>
      <c r="M68" t="n">
        <v>0</v>
      </c>
      <c r="N68" t="n">
        <v>0</v>
      </c>
      <c r="O68" t="n">
        <v>2</v>
      </c>
      <c r="P68" t="n">
        <v>0</v>
      </c>
      <c r="Q68" t="n">
        <v>7</v>
      </c>
      <c r="R68" s="2" t="inlineStr">
        <is>
          <t>Nordfladdermus
Sydfladdermus
Vågbandad barkbock
Dvärgpipistrell
Gråskimlig fladdermus
Större brunfladdermus
Vattenfladdermus</t>
        </is>
      </c>
      <c r="S68">
        <f>HYPERLINK("https://klasma.github.io/Logging_0192/artfynd/A 7430-2020 artfynd.xlsx", "A 7430-2020")</f>
        <v/>
      </c>
      <c r="T68">
        <f>HYPERLINK("https://klasma.github.io/Logging_0192/kartor/A 7430-2020 karta.png", "A 7430-2020")</f>
        <v/>
      </c>
      <c r="V68">
        <f>HYPERLINK("https://klasma.github.io/Logging_0192/klagomål/A 7430-2020 FSC-klagomål.docx", "A 7430-2020")</f>
        <v/>
      </c>
      <c r="W68">
        <f>HYPERLINK("https://klasma.github.io/Logging_0192/klagomålsmail/A 7430-2020 FSC-klagomål mail.docx", "A 7430-2020")</f>
        <v/>
      </c>
      <c r="X68">
        <f>HYPERLINK("https://klasma.github.io/Logging_0192/tillsyn/A 7430-2020 tillsynsbegäran.docx", "A 7430-2020")</f>
        <v/>
      </c>
      <c r="Y68">
        <f>HYPERLINK("https://klasma.github.io/Logging_0192/tillsynsmail/A 7430-2020 tillsynsbegäran mail.docx", "A 7430-2020")</f>
        <v/>
      </c>
    </row>
    <row r="69" ht="15" customHeight="1">
      <c r="A69" t="inlineStr">
        <is>
          <t>A 12772-2021</t>
        </is>
      </c>
      <c r="B69" s="1" t="n">
        <v>44270</v>
      </c>
      <c r="C69" s="1" t="n">
        <v>45224</v>
      </c>
      <c r="D69" t="inlineStr">
        <is>
          <t>STOCKHOLMS LÄN</t>
        </is>
      </c>
      <c r="E69" t="inlineStr">
        <is>
          <t>SÖDERTÄLJE</t>
        </is>
      </c>
      <c r="G69" t="n">
        <v>31.5</v>
      </c>
      <c r="H69" t="n">
        <v>0</v>
      </c>
      <c r="I69" t="n">
        <v>6</v>
      </c>
      <c r="J69" t="n">
        <v>1</v>
      </c>
      <c r="K69" t="n">
        <v>0</v>
      </c>
      <c r="L69" t="n">
        <v>0</v>
      </c>
      <c r="M69" t="n">
        <v>0</v>
      </c>
      <c r="N69" t="n">
        <v>0</v>
      </c>
      <c r="O69" t="n">
        <v>1</v>
      </c>
      <c r="P69" t="n">
        <v>0</v>
      </c>
      <c r="Q69" t="n">
        <v>7</v>
      </c>
      <c r="R69" s="2" t="inlineStr">
        <is>
          <t>Skogshare
Gul vaxskivling
Mönjevaxskivling
Spröd vaxskivling
Toppvaxskivling
Vit vaxskivling
Ängsvaxskivling</t>
        </is>
      </c>
      <c r="S69">
        <f>HYPERLINK("https://klasma.github.io/Logging_0181/artfynd/A 12772-2021 artfynd.xlsx", "A 12772-2021")</f>
        <v/>
      </c>
      <c r="T69">
        <f>HYPERLINK("https://klasma.github.io/Logging_0181/kartor/A 12772-2021 karta.png", "A 12772-2021")</f>
        <v/>
      </c>
      <c r="V69">
        <f>HYPERLINK("https://klasma.github.io/Logging_0181/klagomål/A 12772-2021 FSC-klagomål.docx", "A 12772-2021")</f>
        <v/>
      </c>
      <c r="W69">
        <f>HYPERLINK("https://klasma.github.io/Logging_0181/klagomålsmail/A 12772-2021 FSC-klagomål mail.docx", "A 12772-2021")</f>
        <v/>
      </c>
      <c r="X69">
        <f>HYPERLINK("https://klasma.github.io/Logging_0181/tillsyn/A 12772-2021 tillsynsbegäran.docx", "A 12772-2021")</f>
        <v/>
      </c>
      <c r="Y69">
        <f>HYPERLINK("https://klasma.github.io/Logging_0181/tillsynsmail/A 12772-2021 tillsynsbegäran mail.docx", "A 12772-2021")</f>
        <v/>
      </c>
    </row>
    <row r="70" ht="15" customHeight="1">
      <c r="A70" t="inlineStr">
        <is>
          <t>A 47346-2021</t>
        </is>
      </c>
      <c r="B70" s="1" t="n">
        <v>44447</v>
      </c>
      <c r="C70" s="1" t="n">
        <v>45224</v>
      </c>
      <c r="D70" t="inlineStr">
        <is>
          <t>STOCKHOLMS LÄN</t>
        </is>
      </c>
      <c r="E70" t="inlineStr">
        <is>
          <t>NORRTÄLJE</t>
        </is>
      </c>
      <c r="G70" t="n">
        <v>5.5</v>
      </c>
      <c r="H70" t="n">
        <v>1</v>
      </c>
      <c r="I70" t="n">
        <v>4</v>
      </c>
      <c r="J70" t="n">
        <v>0</v>
      </c>
      <c r="K70" t="n">
        <v>2</v>
      </c>
      <c r="L70" t="n">
        <v>0</v>
      </c>
      <c r="M70" t="n">
        <v>0</v>
      </c>
      <c r="N70" t="n">
        <v>0</v>
      </c>
      <c r="O70" t="n">
        <v>2</v>
      </c>
      <c r="P70" t="n">
        <v>2</v>
      </c>
      <c r="Q70" t="n">
        <v>7</v>
      </c>
      <c r="R70" s="2" t="inlineStr">
        <is>
          <t>Grangråticka
Violgubbe
Anisspindling
Fjällig taggsvamp s.str.
Skarp dropptaggsvamp
Toppvaxskivling
Revlummer</t>
        </is>
      </c>
      <c r="S70">
        <f>HYPERLINK("https://klasma.github.io/Logging_0188/artfynd/A 47346-2021 artfynd.xlsx", "A 47346-2021")</f>
        <v/>
      </c>
      <c r="T70">
        <f>HYPERLINK("https://klasma.github.io/Logging_0188/kartor/A 47346-2021 karta.png", "A 47346-2021")</f>
        <v/>
      </c>
      <c r="V70">
        <f>HYPERLINK("https://klasma.github.io/Logging_0188/klagomål/A 47346-2021 FSC-klagomål.docx", "A 47346-2021")</f>
        <v/>
      </c>
      <c r="W70">
        <f>HYPERLINK("https://klasma.github.io/Logging_0188/klagomålsmail/A 47346-2021 FSC-klagomål mail.docx", "A 47346-2021")</f>
        <v/>
      </c>
      <c r="X70">
        <f>HYPERLINK("https://klasma.github.io/Logging_0188/tillsyn/A 47346-2021 tillsynsbegäran.docx", "A 47346-2021")</f>
        <v/>
      </c>
      <c r="Y70">
        <f>HYPERLINK("https://klasma.github.io/Logging_0188/tillsynsmail/A 47346-2021 tillsynsbegäran mail.docx", "A 47346-2021")</f>
        <v/>
      </c>
    </row>
    <row r="71" ht="15" customHeight="1">
      <c r="A71" t="inlineStr">
        <is>
          <t>A 13933-2022</t>
        </is>
      </c>
      <c r="B71" s="1" t="n">
        <v>44650</v>
      </c>
      <c r="C71" s="1" t="n">
        <v>45224</v>
      </c>
      <c r="D71" t="inlineStr">
        <is>
          <t>STOCKHOLMS LÄN</t>
        </is>
      </c>
      <c r="E71" t="inlineStr">
        <is>
          <t>NORRTÄLJE</t>
        </is>
      </c>
      <c r="G71" t="n">
        <v>4.4</v>
      </c>
      <c r="H71" t="n">
        <v>3</v>
      </c>
      <c r="I71" t="n">
        <v>5</v>
      </c>
      <c r="J71" t="n">
        <v>1</v>
      </c>
      <c r="K71" t="n">
        <v>0</v>
      </c>
      <c r="L71" t="n">
        <v>0</v>
      </c>
      <c r="M71" t="n">
        <v>0</v>
      </c>
      <c r="N71" t="n">
        <v>0</v>
      </c>
      <c r="O71" t="n">
        <v>1</v>
      </c>
      <c r="P71" t="n">
        <v>0</v>
      </c>
      <c r="Q71" t="n">
        <v>7</v>
      </c>
      <c r="R71" s="2" t="inlineStr">
        <is>
          <t>Ullticka
Grön sköldmossa
Nästrot
Skogshakmossa
Tibast
Ögonpyrola
Blåsippa</t>
        </is>
      </c>
      <c r="S71">
        <f>HYPERLINK("https://klasma.github.io/Logging_0188/artfynd/A 13933-2022 artfynd.xlsx", "A 13933-2022")</f>
        <v/>
      </c>
      <c r="T71">
        <f>HYPERLINK("https://klasma.github.io/Logging_0188/kartor/A 13933-2022 karta.png", "A 13933-2022")</f>
        <v/>
      </c>
      <c r="V71">
        <f>HYPERLINK("https://klasma.github.io/Logging_0188/klagomål/A 13933-2022 FSC-klagomål.docx", "A 13933-2022")</f>
        <v/>
      </c>
      <c r="W71">
        <f>HYPERLINK("https://klasma.github.io/Logging_0188/klagomålsmail/A 13933-2022 FSC-klagomål mail.docx", "A 13933-2022")</f>
        <v/>
      </c>
      <c r="X71">
        <f>HYPERLINK("https://klasma.github.io/Logging_0188/tillsyn/A 13933-2022 tillsynsbegäran.docx", "A 13933-2022")</f>
        <v/>
      </c>
      <c r="Y71">
        <f>HYPERLINK("https://klasma.github.io/Logging_0188/tillsynsmail/A 13933-2022 tillsynsbegäran mail.docx", "A 13933-2022")</f>
        <v/>
      </c>
    </row>
    <row r="72" ht="15" customHeight="1">
      <c r="A72" t="inlineStr">
        <is>
          <t>A 22064-2022</t>
        </is>
      </c>
      <c r="B72" s="1" t="n">
        <v>44711</v>
      </c>
      <c r="C72" s="1" t="n">
        <v>45224</v>
      </c>
      <c r="D72" t="inlineStr">
        <is>
          <t>STOCKHOLMS LÄN</t>
        </is>
      </c>
      <c r="E72" t="inlineStr">
        <is>
          <t>VALLENTUNA</t>
        </is>
      </c>
      <c r="G72" t="n">
        <v>4.3</v>
      </c>
      <c r="H72" t="n">
        <v>1</v>
      </c>
      <c r="I72" t="n">
        <v>6</v>
      </c>
      <c r="J72" t="n">
        <v>1</v>
      </c>
      <c r="K72" t="n">
        <v>0</v>
      </c>
      <c r="L72" t="n">
        <v>0</v>
      </c>
      <c r="M72" t="n">
        <v>0</v>
      </c>
      <c r="N72" t="n">
        <v>0</v>
      </c>
      <c r="O72" t="n">
        <v>1</v>
      </c>
      <c r="P72" t="n">
        <v>0</v>
      </c>
      <c r="Q72" t="n">
        <v>7</v>
      </c>
      <c r="R72" s="2" t="inlineStr">
        <is>
          <t>Spillkråka
Björksplintborre
Blåmossa
Bronshjon
Granbarkgnagare
Stubbspretmossa
Vågbandad barkbock</t>
        </is>
      </c>
      <c r="S72">
        <f>HYPERLINK("https://klasma.github.io/Logging_0115/artfynd/A 22064-2022 artfynd.xlsx", "A 22064-2022")</f>
        <v/>
      </c>
      <c r="T72">
        <f>HYPERLINK("https://klasma.github.io/Logging_0115/kartor/A 22064-2022 karta.png", "A 22064-2022")</f>
        <v/>
      </c>
      <c r="V72">
        <f>HYPERLINK("https://klasma.github.io/Logging_0115/klagomål/A 22064-2022 FSC-klagomål.docx", "A 22064-2022")</f>
        <v/>
      </c>
      <c r="W72">
        <f>HYPERLINK("https://klasma.github.io/Logging_0115/klagomålsmail/A 22064-2022 FSC-klagomål mail.docx", "A 22064-2022")</f>
        <v/>
      </c>
      <c r="X72">
        <f>HYPERLINK("https://klasma.github.io/Logging_0115/tillsyn/A 22064-2022 tillsynsbegäran.docx", "A 22064-2022")</f>
        <v/>
      </c>
      <c r="Y72">
        <f>HYPERLINK("https://klasma.github.io/Logging_0115/tillsynsmail/A 22064-2022 tillsynsbegäran mail.docx", "A 22064-2022")</f>
        <v/>
      </c>
    </row>
    <row r="73" ht="15" customHeight="1">
      <c r="A73" t="inlineStr">
        <is>
          <t>A 24150-2022</t>
        </is>
      </c>
      <c r="B73" s="1" t="n">
        <v>44725</v>
      </c>
      <c r="C73" s="1" t="n">
        <v>45224</v>
      </c>
      <c r="D73" t="inlineStr">
        <is>
          <t>STOCKHOLMS LÄN</t>
        </is>
      </c>
      <c r="E73" t="inlineStr">
        <is>
          <t>NORRTÄLJE</t>
        </is>
      </c>
      <c r="G73" t="n">
        <v>7</v>
      </c>
      <c r="H73" t="n">
        <v>7</v>
      </c>
      <c r="I73" t="n">
        <v>0</v>
      </c>
      <c r="J73" t="n">
        <v>2</v>
      </c>
      <c r="K73" t="n">
        <v>0</v>
      </c>
      <c r="L73" t="n">
        <v>0</v>
      </c>
      <c r="M73" t="n">
        <v>0</v>
      </c>
      <c r="N73" t="n">
        <v>0</v>
      </c>
      <c r="O73" t="n">
        <v>2</v>
      </c>
      <c r="P73" t="n">
        <v>0</v>
      </c>
      <c r="Q73" t="n">
        <v>7</v>
      </c>
      <c r="R73" s="2" t="inlineStr">
        <is>
          <t>Brunlångöra
Nordfladdermus
Dvärgpipistrell
Gråskimlig fladdermus
Större brunfladdermus
Trollpipistrell
Vattenfladdermus</t>
        </is>
      </c>
      <c r="S73">
        <f>HYPERLINK("https://klasma.github.io/Logging_0188/artfynd/A 24150-2022 artfynd.xlsx", "A 24150-2022")</f>
        <v/>
      </c>
      <c r="T73">
        <f>HYPERLINK("https://klasma.github.io/Logging_0188/kartor/A 24150-2022 karta.png", "A 24150-2022")</f>
        <v/>
      </c>
      <c r="V73">
        <f>HYPERLINK("https://klasma.github.io/Logging_0188/klagomål/A 24150-2022 FSC-klagomål.docx", "A 24150-2022")</f>
        <v/>
      </c>
      <c r="W73">
        <f>HYPERLINK("https://klasma.github.io/Logging_0188/klagomålsmail/A 24150-2022 FSC-klagomål mail.docx", "A 24150-2022")</f>
        <v/>
      </c>
      <c r="X73">
        <f>HYPERLINK("https://klasma.github.io/Logging_0188/tillsyn/A 24150-2022 tillsynsbegäran.docx", "A 24150-2022")</f>
        <v/>
      </c>
      <c r="Y73">
        <f>HYPERLINK("https://klasma.github.io/Logging_0188/tillsynsmail/A 24150-2022 tillsynsbegäran mail.docx", "A 24150-2022")</f>
        <v/>
      </c>
    </row>
    <row r="74" ht="15" customHeight="1">
      <c r="A74" t="inlineStr">
        <is>
          <t>A 45811-2022</t>
        </is>
      </c>
      <c r="B74" s="1" t="n">
        <v>44846</v>
      </c>
      <c r="C74" s="1" t="n">
        <v>45224</v>
      </c>
      <c r="D74" t="inlineStr">
        <is>
          <t>STOCKHOLMS LÄN</t>
        </is>
      </c>
      <c r="E74" t="inlineStr">
        <is>
          <t>NORRTÄLJE</t>
        </is>
      </c>
      <c r="G74" t="n">
        <v>0.8</v>
      </c>
      <c r="H74" t="n">
        <v>0</v>
      </c>
      <c r="I74" t="n">
        <v>5</v>
      </c>
      <c r="J74" t="n">
        <v>0</v>
      </c>
      <c r="K74" t="n">
        <v>0</v>
      </c>
      <c r="L74" t="n">
        <v>1</v>
      </c>
      <c r="M74" t="n">
        <v>1</v>
      </c>
      <c r="N74" t="n">
        <v>0</v>
      </c>
      <c r="O74" t="n">
        <v>2</v>
      </c>
      <c r="P74" t="n">
        <v>2</v>
      </c>
      <c r="Q74" t="n">
        <v>7</v>
      </c>
      <c r="R74" s="2" t="inlineStr">
        <is>
          <t>Skogsalm
Ask
Hässleklocka
Myskmadra
Strävlosta
Tibast
Underviol</t>
        </is>
      </c>
      <c r="S74">
        <f>HYPERLINK("https://klasma.github.io/Logging_0188/artfynd/A 45811-2022 artfynd.xlsx", "A 45811-2022")</f>
        <v/>
      </c>
      <c r="T74">
        <f>HYPERLINK("https://klasma.github.io/Logging_0188/kartor/A 45811-2022 karta.png", "A 45811-2022")</f>
        <v/>
      </c>
      <c r="V74">
        <f>HYPERLINK("https://klasma.github.io/Logging_0188/klagomål/A 45811-2022 FSC-klagomål.docx", "A 45811-2022")</f>
        <v/>
      </c>
      <c r="W74">
        <f>HYPERLINK("https://klasma.github.io/Logging_0188/klagomålsmail/A 45811-2022 FSC-klagomål mail.docx", "A 45811-2022")</f>
        <v/>
      </c>
      <c r="X74">
        <f>HYPERLINK("https://klasma.github.io/Logging_0188/tillsyn/A 45811-2022 tillsynsbegäran.docx", "A 45811-2022")</f>
        <v/>
      </c>
      <c r="Y74">
        <f>HYPERLINK("https://klasma.github.io/Logging_0188/tillsynsmail/A 45811-2022 tillsynsbegäran mail.docx", "A 45811-2022")</f>
        <v/>
      </c>
    </row>
    <row r="75" ht="15" customHeight="1">
      <c r="A75" t="inlineStr">
        <is>
          <t>A 5527-2023</t>
        </is>
      </c>
      <c r="B75" s="1" t="n">
        <v>44960</v>
      </c>
      <c r="C75" s="1" t="n">
        <v>45224</v>
      </c>
      <c r="D75" t="inlineStr">
        <is>
          <t>STOCKHOLMS LÄN</t>
        </is>
      </c>
      <c r="E75" t="inlineStr">
        <is>
          <t>NYNÄSHAMN</t>
        </is>
      </c>
      <c r="G75" t="n">
        <v>7.3</v>
      </c>
      <c r="H75" t="n">
        <v>2</v>
      </c>
      <c r="I75" t="n">
        <v>4</v>
      </c>
      <c r="J75" t="n">
        <v>2</v>
      </c>
      <c r="K75" t="n">
        <v>0</v>
      </c>
      <c r="L75" t="n">
        <v>0</v>
      </c>
      <c r="M75" t="n">
        <v>0</v>
      </c>
      <c r="N75" t="n">
        <v>0</v>
      </c>
      <c r="O75" t="n">
        <v>2</v>
      </c>
      <c r="P75" t="n">
        <v>0</v>
      </c>
      <c r="Q75" t="n">
        <v>7</v>
      </c>
      <c r="R75" s="2" t="inlineStr">
        <is>
          <t>Granticka
Tallticka
Blåmossa
Granbarkgnagare
Grön sköldmossa
Stor aspticka
Blåsippa</t>
        </is>
      </c>
      <c r="S75">
        <f>HYPERLINK("https://klasma.github.io/Logging_0192/artfynd/A 5527-2023 artfynd.xlsx", "A 5527-2023")</f>
        <v/>
      </c>
      <c r="T75">
        <f>HYPERLINK("https://klasma.github.io/Logging_0192/kartor/A 5527-2023 karta.png", "A 5527-2023")</f>
        <v/>
      </c>
      <c r="V75">
        <f>HYPERLINK("https://klasma.github.io/Logging_0192/klagomål/A 5527-2023 FSC-klagomål.docx", "A 5527-2023")</f>
        <v/>
      </c>
      <c r="W75">
        <f>HYPERLINK("https://klasma.github.io/Logging_0192/klagomålsmail/A 5527-2023 FSC-klagomål mail.docx", "A 5527-2023")</f>
        <v/>
      </c>
      <c r="X75">
        <f>HYPERLINK("https://klasma.github.io/Logging_0192/tillsyn/A 5527-2023 tillsynsbegäran.docx", "A 5527-2023")</f>
        <v/>
      </c>
      <c r="Y75">
        <f>HYPERLINK("https://klasma.github.io/Logging_0192/tillsynsmail/A 5527-2023 tillsynsbegäran mail.docx", "A 5527-2023")</f>
        <v/>
      </c>
    </row>
    <row r="76" ht="15" customHeight="1">
      <c r="A76" t="inlineStr">
        <is>
          <t>A 18284-2019</t>
        </is>
      </c>
      <c r="B76" s="1" t="n">
        <v>43558</v>
      </c>
      <c r="C76" s="1" t="n">
        <v>45224</v>
      </c>
      <c r="D76" t="inlineStr">
        <is>
          <t>STOCKHOLMS LÄN</t>
        </is>
      </c>
      <c r="E76" t="inlineStr">
        <is>
          <t>NORRTÄLJE</t>
        </is>
      </c>
      <c r="G76" t="n">
        <v>20.4</v>
      </c>
      <c r="H76" t="n">
        <v>0</v>
      </c>
      <c r="I76" t="n">
        <v>2</v>
      </c>
      <c r="J76" t="n">
        <v>3</v>
      </c>
      <c r="K76" t="n">
        <v>1</v>
      </c>
      <c r="L76" t="n">
        <v>0</v>
      </c>
      <c r="M76" t="n">
        <v>0</v>
      </c>
      <c r="N76" t="n">
        <v>0</v>
      </c>
      <c r="O76" t="n">
        <v>4</v>
      </c>
      <c r="P76" t="n">
        <v>1</v>
      </c>
      <c r="Q76" t="n">
        <v>6</v>
      </c>
      <c r="R76" s="2" t="inlineStr">
        <is>
          <t>Grangråticka
Motaggsvamp
Orange taggsvamp
Vedtrappmossa
Rödgul trumpetsvamp
Skarp dropptaggsvamp</t>
        </is>
      </c>
      <c r="S76">
        <f>HYPERLINK("https://klasma.github.io/Logging_0188/artfynd/A 18284-2019 artfynd.xlsx", "A 18284-2019")</f>
        <v/>
      </c>
      <c r="T76">
        <f>HYPERLINK("https://klasma.github.io/Logging_0188/kartor/A 18284-2019 karta.png", "A 18284-2019")</f>
        <v/>
      </c>
      <c r="V76">
        <f>HYPERLINK("https://klasma.github.io/Logging_0188/klagomål/A 18284-2019 FSC-klagomål.docx", "A 18284-2019")</f>
        <v/>
      </c>
      <c r="W76">
        <f>HYPERLINK("https://klasma.github.io/Logging_0188/klagomålsmail/A 18284-2019 FSC-klagomål mail.docx", "A 18284-2019")</f>
        <v/>
      </c>
      <c r="X76">
        <f>HYPERLINK("https://klasma.github.io/Logging_0188/tillsyn/A 18284-2019 tillsynsbegäran.docx", "A 18284-2019")</f>
        <v/>
      </c>
      <c r="Y76">
        <f>HYPERLINK("https://klasma.github.io/Logging_0188/tillsynsmail/A 18284-2019 tillsynsbegäran mail.docx", "A 18284-2019")</f>
        <v/>
      </c>
    </row>
    <row r="77" ht="15" customHeight="1">
      <c r="A77" t="inlineStr">
        <is>
          <t>A 20255-2019</t>
        </is>
      </c>
      <c r="B77" s="1" t="n">
        <v>43571</v>
      </c>
      <c r="C77" s="1" t="n">
        <v>45224</v>
      </c>
      <c r="D77" t="inlineStr">
        <is>
          <t>STOCKHOLMS LÄN</t>
        </is>
      </c>
      <c r="E77" t="inlineStr">
        <is>
          <t>NORRTÄLJE</t>
        </is>
      </c>
      <c r="F77" t="inlineStr">
        <is>
          <t>Kommuner</t>
        </is>
      </c>
      <c r="G77" t="n">
        <v>6.2</v>
      </c>
      <c r="H77" t="n">
        <v>3</v>
      </c>
      <c r="I77" t="n">
        <v>3</v>
      </c>
      <c r="J77" t="n">
        <v>1</v>
      </c>
      <c r="K77" t="n">
        <v>1</v>
      </c>
      <c r="L77" t="n">
        <v>0</v>
      </c>
      <c r="M77" t="n">
        <v>0</v>
      </c>
      <c r="N77" t="n">
        <v>0</v>
      </c>
      <c r="O77" t="n">
        <v>2</v>
      </c>
      <c r="P77" t="n">
        <v>1</v>
      </c>
      <c r="Q77" t="n">
        <v>6</v>
      </c>
      <c r="R77" s="2" t="inlineStr">
        <is>
          <t>Violettfläckig spindling
Kråka
Nästrot
Svart trolldruva
Underviol
Blåsippa</t>
        </is>
      </c>
      <c r="S77">
        <f>HYPERLINK("https://klasma.github.io/Logging_0188/artfynd/A 20255-2019 artfynd.xlsx", "A 20255-2019")</f>
        <v/>
      </c>
      <c r="T77">
        <f>HYPERLINK("https://klasma.github.io/Logging_0188/kartor/A 20255-2019 karta.png", "A 20255-2019")</f>
        <v/>
      </c>
      <c r="V77">
        <f>HYPERLINK("https://klasma.github.io/Logging_0188/klagomål/A 20255-2019 FSC-klagomål.docx", "A 20255-2019")</f>
        <v/>
      </c>
      <c r="W77">
        <f>HYPERLINK("https://klasma.github.io/Logging_0188/klagomålsmail/A 20255-2019 FSC-klagomål mail.docx", "A 20255-2019")</f>
        <v/>
      </c>
      <c r="X77">
        <f>HYPERLINK("https://klasma.github.io/Logging_0188/tillsyn/A 20255-2019 tillsynsbegäran.docx", "A 20255-2019")</f>
        <v/>
      </c>
      <c r="Y77">
        <f>HYPERLINK("https://klasma.github.io/Logging_0188/tillsynsmail/A 20255-2019 tillsynsbegäran mail.docx", "A 20255-2019")</f>
        <v/>
      </c>
    </row>
    <row r="78" ht="15" customHeight="1">
      <c r="A78" t="inlineStr">
        <is>
          <t>A 59328-2019</t>
        </is>
      </c>
      <c r="B78" s="1" t="n">
        <v>43775</v>
      </c>
      <c r="C78" s="1" t="n">
        <v>45224</v>
      </c>
      <c r="D78" t="inlineStr">
        <is>
          <t>STOCKHOLMS LÄN</t>
        </is>
      </c>
      <c r="E78" t="inlineStr">
        <is>
          <t>NORRTÄLJE</t>
        </is>
      </c>
      <c r="G78" t="n">
        <v>1.2</v>
      </c>
      <c r="H78" t="n">
        <v>0</v>
      </c>
      <c r="I78" t="n">
        <v>3</v>
      </c>
      <c r="J78" t="n">
        <v>1</v>
      </c>
      <c r="K78" t="n">
        <v>2</v>
      </c>
      <c r="L78" t="n">
        <v>0</v>
      </c>
      <c r="M78" t="n">
        <v>0</v>
      </c>
      <c r="N78" t="n">
        <v>0</v>
      </c>
      <c r="O78" t="n">
        <v>3</v>
      </c>
      <c r="P78" t="n">
        <v>2</v>
      </c>
      <c r="Q78" t="n">
        <v>6</v>
      </c>
      <c r="R78" s="2" t="inlineStr">
        <is>
          <t>Koppartaggsvamp
Violgubbe
Orange taggsvamp
Blåmossa
Bronshjon
Kattfotslav</t>
        </is>
      </c>
      <c r="S78">
        <f>HYPERLINK("https://klasma.github.io/Logging_0188/artfynd/A 59328-2019 artfynd.xlsx", "A 59328-2019")</f>
        <v/>
      </c>
      <c r="T78">
        <f>HYPERLINK("https://klasma.github.io/Logging_0188/kartor/A 59328-2019 karta.png", "A 59328-2019")</f>
        <v/>
      </c>
      <c r="V78">
        <f>HYPERLINK("https://klasma.github.io/Logging_0188/klagomål/A 59328-2019 FSC-klagomål.docx", "A 59328-2019")</f>
        <v/>
      </c>
      <c r="W78">
        <f>HYPERLINK("https://klasma.github.io/Logging_0188/klagomålsmail/A 59328-2019 FSC-klagomål mail.docx", "A 59328-2019")</f>
        <v/>
      </c>
      <c r="X78">
        <f>HYPERLINK("https://klasma.github.io/Logging_0188/tillsyn/A 59328-2019 tillsynsbegäran.docx", "A 59328-2019")</f>
        <v/>
      </c>
      <c r="Y78">
        <f>HYPERLINK("https://klasma.github.io/Logging_0188/tillsynsmail/A 59328-2019 tillsynsbegäran mail.docx", "A 59328-2019")</f>
        <v/>
      </c>
    </row>
    <row r="79" ht="15" customHeight="1">
      <c r="A79" t="inlineStr">
        <is>
          <t>A 57469-2020</t>
        </is>
      </c>
      <c r="B79" s="1" t="n">
        <v>44139</v>
      </c>
      <c r="C79" s="1" t="n">
        <v>45224</v>
      </c>
      <c r="D79" t="inlineStr">
        <is>
          <t>STOCKHOLMS LÄN</t>
        </is>
      </c>
      <c r="E79" t="inlineStr">
        <is>
          <t>HANINGE</t>
        </is>
      </c>
      <c r="G79" t="n">
        <v>12.8</v>
      </c>
      <c r="H79" t="n">
        <v>1</v>
      </c>
      <c r="I79" t="n">
        <v>6</v>
      </c>
      <c r="J79" t="n">
        <v>0</v>
      </c>
      <c r="K79" t="n">
        <v>0</v>
      </c>
      <c r="L79" t="n">
        <v>0</v>
      </c>
      <c r="M79" t="n">
        <v>0</v>
      </c>
      <c r="N79" t="n">
        <v>0</v>
      </c>
      <c r="O79" t="n">
        <v>0</v>
      </c>
      <c r="P79" t="n">
        <v>0</v>
      </c>
      <c r="Q79" t="n">
        <v>6</v>
      </c>
      <c r="R79" s="2" t="inlineStr">
        <is>
          <t>Bronshjon
Grön sköldmossa
Skogshakmossa
Stubbspretmossa
Vedticka
Vågbandad barkbock</t>
        </is>
      </c>
      <c r="S79">
        <f>HYPERLINK("https://klasma.github.io/Logging_0136/artfynd/A 57469-2020 artfynd.xlsx", "A 57469-2020")</f>
        <v/>
      </c>
      <c r="T79">
        <f>HYPERLINK("https://klasma.github.io/Logging_0136/kartor/A 57469-2020 karta.png", "A 57469-2020")</f>
        <v/>
      </c>
      <c r="V79">
        <f>HYPERLINK("https://klasma.github.io/Logging_0136/klagomål/A 57469-2020 FSC-klagomål.docx", "A 57469-2020")</f>
        <v/>
      </c>
      <c r="W79">
        <f>HYPERLINK("https://klasma.github.io/Logging_0136/klagomålsmail/A 57469-2020 FSC-klagomål mail.docx", "A 57469-2020")</f>
        <v/>
      </c>
      <c r="X79">
        <f>HYPERLINK("https://klasma.github.io/Logging_0136/tillsyn/A 57469-2020 tillsynsbegäran.docx", "A 57469-2020")</f>
        <v/>
      </c>
      <c r="Y79">
        <f>HYPERLINK("https://klasma.github.io/Logging_0136/tillsynsmail/A 57469-2020 tillsynsbegäran mail.docx", "A 57469-2020")</f>
        <v/>
      </c>
    </row>
    <row r="80" ht="15" customHeight="1">
      <c r="A80" t="inlineStr">
        <is>
          <t>A 52616-2021</t>
        </is>
      </c>
      <c r="B80" s="1" t="n">
        <v>44463</v>
      </c>
      <c r="C80" s="1" t="n">
        <v>45224</v>
      </c>
      <c r="D80" t="inlineStr">
        <is>
          <t>STOCKHOLMS LÄN</t>
        </is>
      </c>
      <c r="E80" t="inlineStr">
        <is>
          <t>HANINGE</t>
        </is>
      </c>
      <c r="G80" t="n">
        <v>6.4</v>
      </c>
      <c r="H80" t="n">
        <v>2</v>
      </c>
      <c r="I80" t="n">
        <v>5</v>
      </c>
      <c r="J80" t="n">
        <v>0</v>
      </c>
      <c r="K80" t="n">
        <v>0</v>
      </c>
      <c r="L80" t="n">
        <v>0</v>
      </c>
      <c r="M80" t="n">
        <v>0</v>
      </c>
      <c r="N80" t="n">
        <v>0</v>
      </c>
      <c r="O80" t="n">
        <v>0</v>
      </c>
      <c r="P80" t="n">
        <v>0</v>
      </c>
      <c r="Q80" t="n">
        <v>6</v>
      </c>
      <c r="R80" s="2" t="inlineStr">
        <is>
          <t>Björksplintborre
Grön sköldmossa
Noshornsoxe
Stubbspretmossa
Vågbandad barkbock
Vanlig groda</t>
        </is>
      </c>
      <c r="S80">
        <f>HYPERLINK("https://klasma.github.io/Logging_0136/artfynd/A 52616-2021 artfynd.xlsx", "A 52616-2021")</f>
        <v/>
      </c>
      <c r="T80">
        <f>HYPERLINK("https://klasma.github.io/Logging_0136/kartor/A 52616-2021 karta.png", "A 52616-2021")</f>
        <v/>
      </c>
      <c r="V80">
        <f>HYPERLINK("https://klasma.github.io/Logging_0136/klagomål/A 52616-2021 FSC-klagomål.docx", "A 52616-2021")</f>
        <v/>
      </c>
      <c r="W80">
        <f>HYPERLINK("https://klasma.github.io/Logging_0136/klagomålsmail/A 52616-2021 FSC-klagomål mail.docx", "A 52616-2021")</f>
        <v/>
      </c>
      <c r="X80">
        <f>HYPERLINK("https://klasma.github.io/Logging_0136/tillsyn/A 52616-2021 tillsynsbegäran.docx", "A 52616-2021")</f>
        <v/>
      </c>
      <c r="Y80">
        <f>HYPERLINK("https://klasma.github.io/Logging_0136/tillsynsmail/A 52616-2021 tillsynsbegäran mail.docx", "A 52616-2021")</f>
        <v/>
      </c>
    </row>
    <row r="81" ht="15" customHeight="1">
      <c r="A81" t="inlineStr">
        <is>
          <t>A 21729-2023</t>
        </is>
      </c>
      <c r="B81" s="1" t="n">
        <v>45063</v>
      </c>
      <c r="C81" s="1" t="n">
        <v>45224</v>
      </c>
      <c r="D81" t="inlineStr">
        <is>
          <t>STOCKHOLMS LÄN</t>
        </is>
      </c>
      <c r="E81" t="inlineStr">
        <is>
          <t>NORRTÄLJE</t>
        </is>
      </c>
      <c r="G81" t="n">
        <v>17.2</v>
      </c>
      <c r="H81" t="n">
        <v>1</v>
      </c>
      <c r="I81" t="n">
        <v>0</v>
      </c>
      <c r="J81" t="n">
        <v>5</v>
      </c>
      <c r="K81" t="n">
        <v>0</v>
      </c>
      <c r="L81" t="n">
        <v>0</v>
      </c>
      <c r="M81" t="n">
        <v>0</v>
      </c>
      <c r="N81" t="n">
        <v>0</v>
      </c>
      <c r="O81" t="n">
        <v>5</v>
      </c>
      <c r="P81" t="n">
        <v>0</v>
      </c>
      <c r="Q81" t="n">
        <v>6</v>
      </c>
      <c r="R81" s="2" t="inlineStr">
        <is>
          <t>Backklöver
Gullklöver
Klofibbla
Pilblad
Slåtterfibbla
Adam och eva</t>
        </is>
      </c>
      <c r="S81">
        <f>HYPERLINK("https://klasma.github.io/Logging_0188/artfynd/A 21729-2023 artfynd.xlsx", "A 21729-2023")</f>
        <v/>
      </c>
      <c r="T81">
        <f>HYPERLINK("https://klasma.github.io/Logging_0188/kartor/A 21729-2023 karta.png", "A 21729-2023")</f>
        <v/>
      </c>
      <c r="V81">
        <f>HYPERLINK("https://klasma.github.io/Logging_0188/klagomål/A 21729-2023 FSC-klagomål.docx", "A 21729-2023")</f>
        <v/>
      </c>
      <c r="W81">
        <f>HYPERLINK("https://klasma.github.io/Logging_0188/klagomålsmail/A 21729-2023 FSC-klagomål mail.docx", "A 21729-2023")</f>
        <v/>
      </c>
      <c r="X81">
        <f>HYPERLINK("https://klasma.github.io/Logging_0188/tillsyn/A 21729-2023 tillsynsbegäran.docx", "A 21729-2023")</f>
        <v/>
      </c>
      <c r="Y81">
        <f>HYPERLINK("https://klasma.github.io/Logging_0188/tillsynsmail/A 21729-2023 tillsynsbegäran mail.docx", "A 21729-2023")</f>
        <v/>
      </c>
    </row>
    <row r="82" ht="15" customHeight="1">
      <c r="A82" t="inlineStr">
        <is>
          <t>A 34394-2023</t>
        </is>
      </c>
      <c r="B82" s="1" t="n">
        <v>45139</v>
      </c>
      <c r="C82" s="1" t="n">
        <v>45224</v>
      </c>
      <c r="D82" t="inlineStr">
        <is>
          <t>STOCKHOLMS LÄN</t>
        </is>
      </c>
      <c r="E82" t="inlineStr">
        <is>
          <t>NORRTÄLJE</t>
        </is>
      </c>
      <c r="G82" t="n">
        <v>8.5</v>
      </c>
      <c r="H82" t="n">
        <v>1</v>
      </c>
      <c r="I82" t="n">
        <v>2</v>
      </c>
      <c r="J82" t="n">
        <v>3</v>
      </c>
      <c r="K82" t="n">
        <v>0</v>
      </c>
      <c r="L82" t="n">
        <v>0</v>
      </c>
      <c r="M82" t="n">
        <v>0</v>
      </c>
      <c r="N82" t="n">
        <v>0</v>
      </c>
      <c r="O82" t="n">
        <v>3</v>
      </c>
      <c r="P82" t="n">
        <v>0</v>
      </c>
      <c r="Q82" t="n">
        <v>6</v>
      </c>
      <c r="R82" s="2" t="inlineStr">
        <is>
          <t>Grantaggsvamp
Motaggsvamp
Orange taggsvamp
Granriska
Grönpyrola
Blåsippa</t>
        </is>
      </c>
      <c r="S82">
        <f>HYPERLINK("https://klasma.github.io/Logging_0188/artfynd/A 34394-2023 artfynd.xlsx", "A 34394-2023")</f>
        <v/>
      </c>
      <c r="T82">
        <f>HYPERLINK("https://klasma.github.io/Logging_0188/kartor/A 34394-2023 karta.png", "A 34394-2023")</f>
        <v/>
      </c>
      <c r="V82">
        <f>HYPERLINK("https://klasma.github.io/Logging_0188/klagomål/A 34394-2023 FSC-klagomål.docx", "A 34394-2023")</f>
        <v/>
      </c>
      <c r="W82">
        <f>HYPERLINK("https://klasma.github.io/Logging_0188/klagomålsmail/A 34394-2023 FSC-klagomål mail.docx", "A 34394-2023")</f>
        <v/>
      </c>
      <c r="X82">
        <f>HYPERLINK("https://klasma.github.io/Logging_0188/tillsyn/A 34394-2023 tillsynsbegäran.docx", "A 34394-2023")</f>
        <v/>
      </c>
      <c r="Y82">
        <f>HYPERLINK("https://klasma.github.io/Logging_0188/tillsynsmail/A 34394-2023 tillsynsbegäran mail.docx", "A 34394-2023")</f>
        <v/>
      </c>
    </row>
    <row r="83" ht="15" customHeight="1">
      <c r="A83" t="inlineStr">
        <is>
          <t>A 39902-2019</t>
        </is>
      </c>
      <c r="B83" s="1" t="n">
        <v>43692</v>
      </c>
      <c r="C83" s="1" t="n">
        <v>45224</v>
      </c>
      <c r="D83" t="inlineStr">
        <is>
          <t>STOCKHOLMS LÄN</t>
        </is>
      </c>
      <c r="E83" t="inlineStr">
        <is>
          <t>NYNÄSHAMN</t>
        </is>
      </c>
      <c r="F83" t="inlineStr">
        <is>
          <t>Kommuner</t>
        </is>
      </c>
      <c r="G83" t="n">
        <v>7.7</v>
      </c>
      <c r="H83" t="n">
        <v>4</v>
      </c>
      <c r="I83" t="n">
        <v>2</v>
      </c>
      <c r="J83" t="n">
        <v>0</v>
      </c>
      <c r="K83" t="n">
        <v>0</v>
      </c>
      <c r="L83" t="n">
        <v>0</v>
      </c>
      <c r="M83" t="n">
        <v>0</v>
      </c>
      <c r="N83" t="n">
        <v>0</v>
      </c>
      <c r="O83" t="n">
        <v>0</v>
      </c>
      <c r="P83" t="n">
        <v>0</v>
      </c>
      <c r="Q83" t="n">
        <v>5</v>
      </c>
      <c r="R83" s="2" t="inlineStr">
        <is>
          <t>Noshornsoxe
Skogsknipprot
Huggorm
Vanlig snok
Gullviva</t>
        </is>
      </c>
      <c r="S83">
        <f>HYPERLINK("https://klasma.github.io/Logging_0192/artfynd/A 39902-2019 artfynd.xlsx", "A 39902-2019")</f>
        <v/>
      </c>
      <c r="T83">
        <f>HYPERLINK("https://klasma.github.io/Logging_0192/kartor/A 39902-2019 karta.png", "A 39902-2019")</f>
        <v/>
      </c>
      <c r="V83">
        <f>HYPERLINK("https://klasma.github.io/Logging_0192/klagomål/A 39902-2019 FSC-klagomål.docx", "A 39902-2019")</f>
        <v/>
      </c>
      <c r="W83">
        <f>HYPERLINK("https://klasma.github.io/Logging_0192/klagomålsmail/A 39902-2019 FSC-klagomål mail.docx", "A 39902-2019")</f>
        <v/>
      </c>
      <c r="X83">
        <f>HYPERLINK("https://klasma.github.io/Logging_0192/tillsyn/A 39902-2019 tillsynsbegäran.docx", "A 39902-2019")</f>
        <v/>
      </c>
      <c r="Y83">
        <f>HYPERLINK("https://klasma.github.io/Logging_0192/tillsynsmail/A 39902-2019 tillsynsbegäran mail.docx", "A 39902-2019")</f>
        <v/>
      </c>
    </row>
    <row r="84" ht="15" customHeight="1">
      <c r="A84" t="inlineStr">
        <is>
          <t>A 45469-2019</t>
        </is>
      </c>
      <c r="B84" s="1" t="n">
        <v>43714</v>
      </c>
      <c r="C84" s="1" t="n">
        <v>45224</v>
      </c>
      <c r="D84" t="inlineStr">
        <is>
          <t>STOCKHOLMS LÄN</t>
        </is>
      </c>
      <c r="E84" t="inlineStr">
        <is>
          <t>NORRTÄLJE</t>
        </is>
      </c>
      <c r="F84" t="inlineStr">
        <is>
          <t>Övriga statliga verk och myndigheter</t>
        </is>
      </c>
      <c r="G84" t="n">
        <v>10.6</v>
      </c>
      <c r="H84" t="n">
        <v>2</v>
      </c>
      <c r="I84" t="n">
        <v>3</v>
      </c>
      <c r="J84" t="n">
        <v>0</v>
      </c>
      <c r="K84" t="n">
        <v>0</v>
      </c>
      <c r="L84" t="n">
        <v>1</v>
      </c>
      <c r="M84" t="n">
        <v>0</v>
      </c>
      <c r="N84" t="n">
        <v>0</v>
      </c>
      <c r="O84" t="n">
        <v>1</v>
      </c>
      <c r="P84" t="n">
        <v>1</v>
      </c>
      <c r="Q84" t="n">
        <v>5</v>
      </c>
      <c r="R84" s="2" t="inlineStr">
        <is>
          <t>Ask
Hasselticka
Sårläka
Tvåblad
Blåsippa</t>
        </is>
      </c>
      <c r="S84">
        <f>HYPERLINK("https://klasma.github.io/Logging_0188/artfynd/A 45469-2019 artfynd.xlsx", "A 45469-2019")</f>
        <v/>
      </c>
      <c r="T84">
        <f>HYPERLINK("https://klasma.github.io/Logging_0188/kartor/A 45469-2019 karta.png", "A 45469-2019")</f>
        <v/>
      </c>
      <c r="V84">
        <f>HYPERLINK("https://klasma.github.io/Logging_0188/klagomål/A 45469-2019 FSC-klagomål.docx", "A 45469-2019")</f>
        <v/>
      </c>
      <c r="W84">
        <f>HYPERLINK("https://klasma.github.io/Logging_0188/klagomålsmail/A 45469-2019 FSC-klagomål mail.docx", "A 45469-2019")</f>
        <v/>
      </c>
      <c r="X84">
        <f>HYPERLINK("https://klasma.github.io/Logging_0188/tillsyn/A 45469-2019 tillsynsbegäran.docx", "A 45469-2019")</f>
        <v/>
      </c>
      <c r="Y84">
        <f>HYPERLINK("https://klasma.github.io/Logging_0188/tillsynsmail/A 45469-2019 tillsynsbegäran mail.docx", "A 45469-2019")</f>
        <v/>
      </c>
    </row>
    <row r="85" ht="15" customHeight="1">
      <c r="A85" t="inlineStr">
        <is>
          <t>A 3220-2020</t>
        </is>
      </c>
      <c r="B85" s="1" t="n">
        <v>43851</v>
      </c>
      <c r="C85" s="1" t="n">
        <v>45224</v>
      </c>
      <c r="D85" t="inlineStr">
        <is>
          <t>STOCKHOLMS LÄN</t>
        </is>
      </c>
      <c r="E85" t="inlineStr">
        <is>
          <t>NYNÄSHAMN</t>
        </is>
      </c>
      <c r="G85" t="n">
        <v>11.2</v>
      </c>
      <c r="H85" t="n">
        <v>1</v>
      </c>
      <c r="I85" t="n">
        <v>4</v>
      </c>
      <c r="J85" t="n">
        <v>1</v>
      </c>
      <c r="K85" t="n">
        <v>0</v>
      </c>
      <c r="L85" t="n">
        <v>0</v>
      </c>
      <c r="M85" t="n">
        <v>0</v>
      </c>
      <c r="N85" t="n">
        <v>0</v>
      </c>
      <c r="O85" t="n">
        <v>1</v>
      </c>
      <c r="P85" t="n">
        <v>0</v>
      </c>
      <c r="Q85" t="n">
        <v>5</v>
      </c>
      <c r="R85" s="2" t="inlineStr">
        <is>
          <t>Spillkråka
Blåmossa
Bronshjon
Granbarkgnagare
Vågbandad barkbock</t>
        </is>
      </c>
      <c r="S85">
        <f>HYPERLINK("https://klasma.github.io/Logging_0192/artfynd/A 3220-2020 artfynd.xlsx", "A 3220-2020")</f>
        <v/>
      </c>
      <c r="T85">
        <f>HYPERLINK("https://klasma.github.io/Logging_0192/kartor/A 3220-2020 karta.png", "A 3220-2020")</f>
        <v/>
      </c>
      <c r="V85">
        <f>HYPERLINK("https://klasma.github.io/Logging_0192/klagomål/A 3220-2020 FSC-klagomål.docx", "A 3220-2020")</f>
        <v/>
      </c>
      <c r="W85">
        <f>HYPERLINK("https://klasma.github.io/Logging_0192/klagomålsmail/A 3220-2020 FSC-klagomål mail.docx", "A 3220-2020")</f>
        <v/>
      </c>
      <c r="X85">
        <f>HYPERLINK("https://klasma.github.io/Logging_0192/tillsyn/A 3220-2020 tillsynsbegäran.docx", "A 3220-2020")</f>
        <v/>
      </c>
      <c r="Y85">
        <f>HYPERLINK("https://klasma.github.io/Logging_0192/tillsynsmail/A 3220-2020 tillsynsbegäran mail.docx", "A 3220-2020")</f>
        <v/>
      </c>
    </row>
    <row r="86" ht="15" customHeight="1">
      <c r="A86" t="inlineStr">
        <is>
          <t>A 26334-2020</t>
        </is>
      </c>
      <c r="B86" s="1" t="n">
        <v>43986</v>
      </c>
      <c r="C86" s="1" t="n">
        <v>45224</v>
      </c>
      <c r="D86" t="inlineStr">
        <is>
          <t>STOCKHOLMS LÄN</t>
        </is>
      </c>
      <c r="E86" t="inlineStr">
        <is>
          <t>EKERÖ</t>
        </is>
      </c>
      <c r="G86" t="n">
        <v>1.1</v>
      </c>
      <c r="H86" t="n">
        <v>1</v>
      </c>
      <c r="I86" t="n">
        <v>3</v>
      </c>
      <c r="J86" t="n">
        <v>1</v>
      </c>
      <c r="K86" t="n">
        <v>0</v>
      </c>
      <c r="L86" t="n">
        <v>0</v>
      </c>
      <c r="M86" t="n">
        <v>0</v>
      </c>
      <c r="N86" t="n">
        <v>0</v>
      </c>
      <c r="O86" t="n">
        <v>1</v>
      </c>
      <c r="P86" t="n">
        <v>0</v>
      </c>
      <c r="Q86" t="n">
        <v>5</v>
      </c>
      <c r="R86" s="2" t="inlineStr">
        <is>
          <t>Druvfingersvamp
Blåmossa
Bronshjon
Dropptaggsvamp
Blåsippa</t>
        </is>
      </c>
      <c r="S86">
        <f>HYPERLINK("https://klasma.github.io/Logging_0125/artfynd/A 26334-2020 artfynd.xlsx", "A 26334-2020")</f>
        <v/>
      </c>
      <c r="T86">
        <f>HYPERLINK("https://klasma.github.io/Logging_0125/kartor/A 26334-2020 karta.png", "A 26334-2020")</f>
        <v/>
      </c>
      <c r="V86">
        <f>HYPERLINK("https://klasma.github.io/Logging_0125/klagomål/A 26334-2020 FSC-klagomål.docx", "A 26334-2020")</f>
        <v/>
      </c>
      <c r="W86">
        <f>HYPERLINK("https://klasma.github.io/Logging_0125/klagomålsmail/A 26334-2020 FSC-klagomål mail.docx", "A 26334-2020")</f>
        <v/>
      </c>
      <c r="X86">
        <f>HYPERLINK("https://klasma.github.io/Logging_0125/tillsyn/A 26334-2020 tillsynsbegäran.docx", "A 26334-2020")</f>
        <v/>
      </c>
      <c r="Y86">
        <f>HYPERLINK("https://klasma.github.io/Logging_0125/tillsynsmail/A 26334-2020 tillsynsbegäran mail.docx", "A 26334-2020")</f>
        <v/>
      </c>
    </row>
    <row r="87" ht="15" customHeight="1">
      <c r="A87" t="inlineStr">
        <is>
          <t>A 32532-2020</t>
        </is>
      </c>
      <c r="B87" s="1" t="n">
        <v>44018</v>
      </c>
      <c r="C87" s="1" t="n">
        <v>45224</v>
      </c>
      <c r="D87" t="inlineStr">
        <is>
          <t>STOCKHOLMS LÄN</t>
        </is>
      </c>
      <c r="E87" t="inlineStr">
        <is>
          <t>HANINGE</t>
        </is>
      </c>
      <c r="F87" t="inlineStr">
        <is>
          <t>Kommuner</t>
        </is>
      </c>
      <c r="G87" t="n">
        <v>2.9</v>
      </c>
      <c r="H87" t="n">
        <v>3</v>
      </c>
      <c r="I87" t="n">
        <v>2</v>
      </c>
      <c r="J87" t="n">
        <v>2</v>
      </c>
      <c r="K87" t="n">
        <v>0</v>
      </c>
      <c r="L87" t="n">
        <v>0</v>
      </c>
      <c r="M87" t="n">
        <v>0</v>
      </c>
      <c r="N87" t="n">
        <v>0</v>
      </c>
      <c r="O87" t="n">
        <v>2</v>
      </c>
      <c r="P87" t="n">
        <v>0</v>
      </c>
      <c r="Q87" t="n">
        <v>5</v>
      </c>
      <c r="R87" s="2" t="inlineStr">
        <is>
          <t>Spillkråka
Talltita
Granbarkgnagare
Vedticka
Revlummer</t>
        </is>
      </c>
      <c r="S87">
        <f>HYPERLINK("https://klasma.github.io/Logging_0136/artfynd/A 32532-2020 artfynd.xlsx", "A 32532-2020")</f>
        <v/>
      </c>
      <c r="T87">
        <f>HYPERLINK("https://klasma.github.io/Logging_0136/kartor/A 32532-2020 karta.png", "A 32532-2020")</f>
        <v/>
      </c>
      <c r="V87">
        <f>HYPERLINK("https://klasma.github.io/Logging_0136/klagomål/A 32532-2020 FSC-klagomål.docx", "A 32532-2020")</f>
        <v/>
      </c>
      <c r="W87">
        <f>HYPERLINK("https://klasma.github.io/Logging_0136/klagomålsmail/A 32532-2020 FSC-klagomål mail.docx", "A 32532-2020")</f>
        <v/>
      </c>
      <c r="X87">
        <f>HYPERLINK("https://klasma.github.io/Logging_0136/tillsyn/A 32532-2020 tillsynsbegäran.docx", "A 32532-2020")</f>
        <v/>
      </c>
      <c r="Y87">
        <f>HYPERLINK("https://klasma.github.io/Logging_0136/tillsynsmail/A 32532-2020 tillsynsbegäran mail.docx", "A 32532-2020")</f>
        <v/>
      </c>
    </row>
    <row r="88" ht="15" customHeight="1">
      <c r="A88" t="inlineStr">
        <is>
          <t>A 42457-2020</t>
        </is>
      </c>
      <c r="B88" s="1" t="n">
        <v>44076</v>
      </c>
      <c r="C88" s="1" t="n">
        <v>45224</v>
      </c>
      <c r="D88" t="inlineStr">
        <is>
          <t>STOCKHOLMS LÄN</t>
        </is>
      </c>
      <c r="E88" t="inlineStr">
        <is>
          <t>NORRTÄLJE</t>
        </is>
      </c>
      <c r="F88" t="inlineStr">
        <is>
          <t>Kommuner</t>
        </is>
      </c>
      <c r="G88" t="n">
        <v>3.1</v>
      </c>
      <c r="H88" t="n">
        <v>2</v>
      </c>
      <c r="I88" t="n">
        <v>3</v>
      </c>
      <c r="J88" t="n">
        <v>1</v>
      </c>
      <c r="K88" t="n">
        <v>0</v>
      </c>
      <c r="L88" t="n">
        <v>0</v>
      </c>
      <c r="M88" t="n">
        <v>0</v>
      </c>
      <c r="N88" t="n">
        <v>0</v>
      </c>
      <c r="O88" t="n">
        <v>1</v>
      </c>
      <c r="P88" t="n">
        <v>0</v>
      </c>
      <c r="Q88" t="n">
        <v>5</v>
      </c>
      <c r="R88" s="2" t="inlineStr">
        <is>
          <t>Spillkråka
Granbräken
Jättesvampmal
Thomsons trägnagare
Blåsippa</t>
        </is>
      </c>
      <c r="S88">
        <f>HYPERLINK("https://klasma.github.io/Logging_0188/artfynd/A 42457-2020 artfynd.xlsx", "A 42457-2020")</f>
        <v/>
      </c>
      <c r="T88">
        <f>HYPERLINK("https://klasma.github.io/Logging_0188/kartor/A 42457-2020 karta.png", "A 42457-2020")</f>
        <v/>
      </c>
      <c r="V88">
        <f>HYPERLINK("https://klasma.github.io/Logging_0188/klagomål/A 42457-2020 FSC-klagomål.docx", "A 42457-2020")</f>
        <v/>
      </c>
      <c r="W88">
        <f>HYPERLINK("https://klasma.github.io/Logging_0188/klagomålsmail/A 42457-2020 FSC-klagomål mail.docx", "A 42457-2020")</f>
        <v/>
      </c>
      <c r="X88">
        <f>HYPERLINK("https://klasma.github.io/Logging_0188/tillsyn/A 42457-2020 tillsynsbegäran.docx", "A 42457-2020")</f>
        <v/>
      </c>
      <c r="Y88">
        <f>HYPERLINK("https://klasma.github.io/Logging_0188/tillsynsmail/A 42457-2020 tillsynsbegäran mail.docx", "A 42457-2020")</f>
        <v/>
      </c>
    </row>
    <row r="89" ht="15" customHeight="1">
      <c r="A89" t="inlineStr">
        <is>
          <t>A 37679-2021</t>
        </is>
      </c>
      <c r="B89" s="1" t="n">
        <v>44400</v>
      </c>
      <c r="C89" s="1" t="n">
        <v>45224</v>
      </c>
      <c r="D89" t="inlineStr">
        <is>
          <t>STOCKHOLMS LÄN</t>
        </is>
      </c>
      <c r="E89" t="inlineStr">
        <is>
          <t>SÖDERTÄLJE</t>
        </is>
      </c>
      <c r="F89" t="inlineStr">
        <is>
          <t>Sveaskog</t>
        </is>
      </c>
      <c r="G89" t="n">
        <v>25.3</v>
      </c>
      <c r="H89" t="n">
        <v>0</v>
      </c>
      <c r="I89" t="n">
        <v>2</v>
      </c>
      <c r="J89" t="n">
        <v>2</v>
      </c>
      <c r="K89" t="n">
        <v>0</v>
      </c>
      <c r="L89" t="n">
        <v>1</v>
      </c>
      <c r="M89" t="n">
        <v>0</v>
      </c>
      <c r="N89" t="n">
        <v>0</v>
      </c>
      <c r="O89" t="n">
        <v>3</v>
      </c>
      <c r="P89" t="n">
        <v>1</v>
      </c>
      <c r="Q89" t="n">
        <v>5</v>
      </c>
      <c r="R89" s="2" t="inlineStr">
        <is>
          <t>Franstandad barkskinnbagge
Björkstumpbagge
Svinrot
Spindelbock
Åttafläckig praktbagge</t>
        </is>
      </c>
      <c r="S89">
        <f>HYPERLINK("https://klasma.github.io/Logging_0181/artfynd/A 37679-2021 artfynd.xlsx", "A 37679-2021")</f>
        <v/>
      </c>
      <c r="T89">
        <f>HYPERLINK("https://klasma.github.io/Logging_0181/kartor/A 37679-2021 karta.png", "A 37679-2021")</f>
        <v/>
      </c>
      <c r="V89">
        <f>HYPERLINK("https://klasma.github.io/Logging_0181/klagomål/A 37679-2021 FSC-klagomål.docx", "A 37679-2021")</f>
        <v/>
      </c>
      <c r="W89">
        <f>HYPERLINK("https://klasma.github.io/Logging_0181/klagomålsmail/A 37679-2021 FSC-klagomål mail.docx", "A 37679-2021")</f>
        <v/>
      </c>
      <c r="X89">
        <f>HYPERLINK("https://klasma.github.io/Logging_0181/tillsyn/A 37679-2021 tillsynsbegäran.docx", "A 37679-2021")</f>
        <v/>
      </c>
      <c r="Y89">
        <f>HYPERLINK("https://klasma.github.io/Logging_0181/tillsynsmail/A 37679-2021 tillsynsbegäran mail.docx", "A 37679-2021")</f>
        <v/>
      </c>
    </row>
    <row r="90" ht="15" customHeight="1">
      <c r="A90" t="inlineStr">
        <is>
          <t>A 72111-2021</t>
        </is>
      </c>
      <c r="B90" s="1" t="n">
        <v>44544</v>
      </c>
      <c r="C90" s="1" t="n">
        <v>45224</v>
      </c>
      <c r="D90" t="inlineStr">
        <is>
          <t>STOCKHOLMS LÄN</t>
        </is>
      </c>
      <c r="E90" t="inlineStr">
        <is>
          <t>NORRTÄLJE</t>
        </is>
      </c>
      <c r="G90" t="n">
        <v>5.1</v>
      </c>
      <c r="H90" t="n">
        <v>1</v>
      </c>
      <c r="I90" t="n">
        <v>3</v>
      </c>
      <c r="J90" t="n">
        <v>1</v>
      </c>
      <c r="K90" t="n">
        <v>0</v>
      </c>
      <c r="L90" t="n">
        <v>0</v>
      </c>
      <c r="M90" t="n">
        <v>0</v>
      </c>
      <c r="N90" t="n">
        <v>0</v>
      </c>
      <c r="O90" t="n">
        <v>1</v>
      </c>
      <c r="P90" t="n">
        <v>0</v>
      </c>
      <c r="Q90" t="n">
        <v>5</v>
      </c>
      <c r="R90" s="2" t="inlineStr">
        <is>
          <t>Lunglav
Scharlakansvårskål agg.
Sårläka
Vårärt
Blåsippa</t>
        </is>
      </c>
      <c r="S90">
        <f>HYPERLINK("https://klasma.github.io/Logging_0188/artfynd/A 72111-2021 artfynd.xlsx", "A 72111-2021")</f>
        <v/>
      </c>
      <c r="T90">
        <f>HYPERLINK("https://klasma.github.io/Logging_0188/kartor/A 72111-2021 karta.png", "A 72111-2021")</f>
        <v/>
      </c>
      <c r="V90">
        <f>HYPERLINK("https://klasma.github.io/Logging_0188/klagomål/A 72111-2021 FSC-klagomål.docx", "A 72111-2021")</f>
        <v/>
      </c>
      <c r="W90">
        <f>HYPERLINK("https://klasma.github.io/Logging_0188/klagomålsmail/A 72111-2021 FSC-klagomål mail.docx", "A 72111-2021")</f>
        <v/>
      </c>
      <c r="X90">
        <f>HYPERLINK("https://klasma.github.io/Logging_0188/tillsyn/A 72111-2021 tillsynsbegäran.docx", "A 72111-2021")</f>
        <v/>
      </c>
      <c r="Y90">
        <f>HYPERLINK("https://klasma.github.io/Logging_0188/tillsynsmail/A 72111-2021 tillsynsbegäran mail.docx", "A 72111-2021")</f>
        <v/>
      </c>
    </row>
    <row r="91" ht="15" customHeight="1">
      <c r="A91" t="inlineStr">
        <is>
          <t>A 10000-2022</t>
        </is>
      </c>
      <c r="B91" s="1" t="n">
        <v>44621</v>
      </c>
      <c r="C91" s="1" t="n">
        <v>45224</v>
      </c>
      <c r="D91" t="inlineStr">
        <is>
          <t>STOCKHOLMS LÄN</t>
        </is>
      </c>
      <c r="E91" t="inlineStr">
        <is>
          <t>SIGTUNA</t>
        </is>
      </c>
      <c r="G91" t="n">
        <v>15.3</v>
      </c>
      <c r="H91" t="n">
        <v>5</v>
      </c>
      <c r="I91" t="n">
        <v>0</v>
      </c>
      <c r="J91" t="n">
        <v>3</v>
      </c>
      <c r="K91" t="n">
        <v>1</v>
      </c>
      <c r="L91" t="n">
        <v>1</v>
      </c>
      <c r="M91" t="n">
        <v>0</v>
      </c>
      <c r="N91" t="n">
        <v>0</v>
      </c>
      <c r="O91" t="n">
        <v>5</v>
      </c>
      <c r="P91" t="n">
        <v>2</v>
      </c>
      <c r="Q91" t="n">
        <v>5</v>
      </c>
      <c r="R91" s="2" t="inlineStr">
        <is>
          <t>Tornseglare
Hussvala
Fiskmås
Gulsparv
Ärtsångare</t>
        </is>
      </c>
      <c r="S91">
        <f>HYPERLINK("https://klasma.github.io/Logging_0191/artfynd/A 10000-2022 artfynd.xlsx", "A 10000-2022")</f>
        <v/>
      </c>
      <c r="T91">
        <f>HYPERLINK("https://klasma.github.io/Logging_0191/kartor/A 10000-2022 karta.png", "A 10000-2022")</f>
        <v/>
      </c>
      <c r="V91">
        <f>HYPERLINK("https://klasma.github.io/Logging_0191/klagomål/A 10000-2022 FSC-klagomål.docx", "A 10000-2022")</f>
        <v/>
      </c>
      <c r="W91">
        <f>HYPERLINK("https://klasma.github.io/Logging_0191/klagomålsmail/A 10000-2022 FSC-klagomål mail.docx", "A 10000-2022")</f>
        <v/>
      </c>
      <c r="X91">
        <f>HYPERLINK("https://klasma.github.io/Logging_0191/tillsyn/A 10000-2022 tillsynsbegäran.docx", "A 10000-2022")</f>
        <v/>
      </c>
      <c r="Y91">
        <f>HYPERLINK("https://klasma.github.io/Logging_0191/tillsynsmail/A 10000-2022 tillsynsbegäran mail.docx", "A 10000-2022")</f>
        <v/>
      </c>
    </row>
    <row r="92" ht="15" customHeight="1">
      <c r="A92" t="inlineStr">
        <is>
          <t>A 12403-2022</t>
        </is>
      </c>
      <c r="B92" s="1" t="n">
        <v>44637</v>
      </c>
      <c r="C92" s="1" t="n">
        <v>45224</v>
      </c>
      <c r="D92" t="inlineStr">
        <is>
          <t>STOCKHOLMS LÄN</t>
        </is>
      </c>
      <c r="E92" t="inlineStr">
        <is>
          <t>NYKVARN</t>
        </is>
      </c>
      <c r="G92" t="n">
        <v>9.300000000000001</v>
      </c>
      <c r="H92" t="n">
        <v>0</v>
      </c>
      <c r="I92" t="n">
        <v>4</v>
      </c>
      <c r="J92" t="n">
        <v>1</v>
      </c>
      <c r="K92" t="n">
        <v>0</v>
      </c>
      <c r="L92" t="n">
        <v>0</v>
      </c>
      <c r="M92" t="n">
        <v>0</v>
      </c>
      <c r="N92" t="n">
        <v>0</v>
      </c>
      <c r="O92" t="n">
        <v>1</v>
      </c>
      <c r="P92" t="n">
        <v>0</v>
      </c>
      <c r="Q92" t="n">
        <v>5</v>
      </c>
      <c r="R92" s="2" t="inlineStr">
        <is>
          <t>Vedtrappmossa
Hasselticka
Svart trolldruva
Sårläka
Tibast</t>
        </is>
      </c>
      <c r="S92">
        <f>HYPERLINK("https://klasma.github.io/Logging_0140/artfynd/A 12403-2022 artfynd.xlsx", "A 12403-2022")</f>
        <v/>
      </c>
      <c r="T92">
        <f>HYPERLINK("https://klasma.github.io/Logging_0140/kartor/A 12403-2022 karta.png", "A 12403-2022")</f>
        <v/>
      </c>
      <c r="V92">
        <f>HYPERLINK("https://klasma.github.io/Logging_0140/klagomål/A 12403-2022 FSC-klagomål.docx", "A 12403-2022")</f>
        <v/>
      </c>
      <c r="W92">
        <f>HYPERLINK("https://klasma.github.io/Logging_0140/klagomålsmail/A 12403-2022 FSC-klagomål mail.docx", "A 12403-2022")</f>
        <v/>
      </c>
      <c r="X92">
        <f>HYPERLINK("https://klasma.github.io/Logging_0140/tillsyn/A 12403-2022 tillsynsbegäran.docx", "A 12403-2022")</f>
        <v/>
      </c>
      <c r="Y92">
        <f>HYPERLINK("https://klasma.github.io/Logging_0140/tillsynsmail/A 12403-2022 tillsynsbegäran mail.docx", "A 12403-2022")</f>
        <v/>
      </c>
    </row>
    <row r="93" ht="15" customHeight="1">
      <c r="A93" t="inlineStr">
        <is>
          <t>A 8216-2023</t>
        </is>
      </c>
      <c r="B93" s="1" t="n">
        <v>44974</v>
      </c>
      <c r="C93" s="1" t="n">
        <v>45224</v>
      </c>
      <c r="D93" t="inlineStr">
        <is>
          <t>STOCKHOLMS LÄN</t>
        </is>
      </c>
      <c r="E93" t="inlineStr">
        <is>
          <t>EKERÖ</t>
        </is>
      </c>
      <c r="F93" t="inlineStr">
        <is>
          <t>Kommuner</t>
        </is>
      </c>
      <c r="G93" t="n">
        <v>5</v>
      </c>
      <c r="H93" t="n">
        <v>1</v>
      </c>
      <c r="I93" t="n">
        <v>3</v>
      </c>
      <c r="J93" t="n">
        <v>0</v>
      </c>
      <c r="K93" t="n">
        <v>1</v>
      </c>
      <c r="L93" t="n">
        <v>0</v>
      </c>
      <c r="M93" t="n">
        <v>0</v>
      </c>
      <c r="N93" t="n">
        <v>0</v>
      </c>
      <c r="O93" t="n">
        <v>1</v>
      </c>
      <c r="P93" t="n">
        <v>1</v>
      </c>
      <c r="Q93" t="n">
        <v>5</v>
      </c>
      <c r="R93" s="2" t="inlineStr">
        <is>
          <t>Gul lammticka
Blomkålssvamp
Granbarkgnagare
Thomsons trägnagare
Blåsippa</t>
        </is>
      </c>
      <c r="S93">
        <f>HYPERLINK("https://klasma.github.io/Logging_0125/artfynd/A 8216-2023 artfynd.xlsx", "A 8216-2023")</f>
        <v/>
      </c>
      <c r="T93">
        <f>HYPERLINK("https://klasma.github.io/Logging_0125/kartor/A 8216-2023 karta.png", "A 8216-2023")</f>
        <v/>
      </c>
      <c r="V93">
        <f>HYPERLINK("https://klasma.github.io/Logging_0125/klagomål/A 8216-2023 FSC-klagomål.docx", "A 8216-2023")</f>
        <v/>
      </c>
      <c r="W93">
        <f>HYPERLINK("https://klasma.github.io/Logging_0125/klagomålsmail/A 8216-2023 FSC-klagomål mail.docx", "A 8216-2023")</f>
        <v/>
      </c>
      <c r="X93">
        <f>HYPERLINK("https://klasma.github.io/Logging_0125/tillsyn/A 8216-2023 tillsynsbegäran.docx", "A 8216-2023")</f>
        <v/>
      </c>
      <c r="Y93">
        <f>HYPERLINK("https://klasma.github.io/Logging_0125/tillsynsmail/A 8216-2023 tillsynsbegäran mail.docx", "A 8216-2023")</f>
        <v/>
      </c>
    </row>
    <row r="94" ht="15" customHeight="1">
      <c r="A94" t="inlineStr">
        <is>
          <t>A 21922-2023</t>
        </is>
      </c>
      <c r="B94" s="1" t="n">
        <v>45068</v>
      </c>
      <c r="C94" s="1" t="n">
        <v>45224</v>
      </c>
      <c r="D94" t="inlineStr">
        <is>
          <t>STOCKHOLMS LÄN</t>
        </is>
      </c>
      <c r="E94" t="inlineStr">
        <is>
          <t>NORRTÄLJE</t>
        </is>
      </c>
      <c r="G94" t="n">
        <v>4.9</v>
      </c>
      <c r="H94" t="n">
        <v>2</v>
      </c>
      <c r="I94" t="n">
        <v>2</v>
      </c>
      <c r="J94" t="n">
        <v>1</v>
      </c>
      <c r="K94" t="n">
        <v>0</v>
      </c>
      <c r="L94" t="n">
        <v>0</v>
      </c>
      <c r="M94" t="n">
        <v>0</v>
      </c>
      <c r="N94" t="n">
        <v>0</v>
      </c>
      <c r="O94" t="n">
        <v>1</v>
      </c>
      <c r="P94" t="n">
        <v>0</v>
      </c>
      <c r="Q94" t="n">
        <v>5</v>
      </c>
      <c r="R94" s="2" t="inlineStr">
        <is>
          <t>Asppraktbagge
Stor aspticka
Svavelriska
Blåsippa
Gullviva</t>
        </is>
      </c>
      <c r="S94">
        <f>HYPERLINK("https://klasma.github.io/Logging_0188/artfynd/A 21922-2023 artfynd.xlsx", "A 21922-2023")</f>
        <v/>
      </c>
      <c r="T94">
        <f>HYPERLINK("https://klasma.github.io/Logging_0188/kartor/A 21922-2023 karta.png", "A 21922-2023")</f>
        <v/>
      </c>
      <c r="V94">
        <f>HYPERLINK("https://klasma.github.io/Logging_0188/klagomål/A 21922-2023 FSC-klagomål.docx", "A 21922-2023")</f>
        <v/>
      </c>
      <c r="W94">
        <f>HYPERLINK("https://klasma.github.io/Logging_0188/klagomålsmail/A 21922-2023 FSC-klagomål mail.docx", "A 21922-2023")</f>
        <v/>
      </c>
      <c r="X94">
        <f>HYPERLINK("https://klasma.github.io/Logging_0188/tillsyn/A 21922-2023 tillsynsbegäran.docx", "A 21922-2023")</f>
        <v/>
      </c>
      <c r="Y94">
        <f>HYPERLINK("https://klasma.github.io/Logging_0188/tillsynsmail/A 21922-2023 tillsynsbegäran mail.docx", "A 21922-2023")</f>
        <v/>
      </c>
    </row>
    <row r="95" ht="15" customHeight="1">
      <c r="A95" t="inlineStr">
        <is>
          <t>A 21927-2023</t>
        </is>
      </c>
      <c r="B95" s="1" t="n">
        <v>45068</v>
      </c>
      <c r="C95" s="1" t="n">
        <v>45224</v>
      </c>
      <c r="D95" t="inlineStr">
        <is>
          <t>STOCKHOLMS LÄN</t>
        </is>
      </c>
      <c r="E95" t="inlineStr">
        <is>
          <t>NORRTÄLJE</t>
        </is>
      </c>
      <c r="G95" t="n">
        <v>1.4</v>
      </c>
      <c r="H95" t="n">
        <v>4</v>
      </c>
      <c r="I95" t="n">
        <v>2</v>
      </c>
      <c r="J95" t="n">
        <v>1</v>
      </c>
      <c r="K95" t="n">
        <v>0</v>
      </c>
      <c r="L95" t="n">
        <v>0</v>
      </c>
      <c r="M95" t="n">
        <v>0</v>
      </c>
      <c r="N95" t="n">
        <v>0</v>
      </c>
      <c r="O95" t="n">
        <v>1</v>
      </c>
      <c r="P95" t="n">
        <v>0</v>
      </c>
      <c r="Q95" t="n">
        <v>5</v>
      </c>
      <c r="R95" s="2" t="inlineStr">
        <is>
          <t>Slåtterfibbla
Skogsknipprot
Tvåblad
Blåsippa
Gullviva</t>
        </is>
      </c>
      <c r="S95">
        <f>HYPERLINK("https://klasma.github.io/Logging_0188/artfynd/A 21927-2023 artfynd.xlsx", "A 21927-2023")</f>
        <v/>
      </c>
      <c r="T95">
        <f>HYPERLINK("https://klasma.github.io/Logging_0188/kartor/A 21927-2023 karta.png", "A 21927-2023")</f>
        <v/>
      </c>
      <c r="V95">
        <f>HYPERLINK("https://klasma.github.io/Logging_0188/klagomål/A 21927-2023 FSC-klagomål.docx", "A 21927-2023")</f>
        <v/>
      </c>
      <c r="W95">
        <f>HYPERLINK("https://klasma.github.io/Logging_0188/klagomålsmail/A 21927-2023 FSC-klagomål mail.docx", "A 21927-2023")</f>
        <v/>
      </c>
      <c r="X95">
        <f>HYPERLINK("https://klasma.github.io/Logging_0188/tillsyn/A 21927-2023 tillsynsbegäran.docx", "A 21927-2023")</f>
        <v/>
      </c>
      <c r="Y95">
        <f>HYPERLINK("https://klasma.github.io/Logging_0188/tillsynsmail/A 21927-2023 tillsynsbegäran mail.docx", "A 21927-2023")</f>
        <v/>
      </c>
    </row>
    <row r="96" ht="15" customHeight="1">
      <c r="A96" t="inlineStr">
        <is>
          <t>A 25533-2023</t>
        </is>
      </c>
      <c r="B96" s="1" t="n">
        <v>45089</v>
      </c>
      <c r="C96" s="1" t="n">
        <v>45224</v>
      </c>
      <c r="D96" t="inlineStr">
        <is>
          <t>STOCKHOLMS LÄN</t>
        </is>
      </c>
      <c r="E96" t="inlineStr">
        <is>
          <t>SALEM</t>
        </is>
      </c>
      <c r="F96" t="inlineStr">
        <is>
          <t>Kommuner</t>
        </is>
      </c>
      <c r="G96" t="n">
        <v>7.6</v>
      </c>
      <c r="H96" t="n">
        <v>0</v>
      </c>
      <c r="I96" t="n">
        <v>4</v>
      </c>
      <c r="J96" t="n">
        <v>1</v>
      </c>
      <c r="K96" t="n">
        <v>0</v>
      </c>
      <c r="L96" t="n">
        <v>0</v>
      </c>
      <c r="M96" t="n">
        <v>0</v>
      </c>
      <c r="N96" t="n">
        <v>0</v>
      </c>
      <c r="O96" t="n">
        <v>1</v>
      </c>
      <c r="P96" t="n">
        <v>0</v>
      </c>
      <c r="Q96" t="n">
        <v>5</v>
      </c>
      <c r="R96" s="2" t="inlineStr">
        <is>
          <t>Tallticka
Brandticka
Dropptaggsvamp
Granbarkgnagare
Jättesvampmal</t>
        </is>
      </c>
      <c r="S96">
        <f>HYPERLINK("https://klasma.github.io/Logging_0128/artfynd/A 25533-2023 artfynd.xlsx", "A 25533-2023")</f>
        <v/>
      </c>
      <c r="T96">
        <f>HYPERLINK("https://klasma.github.io/Logging_0128/kartor/A 25533-2023 karta.png", "A 25533-2023")</f>
        <v/>
      </c>
      <c r="V96">
        <f>HYPERLINK("https://klasma.github.io/Logging_0128/klagomål/A 25533-2023 FSC-klagomål.docx", "A 25533-2023")</f>
        <v/>
      </c>
      <c r="W96">
        <f>HYPERLINK("https://klasma.github.io/Logging_0128/klagomålsmail/A 25533-2023 FSC-klagomål mail.docx", "A 25533-2023")</f>
        <v/>
      </c>
      <c r="X96">
        <f>HYPERLINK("https://klasma.github.io/Logging_0128/tillsyn/A 25533-2023 tillsynsbegäran.docx", "A 25533-2023")</f>
        <v/>
      </c>
      <c r="Y96">
        <f>HYPERLINK("https://klasma.github.io/Logging_0128/tillsynsmail/A 25533-2023 tillsynsbegäran mail.docx", "A 25533-2023")</f>
        <v/>
      </c>
    </row>
    <row r="97" ht="15" customHeight="1">
      <c r="A97" t="inlineStr">
        <is>
          <t>A 36119-2023</t>
        </is>
      </c>
      <c r="B97" s="1" t="n">
        <v>45148</v>
      </c>
      <c r="C97" s="1" t="n">
        <v>45224</v>
      </c>
      <c r="D97" t="inlineStr">
        <is>
          <t>STOCKHOLMS LÄN</t>
        </is>
      </c>
      <c r="E97" t="inlineStr">
        <is>
          <t>VALLENTUNA</t>
        </is>
      </c>
      <c r="G97" t="n">
        <v>16.3</v>
      </c>
      <c r="H97" t="n">
        <v>1</v>
      </c>
      <c r="I97" t="n">
        <v>1</v>
      </c>
      <c r="J97" t="n">
        <v>3</v>
      </c>
      <c r="K97" t="n">
        <v>0</v>
      </c>
      <c r="L97" t="n">
        <v>0</v>
      </c>
      <c r="M97" t="n">
        <v>0</v>
      </c>
      <c r="N97" t="n">
        <v>0</v>
      </c>
      <c r="O97" t="n">
        <v>3</v>
      </c>
      <c r="P97" t="n">
        <v>0</v>
      </c>
      <c r="Q97" t="n">
        <v>5</v>
      </c>
      <c r="R97" s="2" t="inlineStr">
        <is>
          <t>Backtimjan
Orange taggsvamp
Solvända
Fjällig taggsvamp s.str.
Blåsippa</t>
        </is>
      </c>
      <c r="S97">
        <f>HYPERLINK("https://klasma.github.io/Logging_0115/artfynd/A 36119-2023 artfynd.xlsx", "A 36119-2023")</f>
        <v/>
      </c>
      <c r="T97">
        <f>HYPERLINK("https://klasma.github.io/Logging_0115/kartor/A 36119-2023 karta.png", "A 36119-2023")</f>
        <v/>
      </c>
      <c r="V97">
        <f>HYPERLINK("https://klasma.github.io/Logging_0115/klagomål/A 36119-2023 FSC-klagomål.docx", "A 36119-2023")</f>
        <v/>
      </c>
      <c r="W97">
        <f>HYPERLINK("https://klasma.github.io/Logging_0115/klagomålsmail/A 36119-2023 FSC-klagomål mail.docx", "A 36119-2023")</f>
        <v/>
      </c>
      <c r="X97">
        <f>HYPERLINK("https://klasma.github.io/Logging_0115/tillsyn/A 36119-2023 tillsynsbegäran.docx", "A 36119-2023")</f>
        <v/>
      </c>
      <c r="Y97">
        <f>HYPERLINK("https://klasma.github.io/Logging_0115/tillsynsmail/A 36119-2023 tillsynsbegäran mail.docx", "A 36119-2023")</f>
        <v/>
      </c>
    </row>
    <row r="98" ht="15" customHeight="1">
      <c r="A98" t="inlineStr">
        <is>
          <t>A 48515-2018</t>
        </is>
      </c>
      <c r="B98" s="1" t="n">
        <v>43374</v>
      </c>
      <c r="C98" s="1" t="n">
        <v>45224</v>
      </c>
      <c r="D98" t="inlineStr">
        <is>
          <t>STOCKHOLMS LÄN</t>
        </is>
      </c>
      <c r="E98" t="inlineStr">
        <is>
          <t>HANINGE</t>
        </is>
      </c>
      <c r="G98" t="n">
        <v>3.6</v>
      </c>
      <c r="H98" t="n">
        <v>0</v>
      </c>
      <c r="I98" t="n">
        <v>1</v>
      </c>
      <c r="J98" t="n">
        <v>3</v>
      </c>
      <c r="K98" t="n">
        <v>0</v>
      </c>
      <c r="L98" t="n">
        <v>0</v>
      </c>
      <c r="M98" t="n">
        <v>0</v>
      </c>
      <c r="N98" t="n">
        <v>0</v>
      </c>
      <c r="O98" t="n">
        <v>3</v>
      </c>
      <c r="P98" t="n">
        <v>0</v>
      </c>
      <c r="Q98" t="n">
        <v>4</v>
      </c>
      <c r="R98" s="2" t="inlineStr">
        <is>
          <t>Ekticka
Kandelabersvamp
Tallticka
Fjällig taggsvamp s.str.</t>
        </is>
      </c>
      <c r="S98">
        <f>HYPERLINK("https://klasma.github.io/Logging_0136/artfynd/A 48515-2018 artfynd.xlsx", "A 48515-2018")</f>
        <v/>
      </c>
      <c r="T98">
        <f>HYPERLINK("https://klasma.github.io/Logging_0136/kartor/A 48515-2018 karta.png", "A 48515-2018")</f>
        <v/>
      </c>
      <c r="V98">
        <f>HYPERLINK("https://klasma.github.io/Logging_0136/klagomål/A 48515-2018 FSC-klagomål.docx", "A 48515-2018")</f>
        <v/>
      </c>
      <c r="W98">
        <f>HYPERLINK("https://klasma.github.io/Logging_0136/klagomålsmail/A 48515-2018 FSC-klagomål mail.docx", "A 48515-2018")</f>
        <v/>
      </c>
      <c r="X98">
        <f>HYPERLINK("https://klasma.github.io/Logging_0136/tillsyn/A 48515-2018 tillsynsbegäran.docx", "A 48515-2018")</f>
        <v/>
      </c>
      <c r="Y98">
        <f>HYPERLINK("https://klasma.github.io/Logging_0136/tillsynsmail/A 48515-2018 tillsynsbegäran mail.docx", "A 48515-2018")</f>
        <v/>
      </c>
    </row>
    <row r="99" ht="15" customHeight="1">
      <c r="A99" t="inlineStr">
        <is>
          <t>A 55163-2018</t>
        </is>
      </c>
      <c r="B99" s="1" t="n">
        <v>43396</v>
      </c>
      <c r="C99" s="1" t="n">
        <v>45224</v>
      </c>
      <c r="D99" t="inlineStr">
        <is>
          <t>STOCKHOLMS LÄN</t>
        </is>
      </c>
      <c r="E99" t="inlineStr">
        <is>
          <t>SIGTUNA</t>
        </is>
      </c>
      <c r="F99" t="inlineStr">
        <is>
          <t>Allmännings- och besparingsskogar</t>
        </is>
      </c>
      <c r="G99" t="n">
        <v>2.6</v>
      </c>
      <c r="H99" t="n">
        <v>1</v>
      </c>
      <c r="I99" t="n">
        <v>2</v>
      </c>
      <c r="J99" t="n">
        <v>1</v>
      </c>
      <c r="K99" t="n">
        <v>0</v>
      </c>
      <c r="L99" t="n">
        <v>0</v>
      </c>
      <c r="M99" t="n">
        <v>0</v>
      </c>
      <c r="N99" t="n">
        <v>0</v>
      </c>
      <c r="O99" t="n">
        <v>1</v>
      </c>
      <c r="P99" t="n">
        <v>0</v>
      </c>
      <c r="Q99" t="n">
        <v>4</v>
      </c>
      <c r="R99" s="2" t="inlineStr">
        <is>
          <t>Ullticka
Granbarkgnagare
Grönpyrola
Lopplummer</t>
        </is>
      </c>
      <c r="S99">
        <f>HYPERLINK("https://klasma.github.io/Logging_0191/artfynd/A 55163-2018 artfynd.xlsx", "A 55163-2018")</f>
        <v/>
      </c>
      <c r="T99">
        <f>HYPERLINK("https://klasma.github.io/Logging_0191/kartor/A 55163-2018 karta.png", "A 55163-2018")</f>
        <v/>
      </c>
      <c r="V99">
        <f>HYPERLINK("https://klasma.github.io/Logging_0191/klagomål/A 55163-2018 FSC-klagomål.docx", "A 55163-2018")</f>
        <v/>
      </c>
      <c r="W99">
        <f>HYPERLINK("https://klasma.github.io/Logging_0191/klagomålsmail/A 55163-2018 FSC-klagomål mail.docx", "A 55163-2018")</f>
        <v/>
      </c>
      <c r="X99">
        <f>HYPERLINK("https://klasma.github.io/Logging_0191/tillsyn/A 55163-2018 tillsynsbegäran.docx", "A 55163-2018")</f>
        <v/>
      </c>
      <c r="Y99">
        <f>HYPERLINK("https://klasma.github.io/Logging_0191/tillsynsmail/A 55163-2018 tillsynsbegäran mail.docx", "A 55163-2018")</f>
        <v/>
      </c>
    </row>
    <row r="100" ht="15" customHeight="1">
      <c r="A100" t="inlineStr">
        <is>
          <t>A 67155-2018</t>
        </is>
      </c>
      <c r="B100" s="1" t="n">
        <v>43438</v>
      </c>
      <c r="C100" s="1" t="n">
        <v>45224</v>
      </c>
      <c r="D100" t="inlineStr">
        <is>
          <t>STOCKHOLMS LÄN</t>
        </is>
      </c>
      <c r="E100" t="inlineStr">
        <is>
          <t>NYKVARN</t>
        </is>
      </c>
      <c r="G100" t="n">
        <v>4</v>
      </c>
      <c r="H100" t="n">
        <v>1</v>
      </c>
      <c r="I100" t="n">
        <v>3</v>
      </c>
      <c r="J100" t="n">
        <v>0</v>
      </c>
      <c r="K100" t="n">
        <v>0</v>
      </c>
      <c r="L100" t="n">
        <v>0</v>
      </c>
      <c r="M100" t="n">
        <v>0</v>
      </c>
      <c r="N100" t="n">
        <v>0</v>
      </c>
      <c r="O100" t="n">
        <v>0</v>
      </c>
      <c r="P100" t="n">
        <v>0</v>
      </c>
      <c r="Q100" t="n">
        <v>4</v>
      </c>
      <c r="R100" s="2" t="inlineStr">
        <is>
          <t>Strutbräken
Svart trolldruva
Tibast
Blåsippa</t>
        </is>
      </c>
      <c r="S100">
        <f>HYPERLINK("https://klasma.github.io/Logging_0140/artfynd/A 67155-2018 artfynd.xlsx", "A 67155-2018")</f>
        <v/>
      </c>
      <c r="T100">
        <f>HYPERLINK("https://klasma.github.io/Logging_0140/kartor/A 67155-2018 karta.png", "A 67155-2018")</f>
        <v/>
      </c>
      <c r="V100">
        <f>HYPERLINK("https://klasma.github.io/Logging_0140/klagomål/A 67155-2018 FSC-klagomål.docx", "A 67155-2018")</f>
        <v/>
      </c>
      <c r="W100">
        <f>HYPERLINK("https://klasma.github.io/Logging_0140/klagomålsmail/A 67155-2018 FSC-klagomål mail.docx", "A 67155-2018")</f>
        <v/>
      </c>
      <c r="X100">
        <f>HYPERLINK("https://klasma.github.io/Logging_0140/tillsyn/A 67155-2018 tillsynsbegäran.docx", "A 67155-2018")</f>
        <v/>
      </c>
      <c r="Y100">
        <f>HYPERLINK("https://klasma.github.io/Logging_0140/tillsynsmail/A 67155-2018 tillsynsbegäran mail.docx", "A 67155-2018")</f>
        <v/>
      </c>
    </row>
    <row r="101" ht="15" customHeight="1">
      <c r="A101" t="inlineStr">
        <is>
          <t>A 67203-2018</t>
        </is>
      </c>
      <c r="B101" s="1" t="n">
        <v>43438</v>
      </c>
      <c r="C101" s="1" t="n">
        <v>45224</v>
      </c>
      <c r="D101" t="inlineStr">
        <is>
          <t>STOCKHOLMS LÄN</t>
        </is>
      </c>
      <c r="E101" t="inlineStr">
        <is>
          <t>HANINGE</t>
        </is>
      </c>
      <c r="G101" t="n">
        <v>6</v>
      </c>
      <c r="H101" t="n">
        <v>0</v>
      </c>
      <c r="I101" t="n">
        <v>3</v>
      </c>
      <c r="J101" t="n">
        <v>1</v>
      </c>
      <c r="K101" t="n">
        <v>0</v>
      </c>
      <c r="L101" t="n">
        <v>0</v>
      </c>
      <c r="M101" t="n">
        <v>0</v>
      </c>
      <c r="N101" t="n">
        <v>0</v>
      </c>
      <c r="O101" t="n">
        <v>1</v>
      </c>
      <c r="P101" t="n">
        <v>0</v>
      </c>
      <c r="Q101" t="n">
        <v>4</v>
      </c>
      <c r="R101" s="2" t="inlineStr">
        <is>
          <t>Ullticka
Aspvedgnagare
Brandticka
Granbarkgnagare</t>
        </is>
      </c>
      <c r="S101">
        <f>HYPERLINK("https://klasma.github.io/Logging_0136/artfynd/A 67203-2018 artfynd.xlsx", "A 67203-2018")</f>
        <v/>
      </c>
      <c r="T101">
        <f>HYPERLINK("https://klasma.github.io/Logging_0136/kartor/A 67203-2018 karta.png", "A 67203-2018")</f>
        <v/>
      </c>
      <c r="V101">
        <f>HYPERLINK("https://klasma.github.io/Logging_0136/klagomål/A 67203-2018 FSC-klagomål.docx", "A 67203-2018")</f>
        <v/>
      </c>
      <c r="W101">
        <f>HYPERLINK("https://klasma.github.io/Logging_0136/klagomålsmail/A 67203-2018 FSC-klagomål mail.docx", "A 67203-2018")</f>
        <v/>
      </c>
      <c r="X101">
        <f>HYPERLINK("https://klasma.github.io/Logging_0136/tillsyn/A 67203-2018 tillsynsbegäran.docx", "A 67203-2018")</f>
        <v/>
      </c>
      <c r="Y101">
        <f>HYPERLINK("https://klasma.github.io/Logging_0136/tillsynsmail/A 67203-2018 tillsynsbegäran mail.docx", "A 67203-2018")</f>
        <v/>
      </c>
    </row>
    <row r="102" ht="15" customHeight="1">
      <c r="A102" t="inlineStr">
        <is>
          <t>A 67201-2018</t>
        </is>
      </c>
      <c r="B102" s="1" t="n">
        <v>43438</v>
      </c>
      <c r="C102" s="1" t="n">
        <v>45224</v>
      </c>
      <c r="D102" t="inlineStr">
        <is>
          <t>STOCKHOLMS LÄN</t>
        </is>
      </c>
      <c r="E102" t="inlineStr">
        <is>
          <t>HANINGE</t>
        </is>
      </c>
      <c r="G102" t="n">
        <v>3.9</v>
      </c>
      <c r="H102" t="n">
        <v>0</v>
      </c>
      <c r="I102" t="n">
        <v>2</v>
      </c>
      <c r="J102" t="n">
        <v>2</v>
      </c>
      <c r="K102" t="n">
        <v>0</v>
      </c>
      <c r="L102" t="n">
        <v>0</v>
      </c>
      <c r="M102" t="n">
        <v>0</v>
      </c>
      <c r="N102" t="n">
        <v>0</v>
      </c>
      <c r="O102" t="n">
        <v>2</v>
      </c>
      <c r="P102" t="n">
        <v>0</v>
      </c>
      <c r="Q102" t="n">
        <v>4</v>
      </c>
      <c r="R102" s="2" t="inlineStr">
        <is>
          <t>Kandelabersvamp
Solfingersvamp
Fjällig taggsvamp s.str.
Granbarkgnagare</t>
        </is>
      </c>
      <c r="S102">
        <f>HYPERLINK("https://klasma.github.io/Logging_0136/artfynd/A 67201-2018 artfynd.xlsx", "A 67201-2018")</f>
        <v/>
      </c>
      <c r="T102">
        <f>HYPERLINK("https://klasma.github.io/Logging_0136/kartor/A 67201-2018 karta.png", "A 67201-2018")</f>
        <v/>
      </c>
      <c r="V102">
        <f>HYPERLINK("https://klasma.github.io/Logging_0136/klagomål/A 67201-2018 FSC-klagomål.docx", "A 67201-2018")</f>
        <v/>
      </c>
      <c r="W102">
        <f>HYPERLINK("https://klasma.github.io/Logging_0136/klagomålsmail/A 67201-2018 FSC-klagomål mail.docx", "A 67201-2018")</f>
        <v/>
      </c>
      <c r="X102">
        <f>HYPERLINK("https://klasma.github.io/Logging_0136/tillsyn/A 67201-2018 tillsynsbegäran.docx", "A 67201-2018")</f>
        <v/>
      </c>
      <c r="Y102">
        <f>HYPERLINK("https://klasma.github.io/Logging_0136/tillsynsmail/A 67201-2018 tillsynsbegäran mail.docx", "A 67201-2018")</f>
        <v/>
      </c>
    </row>
    <row r="103" ht="15" customHeight="1">
      <c r="A103" t="inlineStr">
        <is>
          <t>A 71283-2018</t>
        </is>
      </c>
      <c r="B103" s="1" t="n">
        <v>43453</v>
      </c>
      <c r="C103" s="1" t="n">
        <v>45224</v>
      </c>
      <c r="D103" t="inlineStr">
        <is>
          <t>STOCKHOLMS LÄN</t>
        </is>
      </c>
      <c r="E103" t="inlineStr">
        <is>
          <t>NYNÄSHAMN</t>
        </is>
      </c>
      <c r="G103" t="n">
        <v>33</v>
      </c>
      <c r="H103" t="n">
        <v>3</v>
      </c>
      <c r="I103" t="n">
        <v>0</v>
      </c>
      <c r="J103" t="n">
        <v>1</v>
      </c>
      <c r="K103" t="n">
        <v>1</v>
      </c>
      <c r="L103" t="n">
        <v>0</v>
      </c>
      <c r="M103" t="n">
        <v>0</v>
      </c>
      <c r="N103" t="n">
        <v>0</v>
      </c>
      <c r="O103" t="n">
        <v>2</v>
      </c>
      <c r="P103" t="n">
        <v>1</v>
      </c>
      <c r="Q103" t="n">
        <v>4</v>
      </c>
      <c r="R103" s="2" t="inlineStr">
        <is>
          <t>Hasselsnok
Backstarr
Huggorm
Kopparödla</t>
        </is>
      </c>
      <c r="S103">
        <f>HYPERLINK("https://klasma.github.io/Logging_0192/artfynd/A 71283-2018 artfynd.xlsx", "A 71283-2018")</f>
        <v/>
      </c>
      <c r="T103">
        <f>HYPERLINK("https://klasma.github.io/Logging_0192/kartor/A 71283-2018 karta.png", "A 71283-2018")</f>
        <v/>
      </c>
      <c r="V103">
        <f>HYPERLINK("https://klasma.github.io/Logging_0192/klagomål/A 71283-2018 FSC-klagomål.docx", "A 71283-2018")</f>
        <v/>
      </c>
      <c r="W103">
        <f>HYPERLINK("https://klasma.github.io/Logging_0192/klagomålsmail/A 71283-2018 FSC-klagomål mail.docx", "A 71283-2018")</f>
        <v/>
      </c>
      <c r="X103">
        <f>HYPERLINK("https://klasma.github.io/Logging_0192/tillsyn/A 71283-2018 tillsynsbegäran.docx", "A 71283-2018")</f>
        <v/>
      </c>
      <c r="Y103">
        <f>HYPERLINK("https://klasma.github.io/Logging_0192/tillsynsmail/A 71283-2018 tillsynsbegäran mail.docx", "A 71283-2018")</f>
        <v/>
      </c>
    </row>
    <row r="104" ht="15" customHeight="1">
      <c r="A104" t="inlineStr">
        <is>
          <t>A 11366-2019</t>
        </is>
      </c>
      <c r="B104" s="1" t="n">
        <v>43517</v>
      </c>
      <c r="C104" s="1" t="n">
        <v>45224</v>
      </c>
      <c r="D104" t="inlineStr">
        <is>
          <t>STOCKHOLMS LÄN</t>
        </is>
      </c>
      <c r="E104" t="inlineStr">
        <is>
          <t>NORRTÄLJE</t>
        </is>
      </c>
      <c r="F104" t="inlineStr">
        <is>
          <t>Kommuner</t>
        </is>
      </c>
      <c r="G104" t="n">
        <v>0.6</v>
      </c>
      <c r="H104" t="n">
        <v>1</v>
      </c>
      <c r="I104" t="n">
        <v>3</v>
      </c>
      <c r="J104" t="n">
        <v>1</v>
      </c>
      <c r="K104" t="n">
        <v>0</v>
      </c>
      <c r="L104" t="n">
        <v>0</v>
      </c>
      <c r="M104" t="n">
        <v>0</v>
      </c>
      <c r="N104" t="n">
        <v>0</v>
      </c>
      <c r="O104" t="n">
        <v>1</v>
      </c>
      <c r="P104" t="n">
        <v>0</v>
      </c>
      <c r="Q104" t="n">
        <v>4</v>
      </c>
      <c r="R104" s="2" t="inlineStr">
        <is>
          <t>Dofttaggsvamp
Fjällig taggsvamp s.str.
Skogsknipprot
Svavelriska</t>
        </is>
      </c>
      <c r="S104">
        <f>HYPERLINK("https://klasma.github.io/Logging_0188/artfynd/A 11366-2019 artfynd.xlsx", "A 11366-2019")</f>
        <v/>
      </c>
      <c r="T104">
        <f>HYPERLINK("https://klasma.github.io/Logging_0188/kartor/A 11366-2019 karta.png", "A 11366-2019")</f>
        <v/>
      </c>
      <c r="V104">
        <f>HYPERLINK("https://klasma.github.io/Logging_0188/klagomål/A 11366-2019 FSC-klagomål.docx", "A 11366-2019")</f>
        <v/>
      </c>
      <c r="W104">
        <f>HYPERLINK("https://klasma.github.io/Logging_0188/klagomålsmail/A 11366-2019 FSC-klagomål mail.docx", "A 11366-2019")</f>
        <v/>
      </c>
      <c r="X104">
        <f>HYPERLINK("https://klasma.github.io/Logging_0188/tillsyn/A 11366-2019 tillsynsbegäran.docx", "A 11366-2019")</f>
        <v/>
      </c>
      <c r="Y104">
        <f>HYPERLINK("https://klasma.github.io/Logging_0188/tillsynsmail/A 11366-2019 tillsynsbegäran mail.docx", "A 11366-2019")</f>
        <v/>
      </c>
    </row>
    <row r="105" ht="15" customHeight="1">
      <c r="A105" t="inlineStr">
        <is>
          <t>A 25507-2019</t>
        </is>
      </c>
      <c r="B105" s="1" t="n">
        <v>43606</v>
      </c>
      <c r="C105" s="1" t="n">
        <v>45224</v>
      </c>
      <c r="D105" t="inlineStr">
        <is>
          <t>STOCKHOLMS LÄN</t>
        </is>
      </c>
      <c r="E105" t="inlineStr">
        <is>
          <t>NORRTÄLJE</t>
        </is>
      </c>
      <c r="G105" t="n">
        <v>3.1</v>
      </c>
      <c r="H105" t="n">
        <v>1</v>
      </c>
      <c r="I105" t="n">
        <v>2</v>
      </c>
      <c r="J105" t="n">
        <v>0</v>
      </c>
      <c r="K105" t="n">
        <v>0</v>
      </c>
      <c r="L105" t="n">
        <v>1</v>
      </c>
      <c r="M105" t="n">
        <v>0</v>
      </c>
      <c r="N105" t="n">
        <v>0</v>
      </c>
      <c r="O105" t="n">
        <v>1</v>
      </c>
      <c r="P105" t="n">
        <v>1</v>
      </c>
      <c r="Q105" t="n">
        <v>4</v>
      </c>
      <c r="R105" s="2" t="inlineStr">
        <is>
          <t>Ask
Tibast
Vårärt
Blåsippa</t>
        </is>
      </c>
      <c r="S105">
        <f>HYPERLINK("https://klasma.github.io/Logging_0188/artfynd/A 25507-2019 artfynd.xlsx", "A 25507-2019")</f>
        <v/>
      </c>
      <c r="T105">
        <f>HYPERLINK("https://klasma.github.io/Logging_0188/kartor/A 25507-2019 karta.png", "A 25507-2019")</f>
        <v/>
      </c>
      <c r="V105">
        <f>HYPERLINK("https://klasma.github.io/Logging_0188/klagomål/A 25507-2019 FSC-klagomål.docx", "A 25507-2019")</f>
        <v/>
      </c>
      <c r="W105">
        <f>HYPERLINK("https://klasma.github.io/Logging_0188/klagomålsmail/A 25507-2019 FSC-klagomål mail.docx", "A 25507-2019")</f>
        <v/>
      </c>
      <c r="X105">
        <f>HYPERLINK("https://klasma.github.io/Logging_0188/tillsyn/A 25507-2019 tillsynsbegäran.docx", "A 25507-2019")</f>
        <v/>
      </c>
      <c r="Y105">
        <f>HYPERLINK("https://klasma.github.io/Logging_0188/tillsynsmail/A 25507-2019 tillsynsbegäran mail.docx", "A 25507-2019")</f>
        <v/>
      </c>
    </row>
    <row r="106" ht="15" customHeight="1">
      <c r="A106" t="inlineStr">
        <is>
          <t>A 28408-2019</t>
        </is>
      </c>
      <c r="B106" s="1" t="n">
        <v>43626</v>
      </c>
      <c r="C106" s="1" t="n">
        <v>45224</v>
      </c>
      <c r="D106" t="inlineStr">
        <is>
          <t>STOCKHOLMS LÄN</t>
        </is>
      </c>
      <c r="E106" t="inlineStr">
        <is>
          <t>NORRTÄLJE</t>
        </is>
      </c>
      <c r="G106" t="n">
        <v>1.1</v>
      </c>
      <c r="H106" t="n">
        <v>2</v>
      </c>
      <c r="I106" t="n">
        <v>2</v>
      </c>
      <c r="J106" t="n">
        <v>1</v>
      </c>
      <c r="K106" t="n">
        <v>1</v>
      </c>
      <c r="L106" t="n">
        <v>0</v>
      </c>
      <c r="M106" t="n">
        <v>0</v>
      </c>
      <c r="N106" t="n">
        <v>0</v>
      </c>
      <c r="O106" t="n">
        <v>2</v>
      </c>
      <c r="P106" t="n">
        <v>1</v>
      </c>
      <c r="Q106" t="n">
        <v>4</v>
      </c>
      <c r="R106" s="2" t="inlineStr">
        <is>
          <t>Knärot
Granticka
Grönpyrola
Nästrot</t>
        </is>
      </c>
      <c r="S106">
        <f>HYPERLINK("https://klasma.github.io/Logging_0188/artfynd/A 28408-2019 artfynd.xlsx", "A 28408-2019")</f>
        <v/>
      </c>
      <c r="T106">
        <f>HYPERLINK("https://klasma.github.io/Logging_0188/kartor/A 28408-2019 karta.png", "A 28408-2019")</f>
        <v/>
      </c>
      <c r="U106">
        <f>HYPERLINK("https://klasma.github.io/Logging_0188/knärot/A 28408-2019 karta knärot.png", "A 28408-2019")</f>
        <v/>
      </c>
      <c r="V106">
        <f>HYPERLINK("https://klasma.github.io/Logging_0188/klagomål/A 28408-2019 FSC-klagomål.docx", "A 28408-2019")</f>
        <v/>
      </c>
      <c r="W106">
        <f>HYPERLINK("https://klasma.github.io/Logging_0188/klagomålsmail/A 28408-2019 FSC-klagomål mail.docx", "A 28408-2019")</f>
        <v/>
      </c>
      <c r="X106">
        <f>HYPERLINK("https://klasma.github.io/Logging_0188/tillsyn/A 28408-2019 tillsynsbegäran.docx", "A 28408-2019")</f>
        <v/>
      </c>
      <c r="Y106">
        <f>HYPERLINK("https://klasma.github.io/Logging_0188/tillsynsmail/A 28408-2019 tillsynsbegäran mail.docx", "A 28408-2019")</f>
        <v/>
      </c>
    </row>
    <row r="107" ht="15" customHeight="1">
      <c r="A107" t="inlineStr">
        <is>
          <t>A 68127-2019</t>
        </is>
      </c>
      <c r="B107" s="1" t="n">
        <v>43817</v>
      </c>
      <c r="C107" s="1" t="n">
        <v>45224</v>
      </c>
      <c r="D107" t="inlineStr">
        <is>
          <t>STOCKHOLMS LÄN</t>
        </is>
      </c>
      <c r="E107" t="inlineStr">
        <is>
          <t>VALLENTUNA</t>
        </is>
      </c>
      <c r="G107" t="n">
        <v>2.9</v>
      </c>
      <c r="H107" t="n">
        <v>1</v>
      </c>
      <c r="I107" t="n">
        <v>1</v>
      </c>
      <c r="J107" t="n">
        <v>1</v>
      </c>
      <c r="K107" t="n">
        <v>0</v>
      </c>
      <c r="L107" t="n">
        <v>0</v>
      </c>
      <c r="M107" t="n">
        <v>1</v>
      </c>
      <c r="N107" t="n">
        <v>0</v>
      </c>
      <c r="O107" t="n">
        <v>2</v>
      </c>
      <c r="P107" t="n">
        <v>1</v>
      </c>
      <c r="Q107" t="n">
        <v>4</v>
      </c>
      <c r="R107" s="2" t="inlineStr">
        <is>
          <t>Skogsalm
Bronspraktbagge
Mörk husmossa
Bred kärrtrollslända</t>
        </is>
      </c>
      <c r="S107">
        <f>HYPERLINK("https://klasma.github.io/Logging_0115/artfynd/A 68127-2019 artfynd.xlsx", "A 68127-2019")</f>
        <v/>
      </c>
      <c r="T107">
        <f>HYPERLINK("https://klasma.github.io/Logging_0115/kartor/A 68127-2019 karta.png", "A 68127-2019")</f>
        <v/>
      </c>
      <c r="V107">
        <f>HYPERLINK("https://klasma.github.io/Logging_0115/klagomål/A 68127-2019 FSC-klagomål.docx", "A 68127-2019")</f>
        <v/>
      </c>
      <c r="W107">
        <f>HYPERLINK("https://klasma.github.io/Logging_0115/klagomålsmail/A 68127-2019 FSC-klagomål mail.docx", "A 68127-2019")</f>
        <v/>
      </c>
      <c r="X107">
        <f>HYPERLINK("https://klasma.github.io/Logging_0115/tillsyn/A 68127-2019 tillsynsbegäran.docx", "A 68127-2019")</f>
        <v/>
      </c>
      <c r="Y107">
        <f>HYPERLINK("https://klasma.github.io/Logging_0115/tillsynsmail/A 68127-2019 tillsynsbegäran mail.docx", "A 68127-2019")</f>
        <v/>
      </c>
    </row>
    <row r="108" ht="15" customHeight="1">
      <c r="A108" t="inlineStr">
        <is>
          <t>A 5732-2020</t>
        </is>
      </c>
      <c r="B108" s="1" t="n">
        <v>43863</v>
      </c>
      <c r="C108" s="1" t="n">
        <v>45224</v>
      </c>
      <c r="D108" t="inlineStr">
        <is>
          <t>STOCKHOLMS LÄN</t>
        </is>
      </c>
      <c r="E108" t="inlineStr">
        <is>
          <t>NORRTÄLJE</t>
        </is>
      </c>
      <c r="G108" t="n">
        <v>1.8</v>
      </c>
      <c r="H108" t="n">
        <v>0</v>
      </c>
      <c r="I108" t="n">
        <v>2</v>
      </c>
      <c r="J108" t="n">
        <v>2</v>
      </c>
      <c r="K108" t="n">
        <v>0</v>
      </c>
      <c r="L108" t="n">
        <v>0</v>
      </c>
      <c r="M108" t="n">
        <v>0</v>
      </c>
      <c r="N108" t="n">
        <v>0</v>
      </c>
      <c r="O108" t="n">
        <v>2</v>
      </c>
      <c r="P108" t="n">
        <v>0</v>
      </c>
      <c r="Q108" t="n">
        <v>4</v>
      </c>
      <c r="R108" s="2" t="inlineStr">
        <is>
          <t>Svart taggsvamp
Äggspindling
Kryddspindling
Strimspindling</t>
        </is>
      </c>
      <c r="S108">
        <f>HYPERLINK("https://klasma.github.io/Logging_0188/artfynd/A 5732-2020 artfynd.xlsx", "A 5732-2020")</f>
        <v/>
      </c>
      <c r="T108">
        <f>HYPERLINK("https://klasma.github.io/Logging_0188/kartor/A 5732-2020 karta.png", "A 5732-2020")</f>
        <v/>
      </c>
      <c r="V108">
        <f>HYPERLINK("https://klasma.github.io/Logging_0188/klagomål/A 5732-2020 FSC-klagomål.docx", "A 5732-2020")</f>
        <v/>
      </c>
      <c r="W108">
        <f>HYPERLINK("https://klasma.github.io/Logging_0188/klagomålsmail/A 5732-2020 FSC-klagomål mail.docx", "A 5732-2020")</f>
        <v/>
      </c>
      <c r="X108">
        <f>HYPERLINK("https://klasma.github.io/Logging_0188/tillsyn/A 5732-2020 tillsynsbegäran.docx", "A 5732-2020")</f>
        <v/>
      </c>
      <c r="Y108">
        <f>HYPERLINK("https://klasma.github.io/Logging_0188/tillsynsmail/A 5732-2020 tillsynsbegäran mail.docx", "A 5732-2020")</f>
        <v/>
      </c>
    </row>
    <row r="109" ht="15" customHeight="1">
      <c r="A109" t="inlineStr">
        <is>
          <t>A 11714-2021</t>
        </is>
      </c>
      <c r="B109" s="1" t="n">
        <v>44265</v>
      </c>
      <c r="C109" s="1" t="n">
        <v>45224</v>
      </c>
      <c r="D109" t="inlineStr">
        <is>
          <t>STOCKHOLMS LÄN</t>
        </is>
      </c>
      <c r="E109" t="inlineStr">
        <is>
          <t>SIGTUNA</t>
        </is>
      </c>
      <c r="F109" t="inlineStr">
        <is>
          <t>Sveaskog</t>
        </is>
      </c>
      <c r="G109" t="n">
        <v>11.4</v>
      </c>
      <c r="H109" t="n">
        <v>0</v>
      </c>
      <c r="I109" t="n">
        <v>3</v>
      </c>
      <c r="J109" t="n">
        <v>1</v>
      </c>
      <c r="K109" t="n">
        <v>0</v>
      </c>
      <c r="L109" t="n">
        <v>0</v>
      </c>
      <c r="M109" t="n">
        <v>0</v>
      </c>
      <c r="N109" t="n">
        <v>0</v>
      </c>
      <c r="O109" t="n">
        <v>1</v>
      </c>
      <c r="P109" t="n">
        <v>0</v>
      </c>
      <c r="Q109" t="n">
        <v>4</v>
      </c>
      <c r="R109" s="2" t="inlineStr">
        <is>
          <t>Spretfibbla
Guldkremla
Snövit fingersvamp
Svavelriska</t>
        </is>
      </c>
      <c r="S109">
        <f>HYPERLINK("https://klasma.github.io/Logging_0191/artfynd/A 11714-2021 artfynd.xlsx", "A 11714-2021")</f>
        <v/>
      </c>
      <c r="T109">
        <f>HYPERLINK("https://klasma.github.io/Logging_0191/kartor/A 11714-2021 karta.png", "A 11714-2021")</f>
        <v/>
      </c>
      <c r="V109">
        <f>HYPERLINK("https://klasma.github.io/Logging_0191/klagomål/A 11714-2021 FSC-klagomål.docx", "A 11714-2021")</f>
        <v/>
      </c>
      <c r="W109">
        <f>HYPERLINK("https://klasma.github.io/Logging_0191/klagomålsmail/A 11714-2021 FSC-klagomål mail.docx", "A 11714-2021")</f>
        <v/>
      </c>
      <c r="X109">
        <f>HYPERLINK("https://klasma.github.io/Logging_0191/tillsyn/A 11714-2021 tillsynsbegäran.docx", "A 11714-2021")</f>
        <v/>
      </c>
      <c r="Y109">
        <f>HYPERLINK("https://klasma.github.io/Logging_0191/tillsynsmail/A 11714-2021 tillsynsbegäran mail.docx", "A 11714-2021")</f>
        <v/>
      </c>
    </row>
    <row r="110" ht="15" customHeight="1">
      <c r="A110" t="inlineStr">
        <is>
          <t>A 24052-2021</t>
        </is>
      </c>
      <c r="B110" s="1" t="n">
        <v>44336</v>
      </c>
      <c r="C110" s="1" t="n">
        <v>45224</v>
      </c>
      <c r="D110" t="inlineStr">
        <is>
          <t>STOCKHOLMS LÄN</t>
        </is>
      </c>
      <c r="E110" t="inlineStr">
        <is>
          <t>NORRTÄLJE</t>
        </is>
      </c>
      <c r="G110" t="n">
        <v>8.6</v>
      </c>
      <c r="H110" t="n">
        <v>4</v>
      </c>
      <c r="I110" t="n">
        <v>0</v>
      </c>
      <c r="J110" t="n">
        <v>2</v>
      </c>
      <c r="K110" t="n">
        <v>0</v>
      </c>
      <c r="L110" t="n">
        <v>0</v>
      </c>
      <c r="M110" t="n">
        <v>0</v>
      </c>
      <c r="N110" t="n">
        <v>0</v>
      </c>
      <c r="O110" t="n">
        <v>2</v>
      </c>
      <c r="P110" t="n">
        <v>0</v>
      </c>
      <c r="Q110" t="n">
        <v>4</v>
      </c>
      <c r="R110" s="2" t="inlineStr">
        <is>
          <t>Brunlångöra
Nordfladdermus
Dvärgpipistrell
Större brunfladdermus</t>
        </is>
      </c>
      <c r="S110">
        <f>HYPERLINK("https://klasma.github.io/Logging_0188/artfynd/A 24052-2021 artfynd.xlsx", "A 24052-2021")</f>
        <v/>
      </c>
      <c r="T110">
        <f>HYPERLINK("https://klasma.github.io/Logging_0188/kartor/A 24052-2021 karta.png", "A 24052-2021")</f>
        <v/>
      </c>
      <c r="V110">
        <f>HYPERLINK("https://klasma.github.io/Logging_0188/klagomål/A 24052-2021 FSC-klagomål.docx", "A 24052-2021")</f>
        <v/>
      </c>
      <c r="W110">
        <f>HYPERLINK("https://klasma.github.io/Logging_0188/klagomålsmail/A 24052-2021 FSC-klagomål mail.docx", "A 24052-2021")</f>
        <v/>
      </c>
      <c r="X110">
        <f>HYPERLINK("https://klasma.github.io/Logging_0188/tillsyn/A 24052-2021 tillsynsbegäran.docx", "A 24052-2021")</f>
        <v/>
      </c>
      <c r="Y110">
        <f>HYPERLINK("https://klasma.github.io/Logging_0188/tillsynsmail/A 24052-2021 tillsynsbegäran mail.docx", "A 24052-2021")</f>
        <v/>
      </c>
    </row>
    <row r="111" ht="15" customHeight="1">
      <c r="A111" t="inlineStr">
        <is>
          <t>A 72305-2021</t>
        </is>
      </c>
      <c r="B111" s="1" t="n">
        <v>44545</v>
      </c>
      <c r="C111" s="1" t="n">
        <v>45224</v>
      </c>
      <c r="D111" t="inlineStr">
        <is>
          <t>STOCKHOLMS LÄN</t>
        </is>
      </c>
      <c r="E111" t="inlineStr">
        <is>
          <t>NORRTÄLJE</t>
        </is>
      </c>
      <c r="G111" t="n">
        <v>1.5</v>
      </c>
      <c r="H111" t="n">
        <v>1</v>
      </c>
      <c r="I111" t="n">
        <v>3</v>
      </c>
      <c r="J111" t="n">
        <v>0</v>
      </c>
      <c r="K111" t="n">
        <v>0</v>
      </c>
      <c r="L111" t="n">
        <v>0</v>
      </c>
      <c r="M111" t="n">
        <v>0</v>
      </c>
      <c r="N111" t="n">
        <v>0</v>
      </c>
      <c r="O111" t="n">
        <v>0</v>
      </c>
      <c r="P111" t="n">
        <v>0</v>
      </c>
      <c r="Q111" t="n">
        <v>4</v>
      </c>
      <c r="R111" s="2" t="inlineStr">
        <is>
          <t>Svart trolldruva
Sårläka
Vårärt
Blåsippa</t>
        </is>
      </c>
      <c r="S111">
        <f>HYPERLINK("https://klasma.github.io/Logging_0188/artfynd/A 72305-2021 artfynd.xlsx", "A 72305-2021")</f>
        <v/>
      </c>
      <c r="T111">
        <f>HYPERLINK("https://klasma.github.io/Logging_0188/kartor/A 72305-2021 karta.png", "A 72305-2021")</f>
        <v/>
      </c>
      <c r="V111">
        <f>HYPERLINK("https://klasma.github.io/Logging_0188/klagomål/A 72305-2021 FSC-klagomål.docx", "A 72305-2021")</f>
        <v/>
      </c>
      <c r="W111">
        <f>HYPERLINK("https://klasma.github.io/Logging_0188/klagomålsmail/A 72305-2021 FSC-klagomål mail.docx", "A 72305-2021")</f>
        <v/>
      </c>
      <c r="X111">
        <f>HYPERLINK("https://klasma.github.io/Logging_0188/tillsyn/A 72305-2021 tillsynsbegäran.docx", "A 72305-2021")</f>
        <v/>
      </c>
      <c r="Y111">
        <f>HYPERLINK("https://klasma.github.io/Logging_0188/tillsynsmail/A 72305-2021 tillsynsbegäran mail.docx", "A 72305-2021")</f>
        <v/>
      </c>
    </row>
    <row r="112" ht="15" customHeight="1">
      <c r="A112" t="inlineStr">
        <is>
          <t>A 73783-2021</t>
        </is>
      </c>
      <c r="B112" s="1" t="n">
        <v>44552</v>
      </c>
      <c r="C112" s="1" t="n">
        <v>45224</v>
      </c>
      <c r="D112" t="inlineStr">
        <is>
          <t>STOCKHOLMS LÄN</t>
        </is>
      </c>
      <c r="E112" t="inlineStr">
        <is>
          <t>UPPLANDS-BRO</t>
        </is>
      </c>
      <c r="G112" t="n">
        <v>5.9</v>
      </c>
      <c r="H112" t="n">
        <v>0</v>
      </c>
      <c r="I112" t="n">
        <v>1</v>
      </c>
      <c r="J112" t="n">
        <v>3</v>
      </c>
      <c r="K112" t="n">
        <v>0</v>
      </c>
      <c r="L112" t="n">
        <v>0</v>
      </c>
      <c r="M112" t="n">
        <v>0</v>
      </c>
      <c r="N112" t="n">
        <v>0</v>
      </c>
      <c r="O112" t="n">
        <v>3</v>
      </c>
      <c r="P112" t="n">
        <v>0</v>
      </c>
      <c r="Q112" t="n">
        <v>4</v>
      </c>
      <c r="R112" s="2" t="inlineStr">
        <is>
          <t>Blek fingersvamp
Dofttaggsvamp
Svartvit taggsvamp
Skarp dropptaggsvamp</t>
        </is>
      </c>
      <c r="S112">
        <f>HYPERLINK("https://klasma.github.io/Logging_0139/artfynd/A 73783-2021 artfynd.xlsx", "A 73783-2021")</f>
        <v/>
      </c>
      <c r="T112">
        <f>HYPERLINK("https://klasma.github.io/Logging_0139/kartor/A 73783-2021 karta.png", "A 73783-2021")</f>
        <v/>
      </c>
      <c r="V112">
        <f>HYPERLINK("https://klasma.github.io/Logging_0139/klagomål/A 73783-2021 FSC-klagomål.docx", "A 73783-2021")</f>
        <v/>
      </c>
      <c r="W112">
        <f>HYPERLINK("https://klasma.github.io/Logging_0139/klagomålsmail/A 73783-2021 FSC-klagomål mail.docx", "A 73783-2021")</f>
        <v/>
      </c>
      <c r="X112">
        <f>HYPERLINK("https://klasma.github.io/Logging_0139/tillsyn/A 73783-2021 tillsynsbegäran.docx", "A 73783-2021")</f>
        <v/>
      </c>
      <c r="Y112">
        <f>HYPERLINK("https://klasma.github.io/Logging_0139/tillsynsmail/A 73783-2021 tillsynsbegäran mail.docx", "A 73783-2021")</f>
        <v/>
      </c>
    </row>
    <row r="113" ht="15" customHeight="1">
      <c r="A113" t="inlineStr">
        <is>
          <t>A 4384-2022</t>
        </is>
      </c>
      <c r="B113" s="1" t="n">
        <v>44589</v>
      </c>
      <c r="C113" s="1" t="n">
        <v>45224</v>
      </c>
      <c r="D113" t="inlineStr">
        <is>
          <t>STOCKHOLMS LÄN</t>
        </is>
      </c>
      <c r="E113" t="inlineStr">
        <is>
          <t>SÖDERTÄLJE</t>
        </is>
      </c>
      <c r="F113" t="inlineStr">
        <is>
          <t>Övriga statliga verk och myndigheter</t>
        </is>
      </c>
      <c r="G113" t="n">
        <v>1.9</v>
      </c>
      <c r="H113" t="n">
        <v>2</v>
      </c>
      <c r="I113" t="n">
        <v>2</v>
      </c>
      <c r="J113" t="n">
        <v>0</v>
      </c>
      <c r="K113" t="n">
        <v>1</v>
      </c>
      <c r="L113" t="n">
        <v>0</v>
      </c>
      <c r="M113" t="n">
        <v>0</v>
      </c>
      <c r="N113" t="n">
        <v>0</v>
      </c>
      <c r="O113" t="n">
        <v>1</v>
      </c>
      <c r="P113" t="n">
        <v>1</v>
      </c>
      <c r="Q113" t="n">
        <v>4</v>
      </c>
      <c r="R113" s="2" t="inlineStr">
        <is>
          <t>Bombmurkla
Dunmossa
Sårläka
Blåsippa</t>
        </is>
      </c>
      <c r="S113">
        <f>HYPERLINK("https://klasma.github.io/Logging_0181/artfynd/A 4384-2022 artfynd.xlsx", "A 4384-2022")</f>
        <v/>
      </c>
      <c r="T113">
        <f>HYPERLINK("https://klasma.github.io/Logging_0181/kartor/A 4384-2022 karta.png", "A 4384-2022")</f>
        <v/>
      </c>
      <c r="U113">
        <f>HYPERLINK("https://klasma.github.io/Logging_0181/knärot/A 4384-2022 karta knärot.png", "A 4384-2022")</f>
        <v/>
      </c>
      <c r="V113">
        <f>HYPERLINK("https://klasma.github.io/Logging_0181/klagomål/A 4384-2022 FSC-klagomål.docx", "A 4384-2022")</f>
        <v/>
      </c>
      <c r="W113">
        <f>HYPERLINK("https://klasma.github.io/Logging_0181/klagomålsmail/A 4384-2022 FSC-klagomål mail.docx", "A 4384-2022")</f>
        <v/>
      </c>
      <c r="X113">
        <f>HYPERLINK("https://klasma.github.io/Logging_0181/tillsyn/A 4384-2022 tillsynsbegäran.docx", "A 4384-2022")</f>
        <v/>
      </c>
      <c r="Y113">
        <f>HYPERLINK("https://klasma.github.io/Logging_0181/tillsynsmail/A 4384-2022 tillsynsbegäran mail.docx", "A 4384-2022")</f>
        <v/>
      </c>
    </row>
    <row r="114" ht="15" customHeight="1">
      <c r="A114" t="inlineStr">
        <is>
          <t>A 14771-2022</t>
        </is>
      </c>
      <c r="B114" s="1" t="n">
        <v>44656</v>
      </c>
      <c r="C114" s="1" t="n">
        <v>45224</v>
      </c>
      <c r="D114" t="inlineStr">
        <is>
          <t>STOCKHOLMS LÄN</t>
        </is>
      </c>
      <c r="E114" t="inlineStr">
        <is>
          <t>SÖDERTÄLJE</t>
        </is>
      </c>
      <c r="G114" t="n">
        <v>3.8</v>
      </c>
      <c r="H114" t="n">
        <v>3</v>
      </c>
      <c r="I114" t="n">
        <v>1</v>
      </c>
      <c r="J114" t="n">
        <v>0</v>
      </c>
      <c r="K114" t="n">
        <v>0</v>
      </c>
      <c r="L114" t="n">
        <v>0</v>
      </c>
      <c r="M114" t="n">
        <v>0</v>
      </c>
      <c r="N114" t="n">
        <v>0</v>
      </c>
      <c r="O114" t="n">
        <v>0</v>
      </c>
      <c r="P114" t="n">
        <v>0</v>
      </c>
      <c r="Q114" t="n">
        <v>4</v>
      </c>
      <c r="R114" s="2" t="inlineStr">
        <is>
          <t>Grönpyrola
Vanlig groda
Vanlig padda
Revlummer</t>
        </is>
      </c>
      <c r="S114">
        <f>HYPERLINK("https://klasma.github.io/Logging_0181/artfynd/A 14771-2022 artfynd.xlsx", "A 14771-2022")</f>
        <v/>
      </c>
      <c r="T114">
        <f>HYPERLINK("https://klasma.github.io/Logging_0181/kartor/A 14771-2022 karta.png", "A 14771-2022")</f>
        <v/>
      </c>
      <c r="V114">
        <f>HYPERLINK("https://klasma.github.io/Logging_0181/klagomål/A 14771-2022 FSC-klagomål.docx", "A 14771-2022")</f>
        <v/>
      </c>
      <c r="W114">
        <f>HYPERLINK("https://klasma.github.io/Logging_0181/klagomålsmail/A 14771-2022 FSC-klagomål mail.docx", "A 14771-2022")</f>
        <v/>
      </c>
      <c r="X114">
        <f>HYPERLINK("https://klasma.github.io/Logging_0181/tillsyn/A 14771-2022 tillsynsbegäran.docx", "A 14771-2022")</f>
        <v/>
      </c>
      <c r="Y114">
        <f>HYPERLINK("https://klasma.github.io/Logging_0181/tillsynsmail/A 14771-2022 tillsynsbegäran mail.docx", "A 14771-2022")</f>
        <v/>
      </c>
    </row>
    <row r="115" ht="15" customHeight="1">
      <c r="A115" t="inlineStr">
        <is>
          <t>A 24599-2022</t>
        </is>
      </c>
      <c r="B115" s="1" t="n">
        <v>44727</v>
      </c>
      <c r="C115" s="1" t="n">
        <v>45224</v>
      </c>
      <c r="D115" t="inlineStr">
        <is>
          <t>STOCKHOLMS LÄN</t>
        </is>
      </c>
      <c r="E115" t="inlineStr">
        <is>
          <t>BOTKYRKA</t>
        </is>
      </c>
      <c r="G115" t="n">
        <v>1.5</v>
      </c>
      <c r="H115" t="n">
        <v>2</v>
      </c>
      <c r="I115" t="n">
        <v>2</v>
      </c>
      <c r="J115" t="n">
        <v>0</v>
      </c>
      <c r="K115" t="n">
        <v>0</v>
      </c>
      <c r="L115" t="n">
        <v>0</v>
      </c>
      <c r="M115" t="n">
        <v>0</v>
      </c>
      <c r="N115" t="n">
        <v>0</v>
      </c>
      <c r="O115" t="n">
        <v>0</v>
      </c>
      <c r="P115" t="n">
        <v>0</v>
      </c>
      <c r="Q115" t="n">
        <v>4</v>
      </c>
      <c r="R115" s="2" t="inlineStr">
        <is>
          <t>Igelkottsröksvamp
Sotriska
Vanlig groda
Mattlummer</t>
        </is>
      </c>
      <c r="S115">
        <f>HYPERLINK("https://klasma.github.io/Logging_0127/artfynd/A 24599-2022 artfynd.xlsx", "A 24599-2022")</f>
        <v/>
      </c>
      <c r="T115">
        <f>HYPERLINK("https://klasma.github.io/Logging_0127/kartor/A 24599-2022 karta.png", "A 24599-2022")</f>
        <v/>
      </c>
      <c r="V115">
        <f>HYPERLINK("https://klasma.github.io/Logging_0127/klagomål/A 24599-2022 FSC-klagomål.docx", "A 24599-2022")</f>
        <v/>
      </c>
      <c r="W115">
        <f>HYPERLINK("https://klasma.github.io/Logging_0127/klagomålsmail/A 24599-2022 FSC-klagomål mail.docx", "A 24599-2022")</f>
        <v/>
      </c>
      <c r="X115">
        <f>HYPERLINK("https://klasma.github.io/Logging_0127/tillsyn/A 24599-2022 tillsynsbegäran.docx", "A 24599-2022")</f>
        <v/>
      </c>
      <c r="Y115">
        <f>HYPERLINK("https://klasma.github.io/Logging_0127/tillsynsmail/A 24599-2022 tillsynsbegäran mail.docx", "A 24599-2022")</f>
        <v/>
      </c>
    </row>
    <row r="116" ht="15" customHeight="1">
      <c r="A116" t="inlineStr">
        <is>
          <t>A 1212-2023</t>
        </is>
      </c>
      <c r="B116" s="1" t="n">
        <v>44935</v>
      </c>
      <c r="C116" s="1" t="n">
        <v>45224</v>
      </c>
      <c r="D116" t="inlineStr">
        <is>
          <t>STOCKHOLMS LÄN</t>
        </is>
      </c>
      <c r="E116" t="inlineStr">
        <is>
          <t>NYNÄSHAMN</t>
        </is>
      </c>
      <c r="G116" t="n">
        <v>3.9</v>
      </c>
      <c r="H116" t="n">
        <v>3</v>
      </c>
      <c r="I116" t="n">
        <v>3</v>
      </c>
      <c r="J116" t="n">
        <v>0</v>
      </c>
      <c r="K116" t="n">
        <v>0</v>
      </c>
      <c r="L116" t="n">
        <v>0</v>
      </c>
      <c r="M116" t="n">
        <v>0</v>
      </c>
      <c r="N116" t="n">
        <v>0</v>
      </c>
      <c r="O116" t="n">
        <v>0</v>
      </c>
      <c r="P116" t="n">
        <v>0</v>
      </c>
      <c r="Q116" t="n">
        <v>4</v>
      </c>
      <c r="R116" s="2" t="inlineStr">
        <is>
          <t>Grön sköldmossa
Hasselticka
Skogsknipprot
Blåsippa</t>
        </is>
      </c>
      <c r="S116">
        <f>HYPERLINK("https://klasma.github.io/Logging_0192/artfynd/A 1212-2023 artfynd.xlsx", "A 1212-2023")</f>
        <v/>
      </c>
      <c r="T116">
        <f>HYPERLINK("https://klasma.github.io/Logging_0192/kartor/A 1212-2023 karta.png", "A 1212-2023")</f>
        <v/>
      </c>
      <c r="V116">
        <f>HYPERLINK("https://klasma.github.io/Logging_0192/klagomål/A 1212-2023 FSC-klagomål.docx", "A 1212-2023")</f>
        <v/>
      </c>
      <c r="W116">
        <f>HYPERLINK("https://klasma.github.io/Logging_0192/klagomålsmail/A 1212-2023 FSC-klagomål mail.docx", "A 1212-2023")</f>
        <v/>
      </c>
      <c r="X116">
        <f>HYPERLINK("https://klasma.github.io/Logging_0192/tillsyn/A 1212-2023 tillsynsbegäran.docx", "A 1212-2023")</f>
        <v/>
      </c>
      <c r="Y116">
        <f>HYPERLINK("https://klasma.github.io/Logging_0192/tillsynsmail/A 1212-2023 tillsynsbegäran mail.docx", "A 1212-2023")</f>
        <v/>
      </c>
    </row>
    <row r="117" ht="15" customHeight="1">
      <c r="A117" t="inlineStr">
        <is>
          <t>A 5558-2023</t>
        </is>
      </c>
      <c r="B117" s="1" t="n">
        <v>44960</v>
      </c>
      <c r="C117" s="1" t="n">
        <v>45224</v>
      </c>
      <c r="D117" t="inlineStr">
        <is>
          <t>STOCKHOLMS LÄN</t>
        </is>
      </c>
      <c r="E117" t="inlineStr">
        <is>
          <t>NYNÄSHAMN</t>
        </is>
      </c>
      <c r="G117" t="n">
        <v>8.5</v>
      </c>
      <c r="H117" t="n">
        <v>0</v>
      </c>
      <c r="I117" t="n">
        <v>3</v>
      </c>
      <c r="J117" t="n">
        <v>1</v>
      </c>
      <c r="K117" t="n">
        <v>0</v>
      </c>
      <c r="L117" t="n">
        <v>0</v>
      </c>
      <c r="M117" t="n">
        <v>0</v>
      </c>
      <c r="N117" t="n">
        <v>0</v>
      </c>
      <c r="O117" t="n">
        <v>1</v>
      </c>
      <c r="P117" t="n">
        <v>0</v>
      </c>
      <c r="Q117" t="n">
        <v>4</v>
      </c>
      <c r="R117" s="2" t="inlineStr">
        <is>
          <t>Tallticka
Blåmossa
Granbarkgnagare
Slät lönnlav</t>
        </is>
      </c>
      <c r="S117">
        <f>HYPERLINK("https://klasma.github.io/Logging_0192/artfynd/A 5558-2023 artfynd.xlsx", "A 5558-2023")</f>
        <v/>
      </c>
      <c r="T117">
        <f>HYPERLINK("https://klasma.github.io/Logging_0192/kartor/A 5558-2023 karta.png", "A 5558-2023")</f>
        <v/>
      </c>
      <c r="V117">
        <f>HYPERLINK("https://klasma.github.io/Logging_0192/klagomål/A 5558-2023 FSC-klagomål.docx", "A 5558-2023")</f>
        <v/>
      </c>
      <c r="W117">
        <f>HYPERLINK("https://klasma.github.io/Logging_0192/klagomålsmail/A 5558-2023 FSC-klagomål mail.docx", "A 5558-2023")</f>
        <v/>
      </c>
      <c r="X117">
        <f>HYPERLINK("https://klasma.github.io/Logging_0192/tillsyn/A 5558-2023 tillsynsbegäran.docx", "A 5558-2023")</f>
        <v/>
      </c>
      <c r="Y117">
        <f>HYPERLINK("https://klasma.github.io/Logging_0192/tillsynsmail/A 5558-2023 tillsynsbegäran mail.docx", "A 5558-2023")</f>
        <v/>
      </c>
    </row>
    <row r="118" ht="15" customHeight="1">
      <c r="A118" t="inlineStr">
        <is>
          <t>A 12577-2023</t>
        </is>
      </c>
      <c r="B118" s="1" t="n">
        <v>45000</v>
      </c>
      <c r="C118" s="1" t="n">
        <v>45224</v>
      </c>
      <c r="D118" t="inlineStr">
        <is>
          <t>STOCKHOLMS LÄN</t>
        </is>
      </c>
      <c r="E118" t="inlineStr">
        <is>
          <t>VALLENTUNA</t>
        </is>
      </c>
      <c r="G118" t="n">
        <v>3</v>
      </c>
      <c r="H118" t="n">
        <v>2</v>
      </c>
      <c r="I118" t="n">
        <v>3</v>
      </c>
      <c r="J118" t="n">
        <v>0</v>
      </c>
      <c r="K118" t="n">
        <v>0</v>
      </c>
      <c r="L118" t="n">
        <v>0</v>
      </c>
      <c r="M118" t="n">
        <v>0</v>
      </c>
      <c r="N118" t="n">
        <v>0</v>
      </c>
      <c r="O118" t="n">
        <v>0</v>
      </c>
      <c r="P118" t="n">
        <v>0</v>
      </c>
      <c r="Q118" t="n">
        <v>4</v>
      </c>
      <c r="R118" s="2" t="inlineStr">
        <is>
          <t>Grön sköldmossa
Jättesvampmal
Rävticka
Blåsippa</t>
        </is>
      </c>
      <c r="S118">
        <f>HYPERLINK("https://klasma.github.io/Logging_0115/artfynd/A 12577-2023 artfynd.xlsx", "A 12577-2023")</f>
        <v/>
      </c>
      <c r="T118">
        <f>HYPERLINK("https://klasma.github.io/Logging_0115/kartor/A 12577-2023 karta.png", "A 12577-2023")</f>
        <v/>
      </c>
      <c r="V118">
        <f>HYPERLINK("https://klasma.github.io/Logging_0115/klagomål/A 12577-2023 FSC-klagomål.docx", "A 12577-2023")</f>
        <v/>
      </c>
      <c r="W118">
        <f>HYPERLINK("https://klasma.github.io/Logging_0115/klagomålsmail/A 12577-2023 FSC-klagomål mail.docx", "A 12577-2023")</f>
        <v/>
      </c>
      <c r="X118">
        <f>HYPERLINK("https://klasma.github.io/Logging_0115/tillsyn/A 12577-2023 tillsynsbegäran.docx", "A 12577-2023")</f>
        <v/>
      </c>
      <c r="Y118">
        <f>HYPERLINK("https://klasma.github.io/Logging_0115/tillsynsmail/A 12577-2023 tillsynsbegäran mail.docx", "A 12577-2023")</f>
        <v/>
      </c>
    </row>
    <row r="119" ht="15" customHeight="1">
      <c r="A119" t="inlineStr">
        <is>
          <t>A 49418-2023</t>
        </is>
      </c>
      <c r="B119" s="1" t="n">
        <v>45211</v>
      </c>
      <c r="C119" s="1" t="n">
        <v>45224</v>
      </c>
      <c r="D119" t="inlineStr">
        <is>
          <t>STOCKHOLMS LÄN</t>
        </is>
      </c>
      <c r="E119" t="inlineStr">
        <is>
          <t>HUDDINGE</t>
        </is>
      </c>
      <c r="F119" t="inlineStr">
        <is>
          <t>Kommuner</t>
        </is>
      </c>
      <c r="G119" t="n">
        <v>3.5</v>
      </c>
      <c r="H119" t="n">
        <v>0</v>
      </c>
      <c r="I119" t="n">
        <v>4</v>
      </c>
      <c r="J119" t="n">
        <v>0</v>
      </c>
      <c r="K119" t="n">
        <v>0</v>
      </c>
      <c r="L119" t="n">
        <v>0</v>
      </c>
      <c r="M119" t="n">
        <v>0</v>
      </c>
      <c r="N119" t="n">
        <v>0</v>
      </c>
      <c r="O119" t="n">
        <v>0</v>
      </c>
      <c r="P119" t="n">
        <v>0</v>
      </c>
      <c r="Q119" t="n">
        <v>4</v>
      </c>
      <c r="R119" s="2" t="inlineStr">
        <is>
          <t>Bronshjon
Grovticka
Vedticka
Vågbandad barkbock</t>
        </is>
      </c>
      <c r="S119">
        <f>HYPERLINK("https://klasma.github.io/Logging_0126/artfynd/A 49418-2023 artfynd.xlsx", "A 49418-2023")</f>
        <v/>
      </c>
      <c r="T119">
        <f>HYPERLINK("https://klasma.github.io/Logging_0126/kartor/A 49418-2023 karta.png", "A 49418-2023")</f>
        <v/>
      </c>
      <c r="V119">
        <f>HYPERLINK("https://klasma.github.io/Logging_0126/klagomål/A 49418-2023 FSC-klagomål.docx", "A 49418-2023")</f>
        <v/>
      </c>
      <c r="W119">
        <f>HYPERLINK("https://klasma.github.io/Logging_0126/klagomålsmail/A 49418-2023 FSC-klagomål mail.docx", "A 49418-2023")</f>
        <v/>
      </c>
      <c r="X119">
        <f>HYPERLINK("https://klasma.github.io/Logging_0126/tillsyn/A 49418-2023 tillsynsbegäran.docx", "A 49418-2023")</f>
        <v/>
      </c>
      <c r="Y119">
        <f>HYPERLINK("https://klasma.github.io/Logging_0126/tillsynsmail/A 49418-2023 tillsynsbegäran mail.docx", "A 49418-2023")</f>
        <v/>
      </c>
    </row>
    <row r="120" ht="15" customHeight="1">
      <c r="A120" t="inlineStr">
        <is>
          <t>A 64166-2018</t>
        </is>
      </c>
      <c r="B120" s="1" t="n">
        <v>43430</v>
      </c>
      <c r="C120" s="1" t="n">
        <v>45224</v>
      </c>
      <c r="D120" t="inlineStr">
        <is>
          <t>STOCKHOLMS LÄN</t>
        </is>
      </c>
      <c r="E120" t="inlineStr">
        <is>
          <t>SIGTUNA</t>
        </is>
      </c>
      <c r="G120" t="n">
        <v>4.9</v>
      </c>
      <c r="H120" t="n">
        <v>3</v>
      </c>
      <c r="I120" t="n">
        <v>0</v>
      </c>
      <c r="J120" t="n">
        <v>2</v>
      </c>
      <c r="K120" t="n">
        <v>0</v>
      </c>
      <c r="L120" t="n">
        <v>0</v>
      </c>
      <c r="M120" t="n">
        <v>0</v>
      </c>
      <c r="N120" t="n">
        <v>0</v>
      </c>
      <c r="O120" t="n">
        <v>2</v>
      </c>
      <c r="P120" t="n">
        <v>0</v>
      </c>
      <c r="Q120" t="n">
        <v>3</v>
      </c>
      <c r="R120" s="2" t="inlineStr">
        <is>
          <t>Duvhök
Spillkråka
Större vattensalamander</t>
        </is>
      </c>
      <c r="S120">
        <f>HYPERLINK("https://klasma.github.io/Logging_0191/artfynd/A 64166-2018 artfynd.xlsx", "A 64166-2018")</f>
        <v/>
      </c>
      <c r="T120">
        <f>HYPERLINK("https://klasma.github.io/Logging_0191/kartor/A 64166-2018 karta.png", "A 64166-2018")</f>
        <v/>
      </c>
      <c r="V120">
        <f>HYPERLINK("https://klasma.github.io/Logging_0191/klagomål/A 64166-2018 FSC-klagomål.docx", "A 64166-2018")</f>
        <v/>
      </c>
      <c r="W120">
        <f>HYPERLINK("https://klasma.github.io/Logging_0191/klagomålsmail/A 64166-2018 FSC-klagomål mail.docx", "A 64166-2018")</f>
        <v/>
      </c>
      <c r="X120">
        <f>HYPERLINK("https://klasma.github.io/Logging_0191/tillsyn/A 64166-2018 tillsynsbegäran.docx", "A 64166-2018")</f>
        <v/>
      </c>
      <c r="Y120">
        <f>HYPERLINK("https://klasma.github.io/Logging_0191/tillsynsmail/A 64166-2018 tillsynsbegäran mail.docx", "A 64166-2018")</f>
        <v/>
      </c>
    </row>
    <row r="121" ht="15" customHeight="1">
      <c r="A121" t="inlineStr">
        <is>
          <t>A 4031-2019</t>
        </is>
      </c>
      <c r="B121" s="1" t="n">
        <v>43482</v>
      </c>
      <c r="C121" s="1" t="n">
        <v>45224</v>
      </c>
      <c r="D121" t="inlineStr">
        <is>
          <t>STOCKHOLMS LÄN</t>
        </is>
      </c>
      <c r="E121" t="inlineStr">
        <is>
          <t>NORRTÄLJE</t>
        </is>
      </c>
      <c r="F121" t="inlineStr">
        <is>
          <t>Övriga statliga verk och myndigheter</t>
        </is>
      </c>
      <c r="G121" t="n">
        <v>14.2</v>
      </c>
      <c r="H121" t="n">
        <v>3</v>
      </c>
      <c r="I121" t="n">
        <v>2</v>
      </c>
      <c r="J121" t="n">
        <v>0</v>
      </c>
      <c r="K121" t="n">
        <v>0</v>
      </c>
      <c r="L121" t="n">
        <v>0</v>
      </c>
      <c r="M121" t="n">
        <v>0</v>
      </c>
      <c r="N121" t="n">
        <v>0</v>
      </c>
      <c r="O121" t="n">
        <v>0</v>
      </c>
      <c r="P121" t="n">
        <v>0</v>
      </c>
      <c r="Q121" t="n">
        <v>3</v>
      </c>
      <c r="R121" s="2" t="inlineStr">
        <is>
          <t>Skogsknipprot
Tvåblad
Kopparödla</t>
        </is>
      </c>
      <c r="S121">
        <f>HYPERLINK("https://klasma.github.io/Logging_0188/artfynd/A 4031-2019 artfynd.xlsx", "A 4031-2019")</f>
        <v/>
      </c>
      <c r="T121">
        <f>HYPERLINK("https://klasma.github.io/Logging_0188/kartor/A 4031-2019 karta.png", "A 4031-2019")</f>
        <v/>
      </c>
      <c r="V121">
        <f>HYPERLINK("https://klasma.github.io/Logging_0188/klagomål/A 4031-2019 FSC-klagomål.docx", "A 4031-2019")</f>
        <v/>
      </c>
      <c r="W121">
        <f>HYPERLINK("https://klasma.github.io/Logging_0188/klagomålsmail/A 4031-2019 FSC-klagomål mail.docx", "A 4031-2019")</f>
        <v/>
      </c>
      <c r="X121">
        <f>HYPERLINK("https://klasma.github.io/Logging_0188/tillsyn/A 4031-2019 tillsynsbegäran.docx", "A 4031-2019")</f>
        <v/>
      </c>
      <c r="Y121">
        <f>HYPERLINK("https://klasma.github.io/Logging_0188/tillsynsmail/A 4031-2019 tillsynsbegäran mail.docx", "A 4031-2019")</f>
        <v/>
      </c>
    </row>
    <row r="122" ht="15" customHeight="1">
      <c r="A122" t="inlineStr">
        <is>
          <t>A 6046-2019</t>
        </is>
      </c>
      <c r="B122" s="1" t="n">
        <v>43493</v>
      </c>
      <c r="C122" s="1" t="n">
        <v>45224</v>
      </c>
      <c r="D122" t="inlineStr">
        <is>
          <t>STOCKHOLMS LÄN</t>
        </is>
      </c>
      <c r="E122" t="inlineStr">
        <is>
          <t>NORRTÄLJE</t>
        </is>
      </c>
      <c r="F122" t="inlineStr">
        <is>
          <t>Holmen skog AB</t>
        </is>
      </c>
      <c r="G122" t="n">
        <v>6.1</v>
      </c>
      <c r="H122" t="n">
        <v>1</v>
      </c>
      <c r="I122" t="n">
        <v>0</v>
      </c>
      <c r="J122" t="n">
        <v>2</v>
      </c>
      <c r="K122" t="n">
        <v>0</v>
      </c>
      <c r="L122" t="n">
        <v>1</v>
      </c>
      <c r="M122" t="n">
        <v>0</v>
      </c>
      <c r="N122" t="n">
        <v>0</v>
      </c>
      <c r="O122" t="n">
        <v>3</v>
      </c>
      <c r="P122" t="n">
        <v>1</v>
      </c>
      <c r="Q122" t="n">
        <v>3</v>
      </c>
      <c r="R122" s="2" t="inlineStr">
        <is>
          <t>Asknätfjäril
Skogsklocka
Smalsprötad bastardsvärmare</t>
        </is>
      </c>
      <c r="S122">
        <f>HYPERLINK("https://klasma.github.io/Logging_0188/artfynd/A 6046-2019 artfynd.xlsx", "A 6046-2019")</f>
        <v/>
      </c>
      <c r="T122">
        <f>HYPERLINK("https://klasma.github.io/Logging_0188/kartor/A 6046-2019 karta.png", "A 6046-2019")</f>
        <v/>
      </c>
      <c r="V122">
        <f>HYPERLINK("https://klasma.github.io/Logging_0188/klagomål/A 6046-2019 FSC-klagomål.docx", "A 6046-2019")</f>
        <v/>
      </c>
      <c r="W122">
        <f>HYPERLINK("https://klasma.github.io/Logging_0188/klagomålsmail/A 6046-2019 FSC-klagomål mail.docx", "A 6046-2019")</f>
        <v/>
      </c>
      <c r="X122">
        <f>HYPERLINK("https://klasma.github.io/Logging_0188/tillsyn/A 6046-2019 tillsynsbegäran.docx", "A 6046-2019")</f>
        <v/>
      </c>
      <c r="Y122">
        <f>HYPERLINK("https://klasma.github.io/Logging_0188/tillsynsmail/A 6046-2019 tillsynsbegäran mail.docx", "A 6046-2019")</f>
        <v/>
      </c>
    </row>
    <row r="123" ht="15" customHeight="1">
      <c r="A123" t="inlineStr">
        <is>
          <t>A 12643-2019</t>
        </is>
      </c>
      <c r="B123" s="1" t="n">
        <v>43524</v>
      </c>
      <c r="C123" s="1" t="n">
        <v>45224</v>
      </c>
      <c r="D123" t="inlineStr">
        <is>
          <t>STOCKHOLMS LÄN</t>
        </is>
      </c>
      <c r="E123" t="inlineStr">
        <is>
          <t>NORRTÄLJE</t>
        </is>
      </c>
      <c r="G123" t="n">
        <v>4.3</v>
      </c>
      <c r="H123" t="n">
        <v>1</v>
      </c>
      <c r="I123" t="n">
        <v>2</v>
      </c>
      <c r="J123" t="n">
        <v>0</v>
      </c>
      <c r="K123" t="n">
        <v>0</v>
      </c>
      <c r="L123" t="n">
        <v>0</v>
      </c>
      <c r="M123" t="n">
        <v>0</v>
      </c>
      <c r="N123" t="n">
        <v>0</v>
      </c>
      <c r="O123" t="n">
        <v>0</v>
      </c>
      <c r="P123" t="n">
        <v>0</v>
      </c>
      <c r="Q123" t="n">
        <v>3</v>
      </c>
      <c r="R123" s="2" t="inlineStr">
        <is>
          <t>Sårläka
Vedticka
Blåsippa</t>
        </is>
      </c>
      <c r="S123">
        <f>HYPERLINK("https://klasma.github.io/Logging_0188/artfynd/A 12643-2019 artfynd.xlsx", "A 12643-2019")</f>
        <v/>
      </c>
      <c r="T123">
        <f>HYPERLINK("https://klasma.github.io/Logging_0188/kartor/A 12643-2019 karta.png", "A 12643-2019")</f>
        <v/>
      </c>
      <c r="V123">
        <f>HYPERLINK("https://klasma.github.io/Logging_0188/klagomål/A 12643-2019 FSC-klagomål.docx", "A 12643-2019")</f>
        <v/>
      </c>
      <c r="W123">
        <f>HYPERLINK("https://klasma.github.io/Logging_0188/klagomålsmail/A 12643-2019 FSC-klagomål mail.docx", "A 12643-2019")</f>
        <v/>
      </c>
      <c r="X123">
        <f>HYPERLINK("https://klasma.github.io/Logging_0188/tillsyn/A 12643-2019 tillsynsbegäran.docx", "A 12643-2019")</f>
        <v/>
      </c>
      <c r="Y123">
        <f>HYPERLINK("https://klasma.github.io/Logging_0188/tillsynsmail/A 12643-2019 tillsynsbegäran mail.docx", "A 12643-2019")</f>
        <v/>
      </c>
    </row>
    <row r="124" ht="15" customHeight="1">
      <c r="A124" t="inlineStr">
        <is>
          <t>A 19617-2019</t>
        </is>
      </c>
      <c r="B124" s="1" t="n">
        <v>43566</v>
      </c>
      <c r="C124" s="1" t="n">
        <v>45224</v>
      </c>
      <c r="D124" t="inlineStr">
        <is>
          <t>STOCKHOLMS LÄN</t>
        </is>
      </c>
      <c r="E124" t="inlineStr">
        <is>
          <t>NORRTÄLJE</t>
        </is>
      </c>
      <c r="G124" t="n">
        <v>16.1</v>
      </c>
      <c r="H124" t="n">
        <v>2</v>
      </c>
      <c r="I124" t="n">
        <v>1</v>
      </c>
      <c r="J124" t="n">
        <v>1</v>
      </c>
      <c r="K124" t="n">
        <v>0</v>
      </c>
      <c r="L124" t="n">
        <v>0</v>
      </c>
      <c r="M124" t="n">
        <v>0</v>
      </c>
      <c r="N124" t="n">
        <v>0</v>
      </c>
      <c r="O124" t="n">
        <v>1</v>
      </c>
      <c r="P124" t="n">
        <v>0</v>
      </c>
      <c r="Q124" t="n">
        <v>3</v>
      </c>
      <c r="R124" s="2" t="inlineStr">
        <is>
          <t>Havsörn
Myskbock
Blåsippa</t>
        </is>
      </c>
      <c r="S124">
        <f>HYPERLINK("https://klasma.github.io/Logging_0188/artfynd/A 19617-2019 artfynd.xlsx", "A 19617-2019")</f>
        <v/>
      </c>
      <c r="T124">
        <f>HYPERLINK("https://klasma.github.io/Logging_0188/kartor/A 19617-2019 karta.png", "A 19617-2019")</f>
        <v/>
      </c>
      <c r="V124">
        <f>HYPERLINK("https://klasma.github.io/Logging_0188/klagomål/A 19617-2019 FSC-klagomål.docx", "A 19617-2019")</f>
        <v/>
      </c>
      <c r="W124">
        <f>HYPERLINK("https://klasma.github.io/Logging_0188/klagomålsmail/A 19617-2019 FSC-klagomål mail.docx", "A 19617-2019")</f>
        <v/>
      </c>
      <c r="X124">
        <f>HYPERLINK("https://klasma.github.io/Logging_0188/tillsyn/A 19617-2019 tillsynsbegäran.docx", "A 19617-2019")</f>
        <v/>
      </c>
      <c r="Y124">
        <f>HYPERLINK("https://klasma.github.io/Logging_0188/tillsynsmail/A 19617-2019 tillsynsbegäran mail.docx", "A 19617-2019")</f>
        <v/>
      </c>
    </row>
    <row r="125" ht="15" customHeight="1">
      <c r="A125" t="inlineStr">
        <is>
          <t>A 59655-2019</t>
        </is>
      </c>
      <c r="B125" s="1" t="n">
        <v>43776</v>
      </c>
      <c r="C125" s="1" t="n">
        <v>45224</v>
      </c>
      <c r="D125" t="inlineStr">
        <is>
          <t>STOCKHOLMS LÄN</t>
        </is>
      </c>
      <c r="E125" t="inlineStr">
        <is>
          <t>SÖDERTÄLJE</t>
        </is>
      </c>
      <c r="G125" t="n">
        <v>2.2</v>
      </c>
      <c r="H125" t="n">
        <v>0</v>
      </c>
      <c r="I125" t="n">
        <v>3</v>
      </c>
      <c r="J125" t="n">
        <v>0</v>
      </c>
      <c r="K125" t="n">
        <v>0</v>
      </c>
      <c r="L125" t="n">
        <v>0</v>
      </c>
      <c r="M125" t="n">
        <v>0</v>
      </c>
      <c r="N125" t="n">
        <v>0</v>
      </c>
      <c r="O125" t="n">
        <v>0</v>
      </c>
      <c r="P125" t="n">
        <v>0</v>
      </c>
      <c r="Q125" t="n">
        <v>3</v>
      </c>
      <c r="R125" s="2" t="inlineStr">
        <is>
          <t>Fjällig taggsvamp s.str.
Guldkremla
Skarp dropptaggsvamp</t>
        </is>
      </c>
      <c r="S125">
        <f>HYPERLINK("https://klasma.github.io/Logging_0181/artfynd/A 59655-2019 artfynd.xlsx", "A 59655-2019")</f>
        <v/>
      </c>
      <c r="T125">
        <f>HYPERLINK("https://klasma.github.io/Logging_0181/kartor/A 59655-2019 karta.png", "A 59655-2019")</f>
        <v/>
      </c>
      <c r="V125">
        <f>HYPERLINK("https://klasma.github.io/Logging_0181/klagomål/A 59655-2019 FSC-klagomål.docx", "A 59655-2019")</f>
        <v/>
      </c>
      <c r="W125">
        <f>HYPERLINK("https://klasma.github.io/Logging_0181/klagomålsmail/A 59655-2019 FSC-klagomål mail.docx", "A 59655-2019")</f>
        <v/>
      </c>
      <c r="X125">
        <f>HYPERLINK("https://klasma.github.io/Logging_0181/tillsyn/A 59655-2019 tillsynsbegäran.docx", "A 59655-2019")</f>
        <v/>
      </c>
      <c r="Y125">
        <f>HYPERLINK("https://klasma.github.io/Logging_0181/tillsynsmail/A 59655-2019 tillsynsbegäran mail.docx", "A 59655-2019")</f>
        <v/>
      </c>
    </row>
    <row r="126" ht="15" customHeight="1">
      <c r="A126" t="inlineStr">
        <is>
          <t>A 13892-2020</t>
        </is>
      </c>
      <c r="B126" s="1" t="n">
        <v>43906</v>
      </c>
      <c r="C126" s="1" t="n">
        <v>45224</v>
      </c>
      <c r="D126" t="inlineStr">
        <is>
          <t>STOCKHOLMS LÄN</t>
        </is>
      </c>
      <c r="E126" t="inlineStr">
        <is>
          <t>HANINGE</t>
        </is>
      </c>
      <c r="G126" t="n">
        <v>2.7</v>
      </c>
      <c r="H126" t="n">
        <v>0</v>
      </c>
      <c r="I126" t="n">
        <v>1</v>
      </c>
      <c r="J126" t="n">
        <v>2</v>
      </c>
      <c r="K126" t="n">
        <v>0</v>
      </c>
      <c r="L126" t="n">
        <v>0</v>
      </c>
      <c r="M126" t="n">
        <v>0</v>
      </c>
      <c r="N126" t="n">
        <v>0</v>
      </c>
      <c r="O126" t="n">
        <v>2</v>
      </c>
      <c r="P126" t="n">
        <v>0</v>
      </c>
      <c r="Q126" t="n">
        <v>3</v>
      </c>
      <c r="R126" s="2" t="inlineStr">
        <is>
          <t>Ekticka
Ullticka
Fjällig taggsvamp s.str.</t>
        </is>
      </c>
      <c r="S126">
        <f>HYPERLINK("https://klasma.github.io/Logging_0136/artfynd/A 13892-2020 artfynd.xlsx", "A 13892-2020")</f>
        <v/>
      </c>
      <c r="T126">
        <f>HYPERLINK("https://klasma.github.io/Logging_0136/kartor/A 13892-2020 karta.png", "A 13892-2020")</f>
        <v/>
      </c>
      <c r="V126">
        <f>HYPERLINK("https://klasma.github.io/Logging_0136/klagomål/A 13892-2020 FSC-klagomål.docx", "A 13892-2020")</f>
        <v/>
      </c>
      <c r="W126">
        <f>HYPERLINK("https://klasma.github.io/Logging_0136/klagomålsmail/A 13892-2020 FSC-klagomål mail.docx", "A 13892-2020")</f>
        <v/>
      </c>
      <c r="X126">
        <f>HYPERLINK("https://klasma.github.io/Logging_0136/tillsyn/A 13892-2020 tillsynsbegäran.docx", "A 13892-2020")</f>
        <v/>
      </c>
      <c r="Y126">
        <f>HYPERLINK("https://klasma.github.io/Logging_0136/tillsynsmail/A 13892-2020 tillsynsbegäran mail.docx", "A 13892-2020")</f>
        <v/>
      </c>
    </row>
    <row r="127" ht="15" customHeight="1">
      <c r="A127" t="inlineStr">
        <is>
          <t>A 24386-2020</t>
        </is>
      </c>
      <c r="B127" s="1" t="n">
        <v>43973</v>
      </c>
      <c r="C127" s="1" t="n">
        <v>45224</v>
      </c>
      <c r="D127" t="inlineStr">
        <is>
          <t>STOCKHOLMS LÄN</t>
        </is>
      </c>
      <c r="E127" t="inlineStr">
        <is>
          <t>SIGTUNA</t>
        </is>
      </c>
      <c r="G127" t="n">
        <v>4.5</v>
      </c>
      <c r="H127" t="n">
        <v>1</v>
      </c>
      <c r="I127" t="n">
        <v>0</v>
      </c>
      <c r="J127" t="n">
        <v>2</v>
      </c>
      <c r="K127" t="n">
        <v>0</v>
      </c>
      <c r="L127" t="n">
        <v>0</v>
      </c>
      <c r="M127" t="n">
        <v>0</v>
      </c>
      <c r="N127" t="n">
        <v>0</v>
      </c>
      <c r="O127" t="n">
        <v>2</v>
      </c>
      <c r="P127" t="n">
        <v>0</v>
      </c>
      <c r="Q127" t="n">
        <v>3</v>
      </c>
      <c r="R127" s="2" t="inlineStr">
        <is>
          <t>Granticka
Ullticka
Blåsippa</t>
        </is>
      </c>
      <c r="S127">
        <f>HYPERLINK("https://klasma.github.io/Logging_0191/artfynd/A 24386-2020 artfynd.xlsx", "A 24386-2020")</f>
        <v/>
      </c>
      <c r="T127">
        <f>HYPERLINK("https://klasma.github.io/Logging_0191/kartor/A 24386-2020 karta.png", "A 24386-2020")</f>
        <v/>
      </c>
      <c r="V127">
        <f>HYPERLINK("https://klasma.github.io/Logging_0191/klagomål/A 24386-2020 FSC-klagomål.docx", "A 24386-2020")</f>
        <v/>
      </c>
      <c r="W127">
        <f>HYPERLINK("https://klasma.github.io/Logging_0191/klagomålsmail/A 24386-2020 FSC-klagomål mail.docx", "A 24386-2020")</f>
        <v/>
      </c>
      <c r="X127">
        <f>HYPERLINK("https://klasma.github.io/Logging_0191/tillsyn/A 24386-2020 tillsynsbegäran.docx", "A 24386-2020")</f>
        <v/>
      </c>
      <c r="Y127">
        <f>HYPERLINK("https://klasma.github.io/Logging_0191/tillsynsmail/A 24386-2020 tillsynsbegäran mail.docx", "A 24386-2020")</f>
        <v/>
      </c>
    </row>
    <row r="128" ht="15" customHeight="1">
      <c r="A128" t="inlineStr">
        <is>
          <t>A 45510-2020</t>
        </is>
      </c>
      <c r="B128" s="1" t="n">
        <v>44089</v>
      </c>
      <c r="C128" s="1" t="n">
        <v>45224</v>
      </c>
      <c r="D128" t="inlineStr">
        <is>
          <t>STOCKHOLMS LÄN</t>
        </is>
      </c>
      <c r="E128" t="inlineStr">
        <is>
          <t>NACKA</t>
        </is>
      </c>
      <c r="G128" t="n">
        <v>5.6</v>
      </c>
      <c r="H128" t="n">
        <v>3</v>
      </c>
      <c r="I128" t="n">
        <v>0</v>
      </c>
      <c r="J128" t="n">
        <v>2</v>
      </c>
      <c r="K128" t="n">
        <v>0</v>
      </c>
      <c r="L128" t="n">
        <v>0</v>
      </c>
      <c r="M128" t="n">
        <v>0</v>
      </c>
      <c r="N128" t="n">
        <v>0</v>
      </c>
      <c r="O128" t="n">
        <v>2</v>
      </c>
      <c r="P128" t="n">
        <v>0</v>
      </c>
      <c r="Q128" t="n">
        <v>3</v>
      </c>
      <c r="R128" s="2" t="inlineStr">
        <is>
          <t>Björktrast
Spillkråka
Huggorm</t>
        </is>
      </c>
      <c r="S128">
        <f>HYPERLINK("https://klasma.github.io/Logging_0182/artfynd/A 45510-2020 artfynd.xlsx", "A 45510-2020")</f>
        <v/>
      </c>
      <c r="T128">
        <f>HYPERLINK("https://klasma.github.io/Logging_0182/kartor/A 45510-2020 karta.png", "A 45510-2020")</f>
        <v/>
      </c>
      <c r="V128">
        <f>HYPERLINK("https://klasma.github.io/Logging_0182/klagomål/A 45510-2020 FSC-klagomål.docx", "A 45510-2020")</f>
        <v/>
      </c>
      <c r="W128">
        <f>HYPERLINK("https://klasma.github.io/Logging_0182/klagomålsmail/A 45510-2020 FSC-klagomål mail.docx", "A 45510-2020")</f>
        <v/>
      </c>
      <c r="X128">
        <f>HYPERLINK("https://klasma.github.io/Logging_0182/tillsyn/A 45510-2020 tillsynsbegäran.docx", "A 45510-2020")</f>
        <v/>
      </c>
      <c r="Y128">
        <f>HYPERLINK("https://klasma.github.io/Logging_0182/tillsynsmail/A 45510-2020 tillsynsbegäran mail.docx", "A 45510-2020")</f>
        <v/>
      </c>
    </row>
    <row r="129" ht="15" customHeight="1">
      <c r="A129" t="inlineStr">
        <is>
          <t>A 46303-2020</t>
        </is>
      </c>
      <c r="B129" s="1" t="n">
        <v>44092</v>
      </c>
      <c r="C129" s="1" t="n">
        <v>45224</v>
      </c>
      <c r="D129" t="inlineStr">
        <is>
          <t>STOCKHOLMS LÄN</t>
        </is>
      </c>
      <c r="E129" t="inlineStr">
        <is>
          <t>SÖDERTÄLJE</t>
        </is>
      </c>
      <c r="G129" t="n">
        <v>1.8</v>
      </c>
      <c r="H129" t="n">
        <v>0</v>
      </c>
      <c r="I129" t="n">
        <v>0</v>
      </c>
      <c r="J129" t="n">
        <v>0</v>
      </c>
      <c r="K129" t="n">
        <v>1</v>
      </c>
      <c r="L129" t="n">
        <v>1</v>
      </c>
      <c r="M129" t="n">
        <v>1</v>
      </c>
      <c r="N129" t="n">
        <v>0</v>
      </c>
      <c r="O129" t="n">
        <v>3</v>
      </c>
      <c r="P129" t="n">
        <v>3</v>
      </c>
      <c r="Q129" t="n">
        <v>3</v>
      </c>
      <c r="R129" s="2" t="inlineStr">
        <is>
          <t>Skogsalm
Ask
Grenticka</t>
        </is>
      </c>
      <c r="S129">
        <f>HYPERLINK("https://klasma.github.io/Logging_0181/artfynd/A 46303-2020 artfynd.xlsx", "A 46303-2020")</f>
        <v/>
      </c>
      <c r="T129">
        <f>HYPERLINK("https://klasma.github.io/Logging_0181/kartor/A 46303-2020 karta.png", "A 46303-2020")</f>
        <v/>
      </c>
      <c r="V129">
        <f>HYPERLINK("https://klasma.github.io/Logging_0181/klagomål/A 46303-2020 FSC-klagomål.docx", "A 46303-2020")</f>
        <v/>
      </c>
      <c r="W129">
        <f>HYPERLINK("https://klasma.github.io/Logging_0181/klagomålsmail/A 46303-2020 FSC-klagomål mail.docx", "A 46303-2020")</f>
        <v/>
      </c>
      <c r="X129">
        <f>HYPERLINK("https://klasma.github.io/Logging_0181/tillsyn/A 46303-2020 tillsynsbegäran.docx", "A 46303-2020")</f>
        <v/>
      </c>
      <c r="Y129">
        <f>HYPERLINK("https://klasma.github.io/Logging_0181/tillsynsmail/A 46303-2020 tillsynsbegäran mail.docx", "A 46303-2020")</f>
        <v/>
      </c>
    </row>
    <row r="130" ht="15" customHeight="1">
      <c r="A130" t="inlineStr">
        <is>
          <t>A 53981-2020</t>
        </is>
      </c>
      <c r="B130" s="1" t="n">
        <v>44125</v>
      </c>
      <c r="C130" s="1" t="n">
        <v>45224</v>
      </c>
      <c r="D130" t="inlineStr">
        <is>
          <t>STOCKHOLMS LÄN</t>
        </is>
      </c>
      <c r="E130" t="inlineStr">
        <is>
          <t>BOTKYRKA</t>
        </is>
      </c>
      <c r="F130" t="inlineStr">
        <is>
          <t>Övriga Aktiebolag</t>
        </is>
      </c>
      <c r="G130" t="n">
        <v>6.3</v>
      </c>
      <c r="H130" t="n">
        <v>3</v>
      </c>
      <c r="I130" t="n">
        <v>0</v>
      </c>
      <c r="J130" t="n">
        <v>0</v>
      </c>
      <c r="K130" t="n">
        <v>0</v>
      </c>
      <c r="L130" t="n">
        <v>0</v>
      </c>
      <c r="M130" t="n">
        <v>0</v>
      </c>
      <c r="N130" t="n">
        <v>0</v>
      </c>
      <c r="O130" t="n">
        <v>0</v>
      </c>
      <c r="P130" t="n">
        <v>0</v>
      </c>
      <c r="Q130" t="n">
        <v>3</v>
      </c>
      <c r="R130" s="2" t="inlineStr">
        <is>
          <t>Mindre vattensalamander
Vanlig groda
Vanlig padda</t>
        </is>
      </c>
      <c r="S130">
        <f>HYPERLINK("https://klasma.github.io/Logging_0127/artfynd/A 53981-2020 artfynd.xlsx", "A 53981-2020")</f>
        <v/>
      </c>
      <c r="T130">
        <f>HYPERLINK("https://klasma.github.io/Logging_0127/kartor/A 53981-2020 karta.png", "A 53981-2020")</f>
        <v/>
      </c>
      <c r="V130">
        <f>HYPERLINK("https://klasma.github.io/Logging_0127/klagomål/A 53981-2020 FSC-klagomål.docx", "A 53981-2020")</f>
        <v/>
      </c>
      <c r="W130">
        <f>HYPERLINK("https://klasma.github.io/Logging_0127/klagomålsmail/A 53981-2020 FSC-klagomål mail.docx", "A 53981-2020")</f>
        <v/>
      </c>
      <c r="X130">
        <f>HYPERLINK("https://klasma.github.io/Logging_0127/tillsyn/A 53981-2020 tillsynsbegäran.docx", "A 53981-2020")</f>
        <v/>
      </c>
      <c r="Y130">
        <f>HYPERLINK("https://klasma.github.io/Logging_0127/tillsynsmail/A 53981-2020 tillsynsbegäran mail.docx", "A 53981-2020")</f>
        <v/>
      </c>
    </row>
    <row r="131" ht="15" customHeight="1">
      <c r="A131" t="inlineStr">
        <is>
          <t>A 14560-2021</t>
        </is>
      </c>
      <c r="B131" s="1" t="n">
        <v>44279</v>
      </c>
      <c r="C131" s="1" t="n">
        <v>45224</v>
      </c>
      <c r="D131" t="inlineStr">
        <is>
          <t>STOCKHOLMS LÄN</t>
        </is>
      </c>
      <c r="E131" t="inlineStr">
        <is>
          <t>NORRTÄLJE</t>
        </is>
      </c>
      <c r="G131" t="n">
        <v>1.8</v>
      </c>
      <c r="H131" t="n">
        <v>0</v>
      </c>
      <c r="I131" t="n">
        <v>2</v>
      </c>
      <c r="J131" t="n">
        <v>1</v>
      </c>
      <c r="K131" t="n">
        <v>0</v>
      </c>
      <c r="L131" t="n">
        <v>0</v>
      </c>
      <c r="M131" t="n">
        <v>0</v>
      </c>
      <c r="N131" t="n">
        <v>0</v>
      </c>
      <c r="O131" t="n">
        <v>1</v>
      </c>
      <c r="P131" t="n">
        <v>0</v>
      </c>
      <c r="Q131" t="n">
        <v>3</v>
      </c>
      <c r="R131" s="2" t="inlineStr">
        <is>
          <t>Vit vedfingersvamp
Stor aspticka
Vedticka</t>
        </is>
      </c>
      <c r="S131">
        <f>HYPERLINK("https://klasma.github.io/Logging_0188/artfynd/A 14560-2021 artfynd.xlsx", "A 14560-2021")</f>
        <v/>
      </c>
      <c r="T131">
        <f>HYPERLINK("https://klasma.github.io/Logging_0188/kartor/A 14560-2021 karta.png", "A 14560-2021")</f>
        <v/>
      </c>
      <c r="V131">
        <f>HYPERLINK("https://klasma.github.io/Logging_0188/klagomål/A 14560-2021 FSC-klagomål.docx", "A 14560-2021")</f>
        <v/>
      </c>
      <c r="W131">
        <f>HYPERLINK("https://klasma.github.io/Logging_0188/klagomålsmail/A 14560-2021 FSC-klagomål mail.docx", "A 14560-2021")</f>
        <v/>
      </c>
      <c r="X131">
        <f>HYPERLINK("https://klasma.github.io/Logging_0188/tillsyn/A 14560-2021 tillsynsbegäran.docx", "A 14560-2021")</f>
        <v/>
      </c>
      <c r="Y131">
        <f>HYPERLINK("https://klasma.github.io/Logging_0188/tillsynsmail/A 14560-2021 tillsynsbegäran mail.docx", "A 14560-2021")</f>
        <v/>
      </c>
    </row>
    <row r="132" ht="15" customHeight="1">
      <c r="A132" t="inlineStr">
        <is>
          <t>A 17673-2021</t>
        </is>
      </c>
      <c r="B132" s="1" t="n">
        <v>44300</v>
      </c>
      <c r="C132" s="1" t="n">
        <v>45224</v>
      </c>
      <c r="D132" t="inlineStr">
        <is>
          <t>STOCKHOLMS LÄN</t>
        </is>
      </c>
      <c r="E132" t="inlineStr">
        <is>
          <t>NORRTÄLJE</t>
        </is>
      </c>
      <c r="G132" t="n">
        <v>10.4</v>
      </c>
      <c r="H132" t="n">
        <v>3</v>
      </c>
      <c r="I132" t="n">
        <v>0</v>
      </c>
      <c r="J132" t="n">
        <v>2</v>
      </c>
      <c r="K132" t="n">
        <v>0</v>
      </c>
      <c r="L132" t="n">
        <v>0</v>
      </c>
      <c r="M132" t="n">
        <v>0</v>
      </c>
      <c r="N132" t="n">
        <v>0</v>
      </c>
      <c r="O132" t="n">
        <v>2</v>
      </c>
      <c r="P132" t="n">
        <v>0</v>
      </c>
      <c r="Q132" t="n">
        <v>3</v>
      </c>
      <c r="R132" s="2" t="inlineStr">
        <is>
          <t>Grönsångare
Havsörn
Blåsippa</t>
        </is>
      </c>
      <c r="S132">
        <f>HYPERLINK("https://klasma.github.io/Logging_0188/artfynd/A 17673-2021 artfynd.xlsx", "A 17673-2021")</f>
        <v/>
      </c>
      <c r="T132">
        <f>HYPERLINK("https://klasma.github.io/Logging_0188/kartor/A 17673-2021 karta.png", "A 17673-2021")</f>
        <v/>
      </c>
      <c r="V132">
        <f>HYPERLINK("https://klasma.github.io/Logging_0188/klagomål/A 17673-2021 FSC-klagomål.docx", "A 17673-2021")</f>
        <v/>
      </c>
      <c r="W132">
        <f>HYPERLINK("https://klasma.github.io/Logging_0188/klagomålsmail/A 17673-2021 FSC-klagomål mail.docx", "A 17673-2021")</f>
        <v/>
      </c>
      <c r="X132">
        <f>HYPERLINK("https://klasma.github.io/Logging_0188/tillsyn/A 17673-2021 tillsynsbegäran.docx", "A 17673-2021")</f>
        <v/>
      </c>
      <c r="Y132">
        <f>HYPERLINK("https://klasma.github.io/Logging_0188/tillsynsmail/A 17673-2021 tillsynsbegäran mail.docx", "A 17673-2021")</f>
        <v/>
      </c>
    </row>
    <row r="133" ht="15" customHeight="1">
      <c r="A133" t="inlineStr">
        <is>
          <t>A 29818-2021</t>
        </is>
      </c>
      <c r="B133" s="1" t="n">
        <v>44362</v>
      </c>
      <c r="C133" s="1" t="n">
        <v>45224</v>
      </c>
      <c r="D133" t="inlineStr">
        <is>
          <t>STOCKHOLMS LÄN</t>
        </is>
      </c>
      <c r="E133" t="inlineStr">
        <is>
          <t>VÄRMDÖ</t>
        </is>
      </c>
      <c r="F133" t="inlineStr">
        <is>
          <t>Övriga Aktiebolag</t>
        </is>
      </c>
      <c r="G133" t="n">
        <v>1.7</v>
      </c>
      <c r="H133" t="n">
        <v>0</v>
      </c>
      <c r="I133" t="n">
        <v>2</v>
      </c>
      <c r="J133" t="n">
        <v>1</v>
      </c>
      <c r="K133" t="n">
        <v>0</v>
      </c>
      <c r="L133" t="n">
        <v>0</v>
      </c>
      <c r="M133" t="n">
        <v>0</v>
      </c>
      <c r="N133" t="n">
        <v>0</v>
      </c>
      <c r="O133" t="n">
        <v>1</v>
      </c>
      <c r="P133" t="n">
        <v>0</v>
      </c>
      <c r="Q133" t="n">
        <v>3</v>
      </c>
      <c r="R133" s="2" t="inlineStr">
        <is>
          <t>Mindre träfjäril
Mörk husmossa
Stubbspretmossa</t>
        </is>
      </c>
      <c r="S133">
        <f>HYPERLINK("https://klasma.github.io/Logging_0120/artfynd/A 29818-2021 artfynd.xlsx", "A 29818-2021")</f>
        <v/>
      </c>
      <c r="T133">
        <f>HYPERLINK("https://klasma.github.io/Logging_0120/kartor/A 29818-2021 karta.png", "A 29818-2021")</f>
        <v/>
      </c>
      <c r="V133">
        <f>HYPERLINK("https://klasma.github.io/Logging_0120/klagomål/A 29818-2021 FSC-klagomål.docx", "A 29818-2021")</f>
        <v/>
      </c>
      <c r="W133">
        <f>HYPERLINK("https://klasma.github.io/Logging_0120/klagomålsmail/A 29818-2021 FSC-klagomål mail.docx", "A 29818-2021")</f>
        <v/>
      </c>
      <c r="X133">
        <f>HYPERLINK("https://klasma.github.io/Logging_0120/tillsyn/A 29818-2021 tillsynsbegäran.docx", "A 29818-2021")</f>
        <v/>
      </c>
      <c r="Y133">
        <f>HYPERLINK("https://klasma.github.io/Logging_0120/tillsynsmail/A 29818-2021 tillsynsbegäran mail.docx", "A 29818-2021")</f>
        <v/>
      </c>
    </row>
    <row r="134" ht="15" customHeight="1">
      <c r="A134" t="inlineStr">
        <is>
          <t>A 31335-2021</t>
        </is>
      </c>
      <c r="B134" s="1" t="n">
        <v>44368</v>
      </c>
      <c r="C134" s="1" t="n">
        <v>45224</v>
      </c>
      <c r="D134" t="inlineStr">
        <is>
          <t>STOCKHOLMS LÄN</t>
        </is>
      </c>
      <c r="E134" t="inlineStr">
        <is>
          <t>UPPLANDS-BRO</t>
        </is>
      </c>
      <c r="G134" t="n">
        <v>6.3</v>
      </c>
      <c r="H134" t="n">
        <v>0</v>
      </c>
      <c r="I134" t="n">
        <v>3</v>
      </c>
      <c r="J134" t="n">
        <v>0</v>
      </c>
      <c r="K134" t="n">
        <v>0</v>
      </c>
      <c r="L134" t="n">
        <v>0</v>
      </c>
      <c r="M134" t="n">
        <v>0</v>
      </c>
      <c r="N134" t="n">
        <v>0</v>
      </c>
      <c r="O134" t="n">
        <v>0</v>
      </c>
      <c r="P134" t="n">
        <v>0</v>
      </c>
      <c r="Q134" t="n">
        <v>3</v>
      </c>
      <c r="R134" s="2" t="inlineStr">
        <is>
          <t>Grovticka
Skarp dropptaggsvamp
Svavelriska</t>
        </is>
      </c>
      <c r="S134">
        <f>HYPERLINK("https://klasma.github.io/Logging_0139/artfynd/A 31335-2021 artfynd.xlsx", "A 31335-2021")</f>
        <v/>
      </c>
      <c r="T134">
        <f>HYPERLINK("https://klasma.github.io/Logging_0139/kartor/A 31335-2021 karta.png", "A 31335-2021")</f>
        <v/>
      </c>
      <c r="V134">
        <f>HYPERLINK("https://klasma.github.io/Logging_0139/klagomål/A 31335-2021 FSC-klagomål.docx", "A 31335-2021")</f>
        <v/>
      </c>
      <c r="W134">
        <f>HYPERLINK("https://klasma.github.io/Logging_0139/klagomålsmail/A 31335-2021 FSC-klagomål mail.docx", "A 31335-2021")</f>
        <v/>
      </c>
      <c r="X134">
        <f>HYPERLINK("https://klasma.github.io/Logging_0139/tillsyn/A 31335-2021 tillsynsbegäran.docx", "A 31335-2021")</f>
        <v/>
      </c>
      <c r="Y134">
        <f>HYPERLINK("https://klasma.github.io/Logging_0139/tillsynsmail/A 31335-2021 tillsynsbegäran mail.docx", "A 31335-2021")</f>
        <v/>
      </c>
    </row>
    <row r="135" ht="15" customHeight="1">
      <c r="A135" t="inlineStr">
        <is>
          <t>A 41371-2021</t>
        </is>
      </c>
      <c r="B135" s="1" t="n">
        <v>44424</v>
      </c>
      <c r="C135" s="1" t="n">
        <v>45224</v>
      </c>
      <c r="D135" t="inlineStr">
        <is>
          <t>STOCKHOLMS LÄN</t>
        </is>
      </c>
      <c r="E135" t="inlineStr">
        <is>
          <t>NYNÄSHAMN</t>
        </is>
      </c>
      <c r="G135" t="n">
        <v>7.4</v>
      </c>
      <c r="H135" t="n">
        <v>1</v>
      </c>
      <c r="I135" t="n">
        <v>3</v>
      </c>
      <c r="J135" t="n">
        <v>0</v>
      </c>
      <c r="K135" t="n">
        <v>0</v>
      </c>
      <c r="L135" t="n">
        <v>0</v>
      </c>
      <c r="M135" t="n">
        <v>0</v>
      </c>
      <c r="N135" t="n">
        <v>0</v>
      </c>
      <c r="O135" t="n">
        <v>0</v>
      </c>
      <c r="P135" t="n">
        <v>0</v>
      </c>
      <c r="Q135" t="n">
        <v>3</v>
      </c>
      <c r="R135" s="2" t="inlineStr">
        <is>
          <t>Grov fjädermossa
Grön sköldmossa
Stor revmossa</t>
        </is>
      </c>
      <c r="S135">
        <f>HYPERLINK("https://klasma.github.io/Logging_0192/artfynd/A 41371-2021 artfynd.xlsx", "A 41371-2021")</f>
        <v/>
      </c>
      <c r="T135">
        <f>HYPERLINK("https://klasma.github.io/Logging_0192/kartor/A 41371-2021 karta.png", "A 41371-2021")</f>
        <v/>
      </c>
      <c r="V135">
        <f>HYPERLINK("https://klasma.github.io/Logging_0192/klagomål/A 41371-2021 FSC-klagomål.docx", "A 41371-2021")</f>
        <v/>
      </c>
      <c r="W135">
        <f>HYPERLINK("https://klasma.github.io/Logging_0192/klagomålsmail/A 41371-2021 FSC-klagomål mail.docx", "A 41371-2021")</f>
        <v/>
      </c>
      <c r="X135">
        <f>HYPERLINK("https://klasma.github.io/Logging_0192/tillsyn/A 41371-2021 tillsynsbegäran.docx", "A 41371-2021")</f>
        <v/>
      </c>
      <c r="Y135">
        <f>HYPERLINK("https://klasma.github.io/Logging_0192/tillsynsmail/A 41371-2021 tillsynsbegäran mail.docx", "A 41371-2021")</f>
        <v/>
      </c>
    </row>
    <row r="136" ht="15" customHeight="1">
      <c r="A136" t="inlineStr">
        <is>
          <t>A 43900-2021</t>
        </is>
      </c>
      <c r="B136" s="1" t="n">
        <v>44434</v>
      </c>
      <c r="C136" s="1" t="n">
        <v>45224</v>
      </c>
      <c r="D136" t="inlineStr">
        <is>
          <t>STOCKHOLMS LÄN</t>
        </is>
      </c>
      <c r="E136" t="inlineStr">
        <is>
          <t>BOTKYRKA</t>
        </is>
      </c>
      <c r="F136" t="inlineStr">
        <is>
          <t>Kommuner</t>
        </is>
      </c>
      <c r="G136" t="n">
        <v>3.1</v>
      </c>
      <c r="H136" t="n">
        <v>0</v>
      </c>
      <c r="I136" t="n">
        <v>1</v>
      </c>
      <c r="J136" t="n">
        <v>2</v>
      </c>
      <c r="K136" t="n">
        <v>0</v>
      </c>
      <c r="L136" t="n">
        <v>0</v>
      </c>
      <c r="M136" t="n">
        <v>0</v>
      </c>
      <c r="N136" t="n">
        <v>0</v>
      </c>
      <c r="O136" t="n">
        <v>2</v>
      </c>
      <c r="P136" t="n">
        <v>0</v>
      </c>
      <c r="Q136" t="n">
        <v>3</v>
      </c>
      <c r="R136" s="2" t="inlineStr">
        <is>
          <t>Motaggsvamp
Ullticka
Brandticka</t>
        </is>
      </c>
      <c r="S136">
        <f>HYPERLINK("https://klasma.github.io/Logging_0127/artfynd/A 43900-2021 artfynd.xlsx", "A 43900-2021")</f>
        <v/>
      </c>
      <c r="T136">
        <f>HYPERLINK("https://klasma.github.io/Logging_0127/kartor/A 43900-2021 karta.png", "A 43900-2021")</f>
        <v/>
      </c>
      <c r="V136">
        <f>HYPERLINK("https://klasma.github.io/Logging_0127/klagomål/A 43900-2021 FSC-klagomål.docx", "A 43900-2021")</f>
        <v/>
      </c>
      <c r="W136">
        <f>HYPERLINK("https://klasma.github.io/Logging_0127/klagomålsmail/A 43900-2021 FSC-klagomål mail.docx", "A 43900-2021")</f>
        <v/>
      </c>
      <c r="X136">
        <f>HYPERLINK("https://klasma.github.io/Logging_0127/tillsyn/A 43900-2021 tillsynsbegäran.docx", "A 43900-2021")</f>
        <v/>
      </c>
      <c r="Y136">
        <f>HYPERLINK("https://klasma.github.io/Logging_0127/tillsynsmail/A 43900-2021 tillsynsbegäran mail.docx", "A 43900-2021")</f>
        <v/>
      </c>
    </row>
    <row r="137" ht="15" customHeight="1">
      <c r="A137" t="inlineStr">
        <is>
          <t>A 65629-2021</t>
        </is>
      </c>
      <c r="B137" s="1" t="n">
        <v>44516</v>
      </c>
      <c r="C137" s="1" t="n">
        <v>45224</v>
      </c>
      <c r="D137" t="inlineStr">
        <is>
          <t>STOCKHOLMS LÄN</t>
        </is>
      </c>
      <c r="E137" t="inlineStr">
        <is>
          <t>NORRTÄLJE</t>
        </is>
      </c>
      <c r="G137" t="n">
        <v>3</v>
      </c>
      <c r="H137" t="n">
        <v>0</v>
      </c>
      <c r="I137" t="n">
        <v>1</v>
      </c>
      <c r="J137" t="n">
        <v>2</v>
      </c>
      <c r="K137" t="n">
        <v>0</v>
      </c>
      <c r="L137" t="n">
        <v>0</v>
      </c>
      <c r="M137" t="n">
        <v>0</v>
      </c>
      <c r="N137" t="n">
        <v>0</v>
      </c>
      <c r="O137" t="n">
        <v>2</v>
      </c>
      <c r="P137" t="n">
        <v>0</v>
      </c>
      <c r="Q137" t="n">
        <v>3</v>
      </c>
      <c r="R137" s="2" t="inlineStr">
        <is>
          <t>Granticka
Ullticka
Granbarkgnagare</t>
        </is>
      </c>
      <c r="S137">
        <f>HYPERLINK("https://klasma.github.io/Logging_0188/artfynd/A 65629-2021 artfynd.xlsx", "A 65629-2021")</f>
        <v/>
      </c>
      <c r="T137">
        <f>HYPERLINK("https://klasma.github.io/Logging_0188/kartor/A 65629-2021 karta.png", "A 65629-2021")</f>
        <v/>
      </c>
      <c r="V137">
        <f>HYPERLINK("https://klasma.github.io/Logging_0188/klagomål/A 65629-2021 FSC-klagomål.docx", "A 65629-2021")</f>
        <v/>
      </c>
      <c r="W137">
        <f>HYPERLINK("https://klasma.github.io/Logging_0188/klagomålsmail/A 65629-2021 FSC-klagomål mail.docx", "A 65629-2021")</f>
        <v/>
      </c>
      <c r="X137">
        <f>HYPERLINK("https://klasma.github.io/Logging_0188/tillsyn/A 65629-2021 tillsynsbegäran.docx", "A 65629-2021")</f>
        <v/>
      </c>
      <c r="Y137">
        <f>HYPERLINK("https://klasma.github.io/Logging_0188/tillsynsmail/A 65629-2021 tillsynsbegäran mail.docx", "A 65629-2021")</f>
        <v/>
      </c>
    </row>
    <row r="138" ht="15" customHeight="1">
      <c r="A138" t="inlineStr">
        <is>
          <t>A 73093-2021</t>
        </is>
      </c>
      <c r="B138" s="1" t="n">
        <v>44550</v>
      </c>
      <c r="C138" s="1" t="n">
        <v>45224</v>
      </c>
      <c r="D138" t="inlineStr">
        <is>
          <t>STOCKHOLMS LÄN</t>
        </is>
      </c>
      <c r="E138" t="inlineStr">
        <is>
          <t>NORRTÄLJE</t>
        </is>
      </c>
      <c r="G138" t="n">
        <v>5.1</v>
      </c>
      <c r="H138" t="n">
        <v>2</v>
      </c>
      <c r="I138" t="n">
        <v>2</v>
      </c>
      <c r="J138" t="n">
        <v>0</v>
      </c>
      <c r="K138" t="n">
        <v>0</v>
      </c>
      <c r="L138" t="n">
        <v>0</v>
      </c>
      <c r="M138" t="n">
        <v>0</v>
      </c>
      <c r="N138" t="n">
        <v>0</v>
      </c>
      <c r="O138" t="n">
        <v>0</v>
      </c>
      <c r="P138" t="n">
        <v>0</v>
      </c>
      <c r="Q138" t="n">
        <v>3</v>
      </c>
      <c r="R138" s="2" t="inlineStr">
        <is>
          <t>Guckusko
Tibast
Blåsippa</t>
        </is>
      </c>
      <c r="S138">
        <f>HYPERLINK("https://klasma.github.io/Logging_0188/artfynd/A 73093-2021 artfynd.xlsx", "A 73093-2021")</f>
        <v/>
      </c>
      <c r="T138">
        <f>HYPERLINK("https://klasma.github.io/Logging_0188/kartor/A 73093-2021 karta.png", "A 73093-2021")</f>
        <v/>
      </c>
      <c r="V138">
        <f>HYPERLINK("https://klasma.github.io/Logging_0188/klagomål/A 73093-2021 FSC-klagomål.docx", "A 73093-2021")</f>
        <v/>
      </c>
      <c r="W138">
        <f>HYPERLINK("https://klasma.github.io/Logging_0188/klagomålsmail/A 73093-2021 FSC-klagomål mail.docx", "A 73093-2021")</f>
        <v/>
      </c>
      <c r="X138">
        <f>HYPERLINK("https://klasma.github.io/Logging_0188/tillsyn/A 73093-2021 tillsynsbegäran.docx", "A 73093-2021")</f>
        <v/>
      </c>
      <c r="Y138">
        <f>HYPERLINK("https://klasma.github.io/Logging_0188/tillsynsmail/A 73093-2021 tillsynsbegäran mail.docx", "A 73093-2021")</f>
        <v/>
      </c>
    </row>
    <row r="139" ht="15" customHeight="1">
      <c r="A139" t="inlineStr">
        <is>
          <t>A 1244-2022</t>
        </is>
      </c>
      <c r="B139" s="1" t="n">
        <v>44572</v>
      </c>
      <c r="C139" s="1" t="n">
        <v>45224</v>
      </c>
      <c r="D139" t="inlineStr">
        <is>
          <t>STOCKHOLMS LÄN</t>
        </is>
      </c>
      <c r="E139" t="inlineStr">
        <is>
          <t>VÄRMDÖ</t>
        </is>
      </c>
      <c r="G139" t="n">
        <v>2.5</v>
      </c>
      <c r="H139" t="n">
        <v>2</v>
      </c>
      <c r="I139" t="n">
        <v>2</v>
      </c>
      <c r="J139" t="n">
        <v>1</v>
      </c>
      <c r="K139" t="n">
        <v>0</v>
      </c>
      <c r="L139" t="n">
        <v>0</v>
      </c>
      <c r="M139" t="n">
        <v>0</v>
      </c>
      <c r="N139" t="n">
        <v>0</v>
      </c>
      <c r="O139" t="n">
        <v>1</v>
      </c>
      <c r="P139" t="n">
        <v>0</v>
      </c>
      <c r="Q139" t="n">
        <v>3</v>
      </c>
      <c r="R139" s="2" t="inlineStr">
        <is>
          <t>Spillkråka
Grön sköldmossa
Thomsons trägnagare</t>
        </is>
      </c>
      <c r="S139">
        <f>HYPERLINK("https://klasma.github.io/Logging_0120/artfynd/A 1244-2022 artfynd.xlsx", "A 1244-2022")</f>
        <v/>
      </c>
      <c r="T139">
        <f>HYPERLINK("https://klasma.github.io/Logging_0120/kartor/A 1244-2022 karta.png", "A 1244-2022")</f>
        <v/>
      </c>
      <c r="V139">
        <f>HYPERLINK("https://klasma.github.io/Logging_0120/klagomål/A 1244-2022 FSC-klagomål.docx", "A 1244-2022")</f>
        <v/>
      </c>
      <c r="W139">
        <f>HYPERLINK("https://klasma.github.io/Logging_0120/klagomålsmail/A 1244-2022 FSC-klagomål mail.docx", "A 1244-2022")</f>
        <v/>
      </c>
      <c r="X139">
        <f>HYPERLINK("https://klasma.github.io/Logging_0120/tillsyn/A 1244-2022 tillsynsbegäran.docx", "A 1244-2022")</f>
        <v/>
      </c>
      <c r="Y139">
        <f>HYPERLINK("https://klasma.github.io/Logging_0120/tillsynsmail/A 1244-2022 tillsynsbegäran mail.docx", "A 1244-2022")</f>
        <v/>
      </c>
    </row>
    <row r="140" ht="15" customHeight="1">
      <c r="A140" t="inlineStr">
        <is>
          <t>A 11803-2022</t>
        </is>
      </c>
      <c r="B140" s="1" t="n">
        <v>44634</v>
      </c>
      <c r="C140" s="1" t="n">
        <v>45224</v>
      </c>
      <c r="D140" t="inlineStr">
        <is>
          <t>STOCKHOLMS LÄN</t>
        </is>
      </c>
      <c r="E140" t="inlineStr">
        <is>
          <t>EKERÖ</t>
        </is>
      </c>
      <c r="G140" t="n">
        <v>2.7</v>
      </c>
      <c r="H140" t="n">
        <v>1</v>
      </c>
      <c r="I140" t="n">
        <v>0</v>
      </c>
      <c r="J140" t="n">
        <v>2</v>
      </c>
      <c r="K140" t="n">
        <v>0</v>
      </c>
      <c r="L140" t="n">
        <v>0</v>
      </c>
      <c r="M140" t="n">
        <v>0</v>
      </c>
      <c r="N140" t="n">
        <v>0</v>
      </c>
      <c r="O140" t="n">
        <v>2</v>
      </c>
      <c r="P140" t="n">
        <v>0</v>
      </c>
      <c r="Q140" t="n">
        <v>3</v>
      </c>
      <c r="R140" s="2" t="inlineStr">
        <is>
          <t>Backklöver
Solvända
Gullviva</t>
        </is>
      </c>
      <c r="S140">
        <f>HYPERLINK("https://klasma.github.io/Logging_0125/artfynd/A 11803-2022 artfynd.xlsx", "A 11803-2022")</f>
        <v/>
      </c>
      <c r="T140">
        <f>HYPERLINK("https://klasma.github.io/Logging_0125/kartor/A 11803-2022 karta.png", "A 11803-2022")</f>
        <v/>
      </c>
      <c r="V140">
        <f>HYPERLINK("https://klasma.github.io/Logging_0125/klagomål/A 11803-2022 FSC-klagomål.docx", "A 11803-2022")</f>
        <v/>
      </c>
      <c r="W140">
        <f>HYPERLINK("https://klasma.github.io/Logging_0125/klagomålsmail/A 11803-2022 FSC-klagomål mail.docx", "A 11803-2022")</f>
        <v/>
      </c>
      <c r="X140">
        <f>HYPERLINK("https://klasma.github.io/Logging_0125/tillsyn/A 11803-2022 tillsynsbegäran.docx", "A 11803-2022")</f>
        <v/>
      </c>
      <c r="Y140">
        <f>HYPERLINK("https://klasma.github.io/Logging_0125/tillsynsmail/A 11803-2022 tillsynsbegäran mail.docx", "A 11803-2022")</f>
        <v/>
      </c>
    </row>
    <row r="141" ht="15" customHeight="1">
      <c r="A141" t="inlineStr">
        <is>
          <t>A 12620-2022</t>
        </is>
      </c>
      <c r="B141" s="1" t="n">
        <v>44638</v>
      </c>
      <c r="C141" s="1" t="n">
        <v>45224</v>
      </c>
      <c r="D141" t="inlineStr">
        <is>
          <t>STOCKHOLMS LÄN</t>
        </is>
      </c>
      <c r="E141" t="inlineStr">
        <is>
          <t>ÖSTERÅKER</t>
        </is>
      </c>
      <c r="G141" t="n">
        <v>9.4</v>
      </c>
      <c r="H141" t="n">
        <v>1</v>
      </c>
      <c r="I141" t="n">
        <v>1</v>
      </c>
      <c r="J141" t="n">
        <v>0</v>
      </c>
      <c r="K141" t="n">
        <v>1</v>
      </c>
      <c r="L141" t="n">
        <v>0</v>
      </c>
      <c r="M141" t="n">
        <v>0</v>
      </c>
      <c r="N141" t="n">
        <v>0</v>
      </c>
      <c r="O141" t="n">
        <v>1</v>
      </c>
      <c r="P141" t="n">
        <v>1</v>
      </c>
      <c r="Q141" t="n">
        <v>3</v>
      </c>
      <c r="R141" s="2" t="inlineStr">
        <is>
          <t>Taggfingersvamp
Fällmossa
Blåsippa</t>
        </is>
      </c>
      <c r="S141">
        <f>HYPERLINK("https://klasma.github.io/Logging_0117/artfynd/A 12620-2022 artfynd.xlsx", "A 12620-2022")</f>
        <v/>
      </c>
      <c r="T141">
        <f>HYPERLINK("https://klasma.github.io/Logging_0117/kartor/A 12620-2022 karta.png", "A 12620-2022")</f>
        <v/>
      </c>
      <c r="V141">
        <f>HYPERLINK("https://klasma.github.io/Logging_0117/klagomål/A 12620-2022 FSC-klagomål.docx", "A 12620-2022")</f>
        <v/>
      </c>
      <c r="W141">
        <f>HYPERLINK("https://klasma.github.io/Logging_0117/klagomålsmail/A 12620-2022 FSC-klagomål mail.docx", "A 12620-2022")</f>
        <v/>
      </c>
      <c r="X141">
        <f>HYPERLINK("https://klasma.github.io/Logging_0117/tillsyn/A 12620-2022 tillsynsbegäran.docx", "A 12620-2022")</f>
        <v/>
      </c>
      <c r="Y141">
        <f>HYPERLINK("https://klasma.github.io/Logging_0117/tillsynsmail/A 12620-2022 tillsynsbegäran mail.docx", "A 12620-2022")</f>
        <v/>
      </c>
    </row>
    <row r="142" ht="15" customHeight="1">
      <c r="A142" t="inlineStr">
        <is>
          <t>A 17244-2022</t>
        </is>
      </c>
      <c r="B142" s="1" t="n">
        <v>44678</v>
      </c>
      <c r="C142" s="1" t="n">
        <v>45224</v>
      </c>
      <c r="D142" t="inlineStr">
        <is>
          <t>STOCKHOLMS LÄN</t>
        </is>
      </c>
      <c r="E142" t="inlineStr">
        <is>
          <t>ÖSTERÅKER</t>
        </is>
      </c>
      <c r="G142" t="n">
        <v>1.4</v>
      </c>
      <c r="H142" t="n">
        <v>2</v>
      </c>
      <c r="I142" t="n">
        <v>2</v>
      </c>
      <c r="J142" t="n">
        <v>0</v>
      </c>
      <c r="K142" t="n">
        <v>0</v>
      </c>
      <c r="L142" t="n">
        <v>0</v>
      </c>
      <c r="M142" t="n">
        <v>0</v>
      </c>
      <c r="N142" t="n">
        <v>0</v>
      </c>
      <c r="O142" t="n">
        <v>0</v>
      </c>
      <c r="P142" t="n">
        <v>0</v>
      </c>
      <c r="Q142" t="n">
        <v>3</v>
      </c>
      <c r="R142" s="2" t="inlineStr">
        <is>
          <t>Bronshjon
Grön sköldmossa
Lopplummer</t>
        </is>
      </c>
      <c r="S142">
        <f>HYPERLINK("https://klasma.github.io/Logging_0117/artfynd/A 17244-2022 artfynd.xlsx", "A 17244-2022")</f>
        <v/>
      </c>
      <c r="T142">
        <f>HYPERLINK("https://klasma.github.io/Logging_0117/kartor/A 17244-2022 karta.png", "A 17244-2022")</f>
        <v/>
      </c>
      <c r="V142">
        <f>HYPERLINK("https://klasma.github.io/Logging_0117/klagomål/A 17244-2022 FSC-klagomål.docx", "A 17244-2022")</f>
        <v/>
      </c>
      <c r="W142">
        <f>HYPERLINK("https://klasma.github.io/Logging_0117/klagomålsmail/A 17244-2022 FSC-klagomål mail.docx", "A 17244-2022")</f>
        <v/>
      </c>
      <c r="X142">
        <f>HYPERLINK("https://klasma.github.io/Logging_0117/tillsyn/A 17244-2022 tillsynsbegäran.docx", "A 17244-2022")</f>
        <v/>
      </c>
      <c r="Y142">
        <f>HYPERLINK("https://klasma.github.io/Logging_0117/tillsynsmail/A 17244-2022 tillsynsbegäran mail.docx", "A 17244-2022")</f>
        <v/>
      </c>
    </row>
    <row r="143" ht="15" customHeight="1">
      <c r="A143" t="inlineStr">
        <is>
          <t>A 20185-2022</t>
        </is>
      </c>
      <c r="B143" s="1" t="n">
        <v>44698</v>
      </c>
      <c r="C143" s="1" t="n">
        <v>45224</v>
      </c>
      <c r="D143" t="inlineStr">
        <is>
          <t>STOCKHOLMS LÄN</t>
        </is>
      </c>
      <c r="E143" t="inlineStr">
        <is>
          <t>NORRTÄLJE</t>
        </is>
      </c>
      <c r="G143" t="n">
        <v>8.4</v>
      </c>
      <c r="H143" t="n">
        <v>1</v>
      </c>
      <c r="I143" t="n">
        <v>2</v>
      </c>
      <c r="J143" t="n">
        <v>0</v>
      </c>
      <c r="K143" t="n">
        <v>1</v>
      </c>
      <c r="L143" t="n">
        <v>0</v>
      </c>
      <c r="M143" t="n">
        <v>0</v>
      </c>
      <c r="N143" t="n">
        <v>0</v>
      </c>
      <c r="O143" t="n">
        <v>1</v>
      </c>
      <c r="P143" t="n">
        <v>1</v>
      </c>
      <c r="Q143" t="n">
        <v>3</v>
      </c>
      <c r="R143" s="2" t="inlineStr">
        <is>
          <t>Tallbit
Gullgröppa
Vedticka</t>
        </is>
      </c>
      <c r="S143">
        <f>HYPERLINK("https://klasma.github.io/Logging_0188/artfynd/A 20185-2022 artfynd.xlsx", "A 20185-2022")</f>
        <v/>
      </c>
      <c r="T143">
        <f>HYPERLINK("https://klasma.github.io/Logging_0188/kartor/A 20185-2022 karta.png", "A 20185-2022")</f>
        <v/>
      </c>
      <c r="V143">
        <f>HYPERLINK("https://klasma.github.io/Logging_0188/klagomål/A 20185-2022 FSC-klagomål.docx", "A 20185-2022")</f>
        <v/>
      </c>
      <c r="W143">
        <f>HYPERLINK("https://klasma.github.io/Logging_0188/klagomålsmail/A 20185-2022 FSC-klagomål mail.docx", "A 20185-2022")</f>
        <v/>
      </c>
      <c r="X143">
        <f>HYPERLINK("https://klasma.github.io/Logging_0188/tillsyn/A 20185-2022 tillsynsbegäran.docx", "A 20185-2022")</f>
        <v/>
      </c>
      <c r="Y143">
        <f>HYPERLINK("https://klasma.github.io/Logging_0188/tillsynsmail/A 20185-2022 tillsynsbegäran mail.docx", "A 20185-2022")</f>
        <v/>
      </c>
    </row>
    <row r="144" ht="15" customHeight="1">
      <c r="A144" t="inlineStr">
        <is>
          <t>A 28836-2022</t>
        </is>
      </c>
      <c r="B144" s="1" t="n">
        <v>44749</v>
      </c>
      <c r="C144" s="1" t="n">
        <v>45224</v>
      </c>
      <c r="D144" t="inlineStr">
        <is>
          <t>STOCKHOLMS LÄN</t>
        </is>
      </c>
      <c r="E144" t="inlineStr">
        <is>
          <t>NORRTÄLJE</t>
        </is>
      </c>
      <c r="G144" t="n">
        <v>25</v>
      </c>
      <c r="H144" t="n">
        <v>2</v>
      </c>
      <c r="I144" t="n">
        <v>0</v>
      </c>
      <c r="J144" t="n">
        <v>2</v>
      </c>
      <c r="K144" t="n">
        <v>0</v>
      </c>
      <c r="L144" t="n">
        <v>0</v>
      </c>
      <c r="M144" t="n">
        <v>0</v>
      </c>
      <c r="N144" t="n">
        <v>0</v>
      </c>
      <c r="O144" t="n">
        <v>2</v>
      </c>
      <c r="P144" t="n">
        <v>0</v>
      </c>
      <c r="Q144" t="n">
        <v>3</v>
      </c>
      <c r="R144" s="2" t="inlineStr">
        <is>
          <t>Backklöver
Svartvit flugsnappare
Skogsödla</t>
        </is>
      </c>
      <c r="S144">
        <f>HYPERLINK("https://klasma.github.io/Logging_0188/artfynd/A 28836-2022 artfynd.xlsx", "A 28836-2022")</f>
        <v/>
      </c>
      <c r="T144">
        <f>HYPERLINK("https://klasma.github.io/Logging_0188/kartor/A 28836-2022 karta.png", "A 28836-2022")</f>
        <v/>
      </c>
      <c r="V144">
        <f>HYPERLINK("https://klasma.github.io/Logging_0188/klagomål/A 28836-2022 FSC-klagomål.docx", "A 28836-2022")</f>
        <v/>
      </c>
      <c r="W144">
        <f>HYPERLINK("https://klasma.github.io/Logging_0188/klagomålsmail/A 28836-2022 FSC-klagomål mail.docx", "A 28836-2022")</f>
        <v/>
      </c>
      <c r="X144">
        <f>HYPERLINK("https://klasma.github.io/Logging_0188/tillsyn/A 28836-2022 tillsynsbegäran.docx", "A 28836-2022")</f>
        <v/>
      </c>
      <c r="Y144">
        <f>HYPERLINK("https://klasma.github.io/Logging_0188/tillsynsmail/A 28836-2022 tillsynsbegäran mail.docx", "A 28836-2022")</f>
        <v/>
      </c>
    </row>
    <row r="145" ht="15" customHeight="1">
      <c r="A145" t="inlineStr">
        <is>
          <t>A 45113-2022</t>
        </is>
      </c>
      <c r="B145" s="1" t="n">
        <v>44843</v>
      </c>
      <c r="C145" s="1" t="n">
        <v>45224</v>
      </c>
      <c r="D145" t="inlineStr">
        <is>
          <t>STOCKHOLMS LÄN</t>
        </is>
      </c>
      <c r="E145" t="inlineStr">
        <is>
          <t>NORRTÄLJE</t>
        </is>
      </c>
      <c r="G145" t="n">
        <v>1.7</v>
      </c>
      <c r="H145" t="n">
        <v>0</v>
      </c>
      <c r="I145" t="n">
        <v>1</v>
      </c>
      <c r="J145" t="n">
        <v>1</v>
      </c>
      <c r="K145" t="n">
        <v>1</v>
      </c>
      <c r="L145" t="n">
        <v>0</v>
      </c>
      <c r="M145" t="n">
        <v>0</v>
      </c>
      <c r="N145" t="n">
        <v>0</v>
      </c>
      <c r="O145" t="n">
        <v>2</v>
      </c>
      <c r="P145" t="n">
        <v>1</v>
      </c>
      <c r="Q145" t="n">
        <v>3</v>
      </c>
      <c r="R145" s="2" t="inlineStr">
        <is>
          <t>Violett fingersvamp
Kandelabersvamp
Slät lönnlav</t>
        </is>
      </c>
      <c r="S145">
        <f>HYPERLINK("https://klasma.github.io/Logging_0188/artfynd/A 45113-2022 artfynd.xlsx", "A 45113-2022")</f>
        <v/>
      </c>
      <c r="T145">
        <f>HYPERLINK("https://klasma.github.io/Logging_0188/kartor/A 45113-2022 karta.png", "A 45113-2022")</f>
        <v/>
      </c>
      <c r="V145">
        <f>HYPERLINK("https://klasma.github.io/Logging_0188/klagomål/A 45113-2022 FSC-klagomål.docx", "A 45113-2022")</f>
        <v/>
      </c>
      <c r="W145">
        <f>HYPERLINK("https://klasma.github.io/Logging_0188/klagomålsmail/A 45113-2022 FSC-klagomål mail.docx", "A 45113-2022")</f>
        <v/>
      </c>
      <c r="X145">
        <f>HYPERLINK("https://klasma.github.io/Logging_0188/tillsyn/A 45113-2022 tillsynsbegäran.docx", "A 45113-2022")</f>
        <v/>
      </c>
      <c r="Y145">
        <f>HYPERLINK("https://klasma.github.io/Logging_0188/tillsynsmail/A 45113-2022 tillsynsbegäran mail.docx", "A 45113-2022")</f>
        <v/>
      </c>
    </row>
    <row r="146" ht="15" customHeight="1">
      <c r="A146" t="inlineStr">
        <is>
          <t>A 48691-2022</t>
        </is>
      </c>
      <c r="B146" s="1" t="n">
        <v>44859</v>
      </c>
      <c r="C146" s="1" t="n">
        <v>45224</v>
      </c>
      <c r="D146" t="inlineStr">
        <is>
          <t>STOCKHOLMS LÄN</t>
        </is>
      </c>
      <c r="E146" t="inlineStr">
        <is>
          <t>VÄRMDÖ</t>
        </is>
      </c>
      <c r="G146" t="n">
        <v>3.6</v>
      </c>
      <c r="H146" t="n">
        <v>1</v>
      </c>
      <c r="I146" t="n">
        <v>2</v>
      </c>
      <c r="J146" t="n">
        <v>1</v>
      </c>
      <c r="K146" t="n">
        <v>0</v>
      </c>
      <c r="L146" t="n">
        <v>0</v>
      </c>
      <c r="M146" t="n">
        <v>0</v>
      </c>
      <c r="N146" t="n">
        <v>0</v>
      </c>
      <c r="O146" t="n">
        <v>1</v>
      </c>
      <c r="P146" t="n">
        <v>0</v>
      </c>
      <c r="Q146" t="n">
        <v>3</v>
      </c>
      <c r="R146" s="2" t="inlineStr">
        <is>
          <t>Havsörn
Brandticka
Skarp dropptaggsvamp</t>
        </is>
      </c>
      <c r="S146">
        <f>HYPERLINK("https://klasma.github.io/Logging_0120/artfynd/A 48691-2022 artfynd.xlsx", "A 48691-2022")</f>
        <v/>
      </c>
      <c r="T146">
        <f>HYPERLINK("https://klasma.github.io/Logging_0120/kartor/A 48691-2022 karta.png", "A 48691-2022")</f>
        <v/>
      </c>
      <c r="V146">
        <f>HYPERLINK("https://klasma.github.io/Logging_0120/klagomål/A 48691-2022 FSC-klagomål.docx", "A 48691-2022")</f>
        <v/>
      </c>
      <c r="W146">
        <f>HYPERLINK("https://klasma.github.io/Logging_0120/klagomålsmail/A 48691-2022 FSC-klagomål mail.docx", "A 48691-2022")</f>
        <v/>
      </c>
      <c r="X146">
        <f>HYPERLINK("https://klasma.github.io/Logging_0120/tillsyn/A 48691-2022 tillsynsbegäran.docx", "A 48691-2022")</f>
        <v/>
      </c>
      <c r="Y146">
        <f>HYPERLINK("https://klasma.github.io/Logging_0120/tillsynsmail/A 48691-2022 tillsynsbegäran mail.docx", "A 48691-2022")</f>
        <v/>
      </c>
    </row>
    <row r="147" ht="15" customHeight="1">
      <c r="A147" t="inlineStr">
        <is>
          <t>A 49680-2022</t>
        </is>
      </c>
      <c r="B147" s="1" t="n">
        <v>44862</v>
      </c>
      <c r="C147" s="1" t="n">
        <v>45224</v>
      </c>
      <c r="D147" t="inlineStr">
        <is>
          <t>STOCKHOLMS LÄN</t>
        </is>
      </c>
      <c r="E147" t="inlineStr">
        <is>
          <t>NYKVARN</t>
        </is>
      </c>
      <c r="F147" t="inlineStr">
        <is>
          <t>Allmännings- och besparingsskogar</t>
        </is>
      </c>
      <c r="G147" t="n">
        <v>2.4</v>
      </c>
      <c r="H147" t="n">
        <v>0</v>
      </c>
      <c r="I147" t="n">
        <v>1</v>
      </c>
      <c r="J147" t="n">
        <v>2</v>
      </c>
      <c r="K147" t="n">
        <v>0</v>
      </c>
      <c r="L147" t="n">
        <v>0</v>
      </c>
      <c r="M147" t="n">
        <v>0</v>
      </c>
      <c r="N147" t="n">
        <v>0</v>
      </c>
      <c r="O147" t="n">
        <v>2</v>
      </c>
      <c r="P147" t="n">
        <v>0</v>
      </c>
      <c r="Q147" t="n">
        <v>3</v>
      </c>
      <c r="R147" s="2" t="inlineStr">
        <is>
          <t>Granticka
Ullticka
Granbarkgnagare</t>
        </is>
      </c>
      <c r="S147">
        <f>HYPERLINK("https://klasma.github.io/Logging_0140/artfynd/A 49680-2022 artfynd.xlsx", "A 49680-2022")</f>
        <v/>
      </c>
      <c r="T147">
        <f>HYPERLINK("https://klasma.github.io/Logging_0140/kartor/A 49680-2022 karta.png", "A 49680-2022")</f>
        <v/>
      </c>
      <c r="V147">
        <f>HYPERLINK("https://klasma.github.io/Logging_0140/klagomål/A 49680-2022 FSC-klagomål.docx", "A 49680-2022")</f>
        <v/>
      </c>
      <c r="W147">
        <f>HYPERLINK("https://klasma.github.io/Logging_0140/klagomålsmail/A 49680-2022 FSC-klagomål mail.docx", "A 49680-2022")</f>
        <v/>
      </c>
      <c r="X147">
        <f>HYPERLINK("https://klasma.github.io/Logging_0140/tillsyn/A 49680-2022 tillsynsbegäran.docx", "A 49680-2022")</f>
        <v/>
      </c>
      <c r="Y147">
        <f>HYPERLINK("https://klasma.github.io/Logging_0140/tillsynsmail/A 49680-2022 tillsynsbegäran mail.docx", "A 49680-2022")</f>
        <v/>
      </c>
    </row>
    <row r="148" ht="15" customHeight="1">
      <c r="A148" t="inlineStr">
        <is>
          <t>A 50618-2022</t>
        </is>
      </c>
      <c r="B148" s="1" t="n">
        <v>44866</v>
      </c>
      <c r="C148" s="1" t="n">
        <v>45224</v>
      </c>
      <c r="D148" t="inlineStr">
        <is>
          <t>STOCKHOLMS LÄN</t>
        </is>
      </c>
      <c r="E148" t="inlineStr">
        <is>
          <t>NORRTÄLJE</t>
        </is>
      </c>
      <c r="G148" t="n">
        <v>7.8</v>
      </c>
      <c r="H148" t="n">
        <v>2</v>
      </c>
      <c r="I148" t="n">
        <v>2</v>
      </c>
      <c r="J148" t="n">
        <v>0</v>
      </c>
      <c r="K148" t="n">
        <v>0</v>
      </c>
      <c r="L148" t="n">
        <v>0</v>
      </c>
      <c r="M148" t="n">
        <v>0</v>
      </c>
      <c r="N148" t="n">
        <v>0</v>
      </c>
      <c r="O148" t="n">
        <v>0</v>
      </c>
      <c r="P148" t="n">
        <v>0</v>
      </c>
      <c r="Q148" t="n">
        <v>3</v>
      </c>
      <c r="R148" s="2" t="inlineStr">
        <is>
          <t>Skogsknipprot
Vårärt
Blåsippa</t>
        </is>
      </c>
      <c r="S148">
        <f>HYPERLINK("https://klasma.github.io/Logging_0188/artfynd/A 50618-2022 artfynd.xlsx", "A 50618-2022")</f>
        <v/>
      </c>
      <c r="T148">
        <f>HYPERLINK("https://klasma.github.io/Logging_0188/kartor/A 50618-2022 karta.png", "A 50618-2022")</f>
        <v/>
      </c>
      <c r="V148">
        <f>HYPERLINK("https://klasma.github.io/Logging_0188/klagomål/A 50618-2022 FSC-klagomål.docx", "A 50618-2022")</f>
        <v/>
      </c>
      <c r="W148">
        <f>HYPERLINK("https://klasma.github.io/Logging_0188/klagomålsmail/A 50618-2022 FSC-klagomål mail.docx", "A 50618-2022")</f>
        <v/>
      </c>
      <c r="X148">
        <f>HYPERLINK("https://klasma.github.io/Logging_0188/tillsyn/A 50618-2022 tillsynsbegäran.docx", "A 50618-2022")</f>
        <v/>
      </c>
      <c r="Y148">
        <f>HYPERLINK("https://klasma.github.io/Logging_0188/tillsynsmail/A 50618-2022 tillsynsbegäran mail.docx", "A 50618-2022")</f>
        <v/>
      </c>
    </row>
    <row r="149" ht="15" customHeight="1">
      <c r="A149" t="inlineStr">
        <is>
          <t>A 2851-2023</t>
        </is>
      </c>
      <c r="B149" s="1" t="n">
        <v>44945</v>
      </c>
      <c r="C149" s="1" t="n">
        <v>45224</v>
      </c>
      <c r="D149" t="inlineStr">
        <is>
          <t>STOCKHOLMS LÄN</t>
        </is>
      </c>
      <c r="E149" t="inlineStr">
        <is>
          <t>NORRTÄLJE</t>
        </is>
      </c>
      <c r="G149" t="n">
        <v>5.8</v>
      </c>
      <c r="H149" t="n">
        <v>1</v>
      </c>
      <c r="I149" t="n">
        <v>1</v>
      </c>
      <c r="J149" t="n">
        <v>2</v>
      </c>
      <c r="K149" t="n">
        <v>0</v>
      </c>
      <c r="L149" t="n">
        <v>0</v>
      </c>
      <c r="M149" t="n">
        <v>0</v>
      </c>
      <c r="N149" t="n">
        <v>0</v>
      </c>
      <c r="O149" t="n">
        <v>2</v>
      </c>
      <c r="P149" t="n">
        <v>0</v>
      </c>
      <c r="Q149" t="n">
        <v>3</v>
      </c>
      <c r="R149" s="2" t="inlineStr">
        <is>
          <t>Gulsparv
Vedflikmossa
Terpentinmossa</t>
        </is>
      </c>
      <c r="S149">
        <f>HYPERLINK("https://klasma.github.io/Logging_0188/artfynd/A 2851-2023 artfynd.xlsx", "A 2851-2023")</f>
        <v/>
      </c>
      <c r="T149">
        <f>HYPERLINK("https://klasma.github.io/Logging_0188/kartor/A 2851-2023 karta.png", "A 2851-2023")</f>
        <v/>
      </c>
      <c r="V149">
        <f>HYPERLINK("https://klasma.github.io/Logging_0188/klagomål/A 2851-2023 FSC-klagomål.docx", "A 2851-2023")</f>
        <v/>
      </c>
      <c r="W149">
        <f>HYPERLINK("https://klasma.github.io/Logging_0188/klagomålsmail/A 2851-2023 FSC-klagomål mail.docx", "A 2851-2023")</f>
        <v/>
      </c>
      <c r="X149">
        <f>HYPERLINK("https://klasma.github.io/Logging_0188/tillsyn/A 2851-2023 tillsynsbegäran.docx", "A 2851-2023")</f>
        <v/>
      </c>
      <c r="Y149">
        <f>HYPERLINK("https://klasma.github.io/Logging_0188/tillsynsmail/A 2851-2023 tillsynsbegäran mail.docx", "A 2851-2023")</f>
        <v/>
      </c>
    </row>
    <row r="150" ht="15" customHeight="1">
      <c r="A150" t="inlineStr">
        <is>
          <t>A 3552-2023</t>
        </is>
      </c>
      <c r="B150" s="1" t="n">
        <v>44950</v>
      </c>
      <c r="C150" s="1" t="n">
        <v>45224</v>
      </c>
      <c r="D150" t="inlineStr">
        <is>
          <t>STOCKHOLMS LÄN</t>
        </is>
      </c>
      <c r="E150" t="inlineStr">
        <is>
          <t>VALLENTUNA</t>
        </is>
      </c>
      <c r="G150" t="n">
        <v>8.800000000000001</v>
      </c>
      <c r="H150" t="n">
        <v>2</v>
      </c>
      <c r="I150" t="n">
        <v>1</v>
      </c>
      <c r="J150" t="n">
        <v>1</v>
      </c>
      <c r="K150" t="n">
        <v>0</v>
      </c>
      <c r="L150" t="n">
        <v>0</v>
      </c>
      <c r="M150" t="n">
        <v>0</v>
      </c>
      <c r="N150" t="n">
        <v>0</v>
      </c>
      <c r="O150" t="n">
        <v>1</v>
      </c>
      <c r="P150" t="n">
        <v>0</v>
      </c>
      <c r="Q150" t="n">
        <v>3</v>
      </c>
      <c r="R150" s="2" t="inlineStr">
        <is>
          <t>Kråka
Skogshakmossa
Blåsippa</t>
        </is>
      </c>
      <c r="S150">
        <f>HYPERLINK("https://klasma.github.io/Logging_0115/artfynd/A 3552-2023 artfynd.xlsx", "A 3552-2023")</f>
        <v/>
      </c>
      <c r="T150">
        <f>HYPERLINK("https://klasma.github.io/Logging_0115/kartor/A 3552-2023 karta.png", "A 3552-2023")</f>
        <v/>
      </c>
      <c r="V150">
        <f>HYPERLINK("https://klasma.github.io/Logging_0115/klagomål/A 3552-2023 FSC-klagomål.docx", "A 3552-2023")</f>
        <v/>
      </c>
      <c r="W150">
        <f>HYPERLINK("https://klasma.github.io/Logging_0115/klagomålsmail/A 3552-2023 FSC-klagomål mail.docx", "A 3552-2023")</f>
        <v/>
      </c>
      <c r="X150">
        <f>HYPERLINK("https://klasma.github.io/Logging_0115/tillsyn/A 3552-2023 tillsynsbegäran.docx", "A 3552-2023")</f>
        <v/>
      </c>
      <c r="Y150">
        <f>HYPERLINK("https://klasma.github.io/Logging_0115/tillsynsmail/A 3552-2023 tillsynsbegäran mail.docx", "A 3552-2023")</f>
        <v/>
      </c>
    </row>
    <row r="151" ht="15" customHeight="1">
      <c r="A151" t="inlineStr">
        <is>
          <t>A 6646-2023</t>
        </is>
      </c>
      <c r="B151" s="1" t="n">
        <v>44966</v>
      </c>
      <c r="C151" s="1" t="n">
        <v>45224</v>
      </c>
      <c r="D151" t="inlineStr">
        <is>
          <t>STOCKHOLMS LÄN</t>
        </is>
      </c>
      <c r="E151" t="inlineStr">
        <is>
          <t>HANINGE</t>
        </is>
      </c>
      <c r="G151" t="n">
        <v>6.9</v>
      </c>
      <c r="H151" t="n">
        <v>0</v>
      </c>
      <c r="I151" t="n">
        <v>2</v>
      </c>
      <c r="J151" t="n">
        <v>0</v>
      </c>
      <c r="K151" t="n">
        <v>0</v>
      </c>
      <c r="L151" t="n">
        <v>1</v>
      </c>
      <c r="M151" t="n">
        <v>0</v>
      </c>
      <c r="N151" t="n">
        <v>0</v>
      </c>
      <c r="O151" t="n">
        <v>1</v>
      </c>
      <c r="P151" t="n">
        <v>1</v>
      </c>
      <c r="Q151" t="n">
        <v>3</v>
      </c>
      <c r="R151" s="2" t="inlineStr">
        <is>
          <t>Ask
Stubbspretmossa
Tibast</t>
        </is>
      </c>
      <c r="S151">
        <f>HYPERLINK("https://klasma.github.io/Logging_0136/artfynd/A 6646-2023 artfynd.xlsx", "A 6646-2023")</f>
        <v/>
      </c>
      <c r="T151">
        <f>HYPERLINK("https://klasma.github.io/Logging_0136/kartor/A 6646-2023 karta.png", "A 6646-2023")</f>
        <v/>
      </c>
      <c r="V151">
        <f>HYPERLINK("https://klasma.github.io/Logging_0136/klagomål/A 6646-2023 FSC-klagomål.docx", "A 6646-2023")</f>
        <v/>
      </c>
      <c r="W151">
        <f>HYPERLINK("https://klasma.github.io/Logging_0136/klagomålsmail/A 6646-2023 FSC-klagomål mail.docx", "A 6646-2023")</f>
        <v/>
      </c>
      <c r="X151">
        <f>HYPERLINK("https://klasma.github.io/Logging_0136/tillsyn/A 6646-2023 tillsynsbegäran.docx", "A 6646-2023")</f>
        <v/>
      </c>
      <c r="Y151">
        <f>HYPERLINK("https://klasma.github.io/Logging_0136/tillsynsmail/A 6646-2023 tillsynsbegäran mail.docx", "A 6646-2023")</f>
        <v/>
      </c>
    </row>
    <row r="152" ht="15" customHeight="1">
      <c r="A152" t="inlineStr">
        <is>
          <t>A 13237-2023</t>
        </is>
      </c>
      <c r="B152" s="1" t="n">
        <v>45002</v>
      </c>
      <c r="C152" s="1" t="n">
        <v>45224</v>
      </c>
      <c r="D152" t="inlineStr">
        <is>
          <t>STOCKHOLMS LÄN</t>
        </is>
      </c>
      <c r="E152" t="inlineStr">
        <is>
          <t>EKERÖ</t>
        </is>
      </c>
      <c r="F152" t="inlineStr">
        <is>
          <t>Kommuner</t>
        </is>
      </c>
      <c r="G152" t="n">
        <v>9.300000000000001</v>
      </c>
      <c r="H152" t="n">
        <v>1</v>
      </c>
      <c r="I152" t="n">
        <v>1</v>
      </c>
      <c r="J152" t="n">
        <v>1</v>
      </c>
      <c r="K152" t="n">
        <v>0</v>
      </c>
      <c r="L152" t="n">
        <v>0</v>
      </c>
      <c r="M152" t="n">
        <v>0</v>
      </c>
      <c r="N152" t="n">
        <v>0</v>
      </c>
      <c r="O152" t="n">
        <v>1</v>
      </c>
      <c r="P152" t="n">
        <v>0</v>
      </c>
      <c r="Q152" t="n">
        <v>3</v>
      </c>
      <c r="R152" s="2" t="inlineStr">
        <is>
          <t>Tallticka
Granbarkgnagare
Blåsippa</t>
        </is>
      </c>
      <c r="S152">
        <f>HYPERLINK("https://klasma.github.io/Logging_0125/artfynd/A 13237-2023 artfynd.xlsx", "A 13237-2023")</f>
        <v/>
      </c>
      <c r="T152">
        <f>HYPERLINK("https://klasma.github.io/Logging_0125/kartor/A 13237-2023 karta.png", "A 13237-2023")</f>
        <v/>
      </c>
      <c r="V152">
        <f>HYPERLINK("https://klasma.github.io/Logging_0125/klagomål/A 13237-2023 FSC-klagomål.docx", "A 13237-2023")</f>
        <v/>
      </c>
      <c r="W152">
        <f>HYPERLINK("https://klasma.github.io/Logging_0125/klagomålsmail/A 13237-2023 FSC-klagomål mail.docx", "A 13237-2023")</f>
        <v/>
      </c>
      <c r="X152">
        <f>HYPERLINK("https://klasma.github.io/Logging_0125/tillsyn/A 13237-2023 tillsynsbegäran.docx", "A 13237-2023")</f>
        <v/>
      </c>
      <c r="Y152">
        <f>HYPERLINK("https://klasma.github.io/Logging_0125/tillsynsmail/A 13237-2023 tillsynsbegäran mail.docx", "A 13237-2023")</f>
        <v/>
      </c>
    </row>
    <row r="153" ht="15" customHeight="1">
      <c r="A153" t="inlineStr">
        <is>
          <t>A 17916-2023</t>
        </is>
      </c>
      <c r="B153" s="1" t="n">
        <v>45040</v>
      </c>
      <c r="C153" s="1" t="n">
        <v>45224</v>
      </c>
      <c r="D153" t="inlineStr">
        <is>
          <t>STOCKHOLMS LÄN</t>
        </is>
      </c>
      <c r="E153" t="inlineStr">
        <is>
          <t>NORRTÄLJE</t>
        </is>
      </c>
      <c r="G153" t="n">
        <v>9.1</v>
      </c>
      <c r="H153" t="n">
        <v>1</v>
      </c>
      <c r="I153" t="n">
        <v>2</v>
      </c>
      <c r="J153" t="n">
        <v>0</v>
      </c>
      <c r="K153" t="n">
        <v>0</v>
      </c>
      <c r="L153" t="n">
        <v>0</v>
      </c>
      <c r="M153" t="n">
        <v>0</v>
      </c>
      <c r="N153" t="n">
        <v>0</v>
      </c>
      <c r="O153" t="n">
        <v>0</v>
      </c>
      <c r="P153" t="n">
        <v>0</v>
      </c>
      <c r="Q153" t="n">
        <v>3</v>
      </c>
      <c r="R153" s="2" t="inlineStr">
        <is>
          <t>Skarp dropptaggsvamp
Sårläka
Blåsippa</t>
        </is>
      </c>
      <c r="S153">
        <f>HYPERLINK("https://klasma.github.io/Logging_0188/artfynd/A 17916-2023 artfynd.xlsx", "A 17916-2023")</f>
        <v/>
      </c>
      <c r="T153">
        <f>HYPERLINK("https://klasma.github.io/Logging_0188/kartor/A 17916-2023 karta.png", "A 17916-2023")</f>
        <v/>
      </c>
      <c r="V153">
        <f>HYPERLINK("https://klasma.github.io/Logging_0188/klagomål/A 17916-2023 FSC-klagomål.docx", "A 17916-2023")</f>
        <v/>
      </c>
      <c r="W153">
        <f>HYPERLINK("https://klasma.github.io/Logging_0188/klagomålsmail/A 17916-2023 FSC-klagomål mail.docx", "A 17916-2023")</f>
        <v/>
      </c>
      <c r="X153">
        <f>HYPERLINK("https://klasma.github.io/Logging_0188/tillsyn/A 17916-2023 tillsynsbegäran.docx", "A 17916-2023")</f>
        <v/>
      </c>
      <c r="Y153">
        <f>HYPERLINK("https://klasma.github.io/Logging_0188/tillsynsmail/A 17916-2023 tillsynsbegäran mail.docx", "A 17916-2023")</f>
        <v/>
      </c>
    </row>
    <row r="154" ht="15" customHeight="1">
      <c r="A154" t="inlineStr">
        <is>
          <t>A 32041-2023</t>
        </is>
      </c>
      <c r="B154" s="1" t="n">
        <v>45119</v>
      </c>
      <c r="C154" s="1" t="n">
        <v>45224</v>
      </c>
      <c r="D154" t="inlineStr">
        <is>
          <t>STOCKHOLMS LÄN</t>
        </is>
      </c>
      <c r="E154" t="inlineStr">
        <is>
          <t>SÖDERTÄLJE</t>
        </is>
      </c>
      <c r="F154" t="inlineStr">
        <is>
          <t>Sveaskog</t>
        </is>
      </c>
      <c r="G154" t="n">
        <v>1</v>
      </c>
      <c r="H154" t="n">
        <v>0</v>
      </c>
      <c r="I154" t="n">
        <v>0</v>
      </c>
      <c r="J154" t="n">
        <v>2</v>
      </c>
      <c r="K154" t="n">
        <v>0</v>
      </c>
      <c r="L154" t="n">
        <v>1</v>
      </c>
      <c r="M154" t="n">
        <v>0</v>
      </c>
      <c r="N154" t="n">
        <v>0</v>
      </c>
      <c r="O154" t="n">
        <v>3</v>
      </c>
      <c r="P154" t="n">
        <v>1</v>
      </c>
      <c r="Q154" t="n">
        <v>3</v>
      </c>
      <c r="R154" s="2" t="inlineStr">
        <is>
          <t>Stor bockrot
Krusfrö
Svinrot</t>
        </is>
      </c>
      <c r="S154">
        <f>HYPERLINK("https://klasma.github.io/Logging_0181/artfynd/A 32041-2023 artfynd.xlsx", "A 32041-2023")</f>
        <v/>
      </c>
      <c r="T154">
        <f>HYPERLINK("https://klasma.github.io/Logging_0181/kartor/A 32041-2023 karta.png", "A 32041-2023")</f>
        <v/>
      </c>
      <c r="V154">
        <f>HYPERLINK("https://klasma.github.io/Logging_0181/klagomål/A 32041-2023 FSC-klagomål.docx", "A 32041-2023")</f>
        <v/>
      </c>
      <c r="W154">
        <f>HYPERLINK("https://klasma.github.io/Logging_0181/klagomålsmail/A 32041-2023 FSC-klagomål mail.docx", "A 32041-2023")</f>
        <v/>
      </c>
      <c r="X154">
        <f>HYPERLINK("https://klasma.github.io/Logging_0181/tillsyn/A 32041-2023 tillsynsbegäran.docx", "A 32041-2023")</f>
        <v/>
      </c>
      <c r="Y154">
        <f>HYPERLINK("https://klasma.github.io/Logging_0181/tillsynsmail/A 32041-2023 tillsynsbegäran mail.docx", "A 32041-2023")</f>
        <v/>
      </c>
    </row>
    <row r="155" ht="15" customHeight="1">
      <c r="A155" t="inlineStr">
        <is>
          <t>A 33166-2023</t>
        </is>
      </c>
      <c r="B155" s="1" t="n">
        <v>45126</v>
      </c>
      <c r="C155" s="1" t="n">
        <v>45224</v>
      </c>
      <c r="D155" t="inlineStr">
        <is>
          <t>STOCKHOLMS LÄN</t>
        </is>
      </c>
      <c r="E155" t="inlineStr">
        <is>
          <t>VÄRMDÖ</t>
        </is>
      </c>
      <c r="G155" t="n">
        <v>3.8</v>
      </c>
      <c r="H155" t="n">
        <v>0</v>
      </c>
      <c r="I155" t="n">
        <v>0</v>
      </c>
      <c r="J155" t="n">
        <v>3</v>
      </c>
      <c r="K155" t="n">
        <v>0</v>
      </c>
      <c r="L155" t="n">
        <v>0</v>
      </c>
      <c r="M155" t="n">
        <v>0</v>
      </c>
      <c r="N155" t="n">
        <v>0</v>
      </c>
      <c r="O155" t="n">
        <v>3</v>
      </c>
      <c r="P155" t="n">
        <v>0</v>
      </c>
      <c r="Q155" t="n">
        <v>3</v>
      </c>
      <c r="R155" s="2" t="inlineStr">
        <is>
          <t>Backklöver
Gullklöver
Vippärt</t>
        </is>
      </c>
      <c r="S155">
        <f>HYPERLINK("https://klasma.github.io/Logging_0120/artfynd/A 33166-2023 artfynd.xlsx", "A 33166-2023")</f>
        <v/>
      </c>
      <c r="T155">
        <f>HYPERLINK("https://klasma.github.io/Logging_0120/kartor/A 33166-2023 karta.png", "A 33166-2023")</f>
        <v/>
      </c>
      <c r="V155">
        <f>HYPERLINK("https://klasma.github.io/Logging_0120/klagomål/A 33166-2023 FSC-klagomål.docx", "A 33166-2023")</f>
        <v/>
      </c>
      <c r="W155">
        <f>HYPERLINK("https://klasma.github.io/Logging_0120/klagomålsmail/A 33166-2023 FSC-klagomål mail.docx", "A 33166-2023")</f>
        <v/>
      </c>
      <c r="X155">
        <f>HYPERLINK("https://klasma.github.io/Logging_0120/tillsyn/A 33166-2023 tillsynsbegäran.docx", "A 33166-2023")</f>
        <v/>
      </c>
      <c r="Y155">
        <f>HYPERLINK("https://klasma.github.io/Logging_0120/tillsynsmail/A 33166-2023 tillsynsbegäran mail.docx", "A 33166-2023")</f>
        <v/>
      </c>
    </row>
    <row r="156" ht="15" customHeight="1">
      <c r="A156" t="inlineStr">
        <is>
          <t>A 35421-2023</t>
        </is>
      </c>
      <c r="B156" s="1" t="n">
        <v>45146</v>
      </c>
      <c r="C156" s="1" t="n">
        <v>45224</v>
      </c>
      <c r="D156" t="inlineStr">
        <is>
          <t>STOCKHOLMS LÄN</t>
        </is>
      </c>
      <c r="E156" t="inlineStr">
        <is>
          <t>SALEM</t>
        </is>
      </c>
      <c r="F156" t="inlineStr">
        <is>
          <t>Kommuner</t>
        </is>
      </c>
      <c r="G156" t="n">
        <v>5.8</v>
      </c>
      <c r="H156" t="n">
        <v>0</v>
      </c>
      <c r="I156" t="n">
        <v>3</v>
      </c>
      <c r="J156" t="n">
        <v>0</v>
      </c>
      <c r="K156" t="n">
        <v>0</v>
      </c>
      <c r="L156" t="n">
        <v>0</v>
      </c>
      <c r="M156" t="n">
        <v>0</v>
      </c>
      <c r="N156" t="n">
        <v>0</v>
      </c>
      <c r="O156" t="n">
        <v>0</v>
      </c>
      <c r="P156" t="n">
        <v>0</v>
      </c>
      <c r="Q156" t="n">
        <v>3</v>
      </c>
      <c r="R156" s="2" t="inlineStr">
        <is>
          <t>Dropptaggsvamp
Granbarkgnagare
Grovticka</t>
        </is>
      </c>
      <c r="S156">
        <f>HYPERLINK("https://klasma.github.io/Logging_0128/artfynd/A 35421-2023 artfynd.xlsx", "A 35421-2023")</f>
        <v/>
      </c>
      <c r="T156">
        <f>HYPERLINK("https://klasma.github.io/Logging_0128/kartor/A 35421-2023 karta.png", "A 35421-2023")</f>
        <v/>
      </c>
      <c r="V156">
        <f>HYPERLINK("https://klasma.github.io/Logging_0128/klagomål/A 35421-2023 FSC-klagomål.docx", "A 35421-2023")</f>
        <v/>
      </c>
      <c r="W156">
        <f>HYPERLINK("https://klasma.github.io/Logging_0128/klagomålsmail/A 35421-2023 FSC-klagomål mail.docx", "A 35421-2023")</f>
        <v/>
      </c>
      <c r="X156">
        <f>HYPERLINK("https://klasma.github.io/Logging_0128/tillsyn/A 35421-2023 tillsynsbegäran.docx", "A 35421-2023")</f>
        <v/>
      </c>
      <c r="Y156">
        <f>HYPERLINK("https://klasma.github.io/Logging_0128/tillsynsmail/A 35421-2023 tillsynsbegäran mail.docx", "A 35421-2023")</f>
        <v/>
      </c>
    </row>
    <row r="157" ht="15" customHeight="1">
      <c r="A157" t="inlineStr">
        <is>
          <t>A 36662-2023</t>
        </is>
      </c>
      <c r="B157" s="1" t="n">
        <v>45153</v>
      </c>
      <c r="C157" s="1" t="n">
        <v>45224</v>
      </c>
      <c r="D157" t="inlineStr">
        <is>
          <t>STOCKHOLMS LÄN</t>
        </is>
      </c>
      <c r="E157" t="inlineStr">
        <is>
          <t>NORRTÄLJE</t>
        </is>
      </c>
      <c r="G157" t="n">
        <v>3.1</v>
      </c>
      <c r="H157" t="n">
        <v>1</v>
      </c>
      <c r="I157" t="n">
        <v>2</v>
      </c>
      <c r="J157" t="n">
        <v>1</v>
      </c>
      <c r="K157" t="n">
        <v>0</v>
      </c>
      <c r="L157" t="n">
        <v>0</v>
      </c>
      <c r="M157" t="n">
        <v>0</v>
      </c>
      <c r="N157" t="n">
        <v>0</v>
      </c>
      <c r="O157" t="n">
        <v>1</v>
      </c>
      <c r="P157" t="n">
        <v>0</v>
      </c>
      <c r="Q157" t="n">
        <v>3</v>
      </c>
      <c r="R157" s="2" t="inlineStr">
        <is>
          <t>Svartvit taggsvamp
Skogsknipprot
Svavelriska</t>
        </is>
      </c>
      <c r="S157">
        <f>HYPERLINK("https://klasma.github.io/Logging_0188/artfynd/A 36662-2023 artfynd.xlsx", "A 36662-2023")</f>
        <v/>
      </c>
      <c r="T157">
        <f>HYPERLINK("https://klasma.github.io/Logging_0188/kartor/A 36662-2023 karta.png", "A 36662-2023")</f>
        <v/>
      </c>
      <c r="V157">
        <f>HYPERLINK("https://klasma.github.io/Logging_0188/klagomål/A 36662-2023 FSC-klagomål.docx", "A 36662-2023")</f>
        <v/>
      </c>
      <c r="W157">
        <f>HYPERLINK("https://klasma.github.io/Logging_0188/klagomålsmail/A 36662-2023 FSC-klagomål mail.docx", "A 36662-2023")</f>
        <v/>
      </c>
      <c r="X157">
        <f>HYPERLINK("https://klasma.github.io/Logging_0188/tillsyn/A 36662-2023 tillsynsbegäran.docx", "A 36662-2023")</f>
        <v/>
      </c>
      <c r="Y157">
        <f>HYPERLINK("https://klasma.github.io/Logging_0188/tillsynsmail/A 36662-2023 tillsynsbegäran mail.docx", "A 36662-2023")</f>
        <v/>
      </c>
    </row>
    <row r="158" ht="15" customHeight="1">
      <c r="A158" t="inlineStr">
        <is>
          <t>A 45734-2018</t>
        </is>
      </c>
      <c r="B158" s="1" t="n">
        <v>43364</v>
      </c>
      <c r="C158" s="1" t="n">
        <v>45224</v>
      </c>
      <c r="D158" t="inlineStr">
        <is>
          <t>STOCKHOLMS LÄN</t>
        </is>
      </c>
      <c r="E158" t="inlineStr">
        <is>
          <t>HANINGE</t>
        </is>
      </c>
      <c r="G158" t="n">
        <v>12.1</v>
      </c>
      <c r="H158" t="n">
        <v>0</v>
      </c>
      <c r="I158" t="n">
        <v>2</v>
      </c>
      <c r="J158" t="n">
        <v>0</v>
      </c>
      <c r="K158" t="n">
        <v>0</v>
      </c>
      <c r="L158" t="n">
        <v>0</v>
      </c>
      <c r="M158" t="n">
        <v>0</v>
      </c>
      <c r="N158" t="n">
        <v>0</v>
      </c>
      <c r="O158" t="n">
        <v>0</v>
      </c>
      <c r="P158" t="n">
        <v>0</v>
      </c>
      <c r="Q158" t="n">
        <v>2</v>
      </c>
      <c r="R158" s="2" t="inlineStr">
        <is>
          <t>Blåmossa
Grovticka</t>
        </is>
      </c>
      <c r="S158">
        <f>HYPERLINK("https://klasma.github.io/Logging_0136/artfynd/A 45734-2018 artfynd.xlsx", "A 45734-2018")</f>
        <v/>
      </c>
      <c r="T158">
        <f>HYPERLINK("https://klasma.github.io/Logging_0136/kartor/A 45734-2018 karta.png", "A 45734-2018")</f>
        <v/>
      </c>
      <c r="V158">
        <f>HYPERLINK("https://klasma.github.io/Logging_0136/klagomål/A 45734-2018 FSC-klagomål.docx", "A 45734-2018")</f>
        <v/>
      </c>
      <c r="W158">
        <f>HYPERLINK("https://klasma.github.io/Logging_0136/klagomålsmail/A 45734-2018 FSC-klagomål mail.docx", "A 45734-2018")</f>
        <v/>
      </c>
      <c r="X158">
        <f>HYPERLINK("https://klasma.github.io/Logging_0136/tillsyn/A 45734-2018 tillsynsbegäran.docx", "A 45734-2018")</f>
        <v/>
      </c>
      <c r="Y158">
        <f>HYPERLINK("https://klasma.github.io/Logging_0136/tillsynsmail/A 45734-2018 tillsynsbegäran mail.docx", "A 45734-2018")</f>
        <v/>
      </c>
    </row>
    <row r="159" ht="15" customHeight="1">
      <c r="A159" t="inlineStr">
        <is>
          <t>A 745-2019</t>
        </is>
      </c>
      <c r="B159" s="1" t="n">
        <v>43471</v>
      </c>
      <c r="C159" s="1" t="n">
        <v>45224</v>
      </c>
      <c r="D159" t="inlineStr">
        <is>
          <t>STOCKHOLMS LÄN</t>
        </is>
      </c>
      <c r="E159" t="inlineStr">
        <is>
          <t>NORRTÄLJE</t>
        </is>
      </c>
      <c r="G159" t="n">
        <v>2.2</v>
      </c>
      <c r="H159" t="n">
        <v>0</v>
      </c>
      <c r="I159" t="n">
        <v>2</v>
      </c>
      <c r="J159" t="n">
        <v>0</v>
      </c>
      <c r="K159" t="n">
        <v>0</v>
      </c>
      <c r="L159" t="n">
        <v>0</v>
      </c>
      <c r="M159" t="n">
        <v>0</v>
      </c>
      <c r="N159" t="n">
        <v>0</v>
      </c>
      <c r="O159" t="n">
        <v>0</v>
      </c>
      <c r="P159" t="n">
        <v>0</v>
      </c>
      <c r="Q159" t="n">
        <v>2</v>
      </c>
      <c r="R159" s="2" t="inlineStr">
        <is>
          <t>Stubbspretmossa
Sårläka</t>
        </is>
      </c>
      <c r="S159">
        <f>HYPERLINK("https://klasma.github.io/Logging_0188/artfynd/A 745-2019 artfynd.xlsx", "A 745-2019")</f>
        <v/>
      </c>
      <c r="T159">
        <f>HYPERLINK("https://klasma.github.io/Logging_0188/kartor/A 745-2019 karta.png", "A 745-2019")</f>
        <v/>
      </c>
      <c r="V159">
        <f>HYPERLINK("https://klasma.github.io/Logging_0188/klagomål/A 745-2019 FSC-klagomål.docx", "A 745-2019")</f>
        <v/>
      </c>
      <c r="W159">
        <f>HYPERLINK("https://klasma.github.io/Logging_0188/klagomålsmail/A 745-2019 FSC-klagomål mail.docx", "A 745-2019")</f>
        <v/>
      </c>
      <c r="X159">
        <f>HYPERLINK("https://klasma.github.io/Logging_0188/tillsyn/A 745-2019 tillsynsbegäran.docx", "A 745-2019")</f>
        <v/>
      </c>
      <c r="Y159">
        <f>HYPERLINK("https://klasma.github.io/Logging_0188/tillsynsmail/A 745-2019 tillsynsbegäran mail.docx", "A 745-2019")</f>
        <v/>
      </c>
    </row>
    <row r="160" ht="15" customHeight="1">
      <c r="A160" t="inlineStr">
        <is>
          <t>A 4798-2019</t>
        </is>
      </c>
      <c r="B160" s="1" t="n">
        <v>43486</v>
      </c>
      <c r="C160" s="1" t="n">
        <v>45224</v>
      </c>
      <c r="D160" t="inlineStr">
        <is>
          <t>STOCKHOLMS LÄN</t>
        </is>
      </c>
      <c r="E160" t="inlineStr">
        <is>
          <t>VÄRMDÖ</t>
        </is>
      </c>
      <c r="F160" t="inlineStr">
        <is>
          <t>Övriga Aktiebolag</t>
        </is>
      </c>
      <c r="G160" t="n">
        <v>1.1</v>
      </c>
      <c r="H160" t="n">
        <v>2</v>
      </c>
      <c r="I160" t="n">
        <v>0</v>
      </c>
      <c r="J160" t="n">
        <v>0</v>
      </c>
      <c r="K160" t="n">
        <v>0</v>
      </c>
      <c r="L160" t="n">
        <v>1</v>
      </c>
      <c r="M160" t="n">
        <v>0</v>
      </c>
      <c r="N160" t="n">
        <v>0</v>
      </c>
      <c r="O160" t="n">
        <v>1</v>
      </c>
      <c r="P160" t="n">
        <v>1</v>
      </c>
      <c r="Q160" t="n">
        <v>2</v>
      </c>
      <c r="R160" s="2" t="inlineStr">
        <is>
          <t>Grönfink
Kopparödla</t>
        </is>
      </c>
      <c r="S160">
        <f>HYPERLINK("https://klasma.github.io/Logging_0120/artfynd/A 4798-2019 artfynd.xlsx", "A 4798-2019")</f>
        <v/>
      </c>
      <c r="T160">
        <f>HYPERLINK("https://klasma.github.io/Logging_0120/kartor/A 4798-2019 karta.png", "A 4798-2019")</f>
        <v/>
      </c>
      <c r="V160">
        <f>HYPERLINK("https://klasma.github.io/Logging_0120/klagomål/A 4798-2019 FSC-klagomål.docx", "A 4798-2019")</f>
        <v/>
      </c>
      <c r="W160">
        <f>HYPERLINK("https://klasma.github.io/Logging_0120/klagomålsmail/A 4798-2019 FSC-klagomål mail.docx", "A 4798-2019")</f>
        <v/>
      </c>
      <c r="X160">
        <f>HYPERLINK("https://klasma.github.io/Logging_0120/tillsyn/A 4798-2019 tillsynsbegäran.docx", "A 4798-2019")</f>
        <v/>
      </c>
      <c r="Y160">
        <f>HYPERLINK("https://klasma.github.io/Logging_0120/tillsynsmail/A 4798-2019 tillsynsbegäran mail.docx", "A 4798-2019")</f>
        <v/>
      </c>
    </row>
    <row r="161" ht="15" customHeight="1">
      <c r="A161" t="inlineStr">
        <is>
          <t>A 4952-2019</t>
        </is>
      </c>
      <c r="B161" s="1" t="n">
        <v>43486</v>
      </c>
      <c r="C161" s="1" t="n">
        <v>45224</v>
      </c>
      <c r="D161" t="inlineStr">
        <is>
          <t>STOCKHOLMS LÄN</t>
        </is>
      </c>
      <c r="E161" t="inlineStr">
        <is>
          <t>VALLENTUNA</t>
        </is>
      </c>
      <c r="G161" t="n">
        <v>12.6</v>
      </c>
      <c r="H161" t="n">
        <v>0</v>
      </c>
      <c r="I161" t="n">
        <v>1</v>
      </c>
      <c r="J161" t="n">
        <v>1</v>
      </c>
      <c r="K161" t="n">
        <v>0</v>
      </c>
      <c r="L161" t="n">
        <v>0</v>
      </c>
      <c r="M161" t="n">
        <v>0</v>
      </c>
      <c r="N161" t="n">
        <v>0</v>
      </c>
      <c r="O161" t="n">
        <v>1</v>
      </c>
      <c r="P161" t="n">
        <v>0</v>
      </c>
      <c r="Q161" t="n">
        <v>2</v>
      </c>
      <c r="R161" s="2" t="inlineStr">
        <is>
          <t>Gullklöver
Hasselticka</t>
        </is>
      </c>
      <c r="S161">
        <f>HYPERLINK("https://klasma.github.io/Logging_0115/artfynd/A 4952-2019 artfynd.xlsx", "A 4952-2019")</f>
        <v/>
      </c>
      <c r="T161">
        <f>HYPERLINK("https://klasma.github.io/Logging_0115/kartor/A 4952-2019 karta.png", "A 4952-2019")</f>
        <v/>
      </c>
      <c r="V161">
        <f>HYPERLINK("https://klasma.github.io/Logging_0115/klagomål/A 4952-2019 FSC-klagomål.docx", "A 4952-2019")</f>
        <v/>
      </c>
      <c r="W161">
        <f>HYPERLINK("https://klasma.github.io/Logging_0115/klagomålsmail/A 4952-2019 FSC-klagomål mail.docx", "A 4952-2019")</f>
        <v/>
      </c>
      <c r="X161">
        <f>HYPERLINK("https://klasma.github.io/Logging_0115/tillsyn/A 4952-2019 tillsynsbegäran.docx", "A 4952-2019")</f>
        <v/>
      </c>
      <c r="Y161">
        <f>HYPERLINK("https://klasma.github.io/Logging_0115/tillsynsmail/A 4952-2019 tillsynsbegäran mail.docx", "A 4952-2019")</f>
        <v/>
      </c>
    </row>
    <row r="162" ht="15" customHeight="1">
      <c r="A162" t="inlineStr">
        <is>
          <t>A 7137-2019</t>
        </is>
      </c>
      <c r="B162" s="1" t="n">
        <v>43489</v>
      </c>
      <c r="C162" s="1" t="n">
        <v>45224</v>
      </c>
      <c r="D162" t="inlineStr">
        <is>
          <t>STOCKHOLMS LÄN</t>
        </is>
      </c>
      <c r="E162" t="inlineStr">
        <is>
          <t>NORRTÄLJE</t>
        </is>
      </c>
      <c r="G162" t="n">
        <v>6.5</v>
      </c>
      <c r="H162" t="n">
        <v>0</v>
      </c>
      <c r="I162" t="n">
        <v>1</v>
      </c>
      <c r="J162" t="n">
        <v>1</v>
      </c>
      <c r="K162" t="n">
        <v>0</v>
      </c>
      <c r="L162" t="n">
        <v>0</v>
      </c>
      <c r="M162" t="n">
        <v>0</v>
      </c>
      <c r="N162" t="n">
        <v>0</v>
      </c>
      <c r="O162" t="n">
        <v>1</v>
      </c>
      <c r="P162" t="n">
        <v>0</v>
      </c>
      <c r="Q162" t="n">
        <v>2</v>
      </c>
      <c r="R162" s="2" t="inlineStr">
        <is>
          <t>Granticka
Scharlakansvårskål agg.</t>
        </is>
      </c>
      <c r="S162">
        <f>HYPERLINK("https://klasma.github.io/Logging_0188/artfynd/A 7137-2019 artfynd.xlsx", "A 7137-2019")</f>
        <v/>
      </c>
      <c r="T162">
        <f>HYPERLINK("https://klasma.github.io/Logging_0188/kartor/A 7137-2019 karta.png", "A 7137-2019")</f>
        <v/>
      </c>
      <c r="V162">
        <f>HYPERLINK("https://klasma.github.io/Logging_0188/klagomål/A 7137-2019 FSC-klagomål.docx", "A 7137-2019")</f>
        <v/>
      </c>
      <c r="W162">
        <f>HYPERLINK("https://klasma.github.io/Logging_0188/klagomålsmail/A 7137-2019 FSC-klagomål mail.docx", "A 7137-2019")</f>
        <v/>
      </c>
      <c r="X162">
        <f>HYPERLINK("https://klasma.github.io/Logging_0188/tillsyn/A 7137-2019 tillsynsbegäran.docx", "A 7137-2019")</f>
        <v/>
      </c>
      <c r="Y162">
        <f>HYPERLINK("https://klasma.github.io/Logging_0188/tillsynsmail/A 7137-2019 tillsynsbegäran mail.docx", "A 7137-2019")</f>
        <v/>
      </c>
    </row>
    <row r="163" ht="15" customHeight="1">
      <c r="A163" t="inlineStr">
        <is>
          <t>A 6072-2019</t>
        </is>
      </c>
      <c r="B163" s="1" t="n">
        <v>43493</v>
      </c>
      <c r="C163" s="1" t="n">
        <v>45224</v>
      </c>
      <c r="D163" t="inlineStr">
        <is>
          <t>STOCKHOLMS LÄN</t>
        </is>
      </c>
      <c r="E163" t="inlineStr">
        <is>
          <t>NORRTÄLJE</t>
        </is>
      </c>
      <c r="G163" t="n">
        <v>2.9</v>
      </c>
      <c r="H163" t="n">
        <v>0</v>
      </c>
      <c r="I163" t="n">
        <v>1</v>
      </c>
      <c r="J163" t="n">
        <v>0</v>
      </c>
      <c r="K163" t="n">
        <v>1</v>
      </c>
      <c r="L163" t="n">
        <v>0</v>
      </c>
      <c r="M163" t="n">
        <v>0</v>
      </c>
      <c r="N163" t="n">
        <v>0</v>
      </c>
      <c r="O163" t="n">
        <v>1</v>
      </c>
      <c r="P163" t="n">
        <v>1</v>
      </c>
      <c r="Q163" t="n">
        <v>2</v>
      </c>
      <c r="R163" s="2" t="inlineStr">
        <is>
          <t>Aspfjädermossa
Skinnlav</t>
        </is>
      </c>
      <c r="S163">
        <f>HYPERLINK("https://klasma.github.io/Logging_0188/artfynd/A 6072-2019 artfynd.xlsx", "A 6072-2019")</f>
        <v/>
      </c>
      <c r="T163">
        <f>HYPERLINK("https://klasma.github.io/Logging_0188/kartor/A 6072-2019 karta.png", "A 6072-2019")</f>
        <v/>
      </c>
      <c r="V163">
        <f>HYPERLINK("https://klasma.github.io/Logging_0188/klagomål/A 6072-2019 FSC-klagomål.docx", "A 6072-2019")</f>
        <v/>
      </c>
      <c r="W163">
        <f>HYPERLINK("https://klasma.github.io/Logging_0188/klagomålsmail/A 6072-2019 FSC-klagomål mail.docx", "A 6072-2019")</f>
        <v/>
      </c>
      <c r="X163">
        <f>HYPERLINK("https://klasma.github.io/Logging_0188/tillsyn/A 6072-2019 tillsynsbegäran.docx", "A 6072-2019")</f>
        <v/>
      </c>
      <c r="Y163">
        <f>HYPERLINK("https://klasma.github.io/Logging_0188/tillsynsmail/A 6072-2019 tillsynsbegäran mail.docx", "A 6072-2019")</f>
        <v/>
      </c>
    </row>
    <row r="164" ht="15" customHeight="1">
      <c r="A164" t="inlineStr">
        <is>
          <t>A 7672-2019</t>
        </is>
      </c>
      <c r="B164" s="1" t="n">
        <v>43500</v>
      </c>
      <c r="C164" s="1" t="n">
        <v>45224</v>
      </c>
      <c r="D164" t="inlineStr">
        <is>
          <t>STOCKHOLMS LÄN</t>
        </is>
      </c>
      <c r="E164" t="inlineStr">
        <is>
          <t>NORRTÄLJE</t>
        </is>
      </c>
      <c r="F164" t="inlineStr">
        <is>
          <t>Holmen skog AB</t>
        </is>
      </c>
      <c r="G164" t="n">
        <v>1</v>
      </c>
      <c r="H164" t="n">
        <v>2</v>
      </c>
      <c r="I164" t="n">
        <v>0</v>
      </c>
      <c r="J164" t="n">
        <v>1</v>
      </c>
      <c r="K164" t="n">
        <v>0</v>
      </c>
      <c r="L164" t="n">
        <v>0</v>
      </c>
      <c r="M164" t="n">
        <v>0</v>
      </c>
      <c r="N164" t="n">
        <v>0</v>
      </c>
      <c r="O164" t="n">
        <v>1</v>
      </c>
      <c r="P164" t="n">
        <v>0</v>
      </c>
      <c r="Q164" t="n">
        <v>2</v>
      </c>
      <c r="R164" s="2" t="inlineStr">
        <is>
          <t>Nordfladdermus
Dvärgpipistrell</t>
        </is>
      </c>
      <c r="S164">
        <f>HYPERLINK("https://klasma.github.io/Logging_0188/artfynd/A 7672-2019 artfynd.xlsx", "A 7672-2019")</f>
        <v/>
      </c>
      <c r="T164">
        <f>HYPERLINK("https://klasma.github.io/Logging_0188/kartor/A 7672-2019 karta.png", "A 7672-2019")</f>
        <v/>
      </c>
      <c r="V164">
        <f>HYPERLINK("https://klasma.github.io/Logging_0188/klagomål/A 7672-2019 FSC-klagomål.docx", "A 7672-2019")</f>
        <v/>
      </c>
      <c r="W164">
        <f>HYPERLINK("https://klasma.github.io/Logging_0188/klagomålsmail/A 7672-2019 FSC-klagomål mail.docx", "A 7672-2019")</f>
        <v/>
      </c>
      <c r="X164">
        <f>HYPERLINK("https://klasma.github.io/Logging_0188/tillsyn/A 7672-2019 tillsynsbegäran.docx", "A 7672-2019")</f>
        <v/>
      </c>
      <c r="Y164">
        <f>HYPERLINK("https://klasma.github.io/Logging_0188/tillsynsmail/A 7672-2019 tillsynsbegäran mail.docx", "A 7672-2019")</f>
        <v/>
      </c>
    </row>
    <row r="165" ht="15" customHeight="1">
      <c r="A165" t="inlineStr">
        <is>
          <t>A 9607-2019</t>
        </is>
      </c>
      <c r="B165" s="1" t="n">
        <v>43508</v>
      </c>
      <c r="C165" s="1" t="n">
        <v>45224</v>
      </c>
      <c r="D165" t="inlineStr">
        <is>
          <t>STOCKHOLMS LÄN</t>
        </is>
      </c>
      <c r="E165" t="inlineStr">
        <is>
          <t>VÄRMDÖ</t>
        </is>
      </c>
      <c r="G165" t="n">
        <v>3.6</v>
      </c>
      <c r="H165" t="n">
        <v>0</v>
      </c>
      <c r="I165" t="n">
        <v>0</v>
      </c>
      <c r="J165" t="n">
        <v>0</v>
      </c>
      <c r="K165" t="n">
        <v>0</v>
      </c>
      <c r="L165" t="n">
        <v>1</v>
      </c>
      <c r="M165" t="n">
        <v>1</v>
      </c>
      <c r="N165" t="n">
        <v>0</v>
      </c>
      <c r="O165" t="n">
        <v>2</v>
      </c>
      <c r="P165" t="n">
        <v>2</v>
      </c>
      <c r="Q165" t="n">
        <v>2</v>
      </c>
      <c r="R165" s="2" t="inlineStr">
        <is>
          <t>Skogsalm
Ask</t>
        </is>
      </c>
      <c r="S165">
        <f>HYPERLINK("https://klasma.github.io/Logging_0120/artfynd/A 9607-2019 artfynd.xlsx", "A 9607-2019")</f>
        <v/>
      </c>
      <c r="T165">
        <f>HYPERLINK("https://klasma.github.io/Logging_0120/kartor/A 9607-2019 karta.png", "A 9607-2019")</f>
        <v/>
      </c>
      <c r="V165">
        <f>HYPERLINK("https://klasma.github.io/Logging_0120/klagomål/A 9607-2019 FSC-klagomål.docx", "A 9607-2019")</f>
        <v/>
      </c>
      <c r="W165">
        <f>HYPERLINK("https://klasma.github.io/Logging_0120/klagomålsmail/A 9607-2019 FSC-klagomål mail.docx", "A 9607-2019")</f>
        <v/>
      </c>
      <c r="X165">
        <f>HYPERLINK("https://klasma.github.io/Logging_0120/tillsyn/A 9607-2019 tillsynsbegäran.docx", "A 9607-2019")</f>
        <v/>
      </c>
      <c r="Y165">
        <f>HYPERLINK("https://klasma.github.io/Logging_0120/tillsynsmail/A 9607-2019 tillsynsbegäran mail.docx", "A 9607-2019")</f>
        <v/>
      </c>
    </row>
    <row r="166" ht="15" customHeight="1">
      <c r="A166" t="inlineStr">
        <is>
          <t>A 12586-2019</t>
        </is>
      </c>
      <c r="B166" s="1" t="n">
        <v>43524</v>
      </c>
      <c r="C166" s="1" t="n">
        <v>45224</v>
      </c>
      <c r="D166" t="inlineStr">
        <is>
          <t>STOCKHOLMS LÄN</t>
        </is>
      </c>
      <c r="E166" t="inlineStr">
        <is>
          <t>SIGTUNA</t>
        </is>
      </c>
      <c r="G166" t="n">
        <v>4.9</v>
      </c>
      <c r="H166" t="n">
        <v>2</v>
      </c>
      <c r="I166" t="n">
        <v>0</v>
      </c>
      <c r="J166" t="n">
        <v>1</v>
      </c>
      <c r="K166" t="n">
        <v>0</v>
      </c>
      <c r="L166" t="n">
        <v>0</v>
      </c>
      <c r="M166" t="n">
        <v>0</v>
      </c>
      <c r="N166" t="n">
        <v>0</v>
      </c>
      <c r="O166" t="n">
        <v>1</v>
      </c>
      <c r="P166" t="n">
        <v>0</v>
      </c>
      <c r="Q166" t="n">
        <v>2</v>
      </c>
      <c r="R166" s="2" t="inlineStr">
        <is>
          <t>Fjällvråk
Mindre vattensalamander</t>
        </is>
      </c>
      <c r="S166">
        <f>HYPERLINK("https://klasma.github.io/Logging_0191/artfynd/A 12586-2019 artfynd.xlsx", "A 12586-2019")</f>
        <v/>
      </c>
      <c r="T166">
        <f>HYPERLINK("https://klasma.github.io/Logging_0191/kartor/A 12586-2019 karta.png", "A 12586-2019")</f>
        <v/>
      </c>
      <c r="V166">
        <f>HYPERLINK("https://klasma.github.io/Logging_0191/klagomål/A 12586-2019 FSC-klagomål.docx", "A 12586-2019")</f>
        <v/>
      </c>
      <c r="W166">
        <f>HYPERLINK("https://klasma.github.io/Logging_0191/klagomålsmail/A 12586-2019 FSC-klagomål mail.docx", "A 12586-2019")</f>
        <v/>
      </c>
      <c r="X166">
        <f>HYPERLINK("https://klasma.github.io/Logging_0191/tillsyn/A 12586-2019 tillsynsbegäran.docx", "A 12586-2019")</f>
        <v/>
      </c>
      <c r="Y166">
        <f>HYPERLINK("https://klasma.github.io/Logging_0191/tillsynsmail/A 12586-2019 tillsynsbegäran mail.docx", "A 12586-2019")</f>
        <v/>
      </c>
    </row>
    <row r="167" ht="15" customHeight="1">
      <c r="A167" t="inlineStr">
        <is>
          <t>A 14148-2019</t>
        </is>
      </c>
      <c r="B167" s="1" t="n">
        <v>43533</v>
      </c>
      <c r="C167" s="1" t="n">
        <v>45224</v>
      </c>
      <c r="D167" t="inlineStr">
        <is>
          <t>STOCKHOLMS LÄN</t>
        </is>
      </c>
      <c r="E167" t="inlineStr">
        <is>
          <t>NORRTÄLJE</t>
        </is>
      </c>
      <c r="G167" t="n">
        <v>6.1</v>
      </c>
      <c r="H167" t="n">
        <v>1</v>
      </c>
      <c r="I167" t="n">
        <v>0</v>
      </c>
      <c r="J167" t="n">
        <v>2</v>
      </c>
      <c r="K167" t="n">
        <v>0</v>
      </c>
      <c r="L167" t="n">
        <v>0</v>
      </c>
      <c r="M167" t="n">
        <v>0</v>
      </c>
      <c r="N167" t="n">
        <v>0</v>
      </c>
      <c r="O167" t="n">
        <v>2</v>
      </c>
      <c r="P167" t="n">
        <v>0</v>
      </c>
      <c r="Q167" t="n">
        <v>2</v>
      </c>
      <c r="R167" s="2" t="inlineStr">
        <is>
          <t>Havsörn
Tallticka</t>
        </is>
      </c>
      <c r="S167">
        <f>HYPERLINK("https://klasma.github.io/Logging_0188/artfynd/A 14148-2019 artfynd.xlsx", "A 14148-2019")</f>
        <v/>
      </c>
      <c r="T167">
        <f>HYPERLINK("https://klasma.github.io/Logging_0188/kartor/A 14148-2019 karta.png", "A 14148-2019")</f>
        <v/>
      </c>
      <c r="V167">
        <f>HYPERLINK("https://klasma.github.io/Logging_0188/klagomål/A 14148-2019 FSC-klagomål.docx", "A 14148-2019")</f>
        <v/>
      </c>
      <c r="W167">
        <f>HYPERLINK("https://klasma.github.io/Logging_0188/klagomålsmail/A 14148-2019 FSC-klagomål mail.docx", "A 14148-2019")</f>
        <v/>
      </c>
      <c r="X167">
        <f>HYPERLINK("https://klasma.github.io/Logging_0188/tillsyn/A 14148-2019 tillsynsbegäran.docx", "A 14148-2019")</f>
        <v/>
      </c>
      <c r="Y167">
        <f>HYPERLINK("https://klasma.github.io/Logging_0188/tillsynsmail/A 14148-2019 tillsynsbegäran mail.docx", "A 14148-2019")</f>
        <v/>
      </c>
    </row>
    <row r="168" ht="15" customHeight="1">
      <c r="A168" t="inlineStr">
        <is>
          <t>A 14826-2019</t>
        </is>
      </c>
      <c r="B168" s="1" t="n">
        <v>43539</v>
      </c>
      <c r="C168" s="1" t="n">
        <v>45224</v>
      </c>
      <c r="D168" t="inlineStr">
        <is>
          <t>STOCKHOLMS LÄN</t>
        </is>
      </c>
      <c r="E168" t="inlineStr">
        <is>
          <t>NORRTÄLJE</t>
        </is>
      </c>
      <c r="F168" t="inlineStr">
        <is>
          <t>Kommuner</t>
        </is>
      </c>
      <c r="G168" t="n">
        <v>0.6</v>
      </c>
      <c r="H168" t="n">
        <v>0</v>
      </c>
      <c r="I168" t="n">
        <v>2</v>
      </c>
      <c r="J168" t="n">
        <v>0</v>
      </c>
      <c r="K168" t="n">
        <v>0</v>
      </c>
      <c r="L168" t="n">
        <v>0</v>
      </c>
      <c r="M168" t="n">
        <v>0</v>
      </c>
      <c r="N168" t="n">
        <v>0</v>
      </c>
      <c r="O168" t="n">
        <v>0</v>
      </c>
      <c r="P168" t="n">
        <v>0</v>
      </c>
      <c r="Q168" t="n">
        <v>2</v>
      </c>
      <c r="R168" s="2" t="inlineStr">
        <is>
          <t>Stubbspretmossa
Sårläka</t>
        </is>
      </c>
      <c r="S168">
        <f>HYPERLINK("https://klasma.github.io/Logging_0188/artfynd/A 14826-2019 artfynd.xlsx", "A 14826-2019")</f>
        <v/>
      </c>
      <c r="T168">
        <f>HYPERLINK("https://klasma.github.io/Logging_0188/kartor/A 14826-2019 karta.png", "A 14826-2019")</f>
        <v/>
      </c>
      <c r="V168">
        <f>HYPERLINK("https://klasma.github.io/Logging_0188/klagomål/A 14826-2019 FSC-klagomål.docx", "A 14826-2019")</f>
        <v/>
      </c>
      <c r="W168">
        <f>HYPERLINK("https://klasma.github.io/Logging_0188/klagomålsmail/A 14826-2019 FSC-klagomål mail.docx", "A 14826-2019")</f>
        <v/>
      </c>
      <c r="X168">
        <f>HYPERLINK("https://klasma.github.io/Logging_0188/tillsyn/A 14826-2019 tillsynsbegäran.docx", "A 14826-2019")</f>
        <v/>
      </c>
      <c r="Y168">
        <f>HYPERLINK("https://klasma.github.io/Logging_0188/tillsynsmail/A 14826-2019 tillsynsbegäran mail.docx", "A 14826-2019")</f>
        <v/>
      </c>
    </row>
    <row r="169" ht="15" customHeight="1">
      <c r="A169" t="inlineStr">
        <is>
          <t>A 15109-2019</t>
        </is>
      </c>
      <c r="B169" s="1" t="n">
        <v>43539</v>
      </c>
      <c r="C169" s="1" t="n">
        <v>45224</v>
      </c>
      <c r="D169" t="inlineStr">
        <is>
          <t>STOCKHOLMS LÄN</t>
        </is>
      </c>
      <c r="E169" t="inlineStr">
        <is>
          <t>NORRTÄLJE</t>
        </is>
      </c>
      <c r="F169" t="inlineStr">
        <is>
          <t>Kommuner</t>
        </is>
      </c>
      <c r="G169" t="n">
        <v>1.8</v>
      </c>
      <c r="H169" t="n">
        <v>1</v>
      </c>
      <c r="I169" t="n">
        <v>1</v>
      </c>
      <c r="J169" t="n">
        <v>0</v>
      </c>
      <c r="K169" t="n">
        <v>0</v>
      </c>
      <c r="L169" t="n">
        <v>0</v>
      </c>
      <c r="M169" t="n">
        <v>0</v>
      </c>
      <c r="N169" t="n">
        <v>0</v>
      </c>
      <c r="O169" t="n">
        <v>0</v>
      </c>
      <c r="P169" t="n">
        <v>0</v>
      </c>
      <c r="Q169" t="n">
        <v>2</v>
      </c>
      <c r="R169" s="2" t="inlineStr">
        <is>
          <t>Vårärt
Blåsippa</t>
        </is>
      </c>
      <c r="S169">
        <f>HYPERLINK("https://klasma.github.io/Logging_0188/artfynd/A 15109-2019 artfynd.xlsx", "A 15109-2019")</f>
        <v/>
      </c>
      <c r="T169">
        <f>HYPERLINK("https://klasma.github.io/Logging_0188/kartor/A 15109-2019 karta.png", "A 15109-2019")</f>
        <v/>
      </c>
      <c r="V169">
        <f>HYPERLINK("https://klasma.github.io/Logging_0188/klagomål/A 15109-2019 FSC-klagomål.docx", "A 15109-2019")</f>
        <v/>
      </c>
      <c r="W169">
        <f>HYPERLINK("https://klasma.github.io/Logging_0188/klagomålsmail/A 15109-2019 FSC-klagomål mail.docx", "A 15109-2019")</f>
        <v/>
      </c>
      <c r="X169">
        <f>HYPERLINK("https://klasma.github.io/Logging_0188/tillsyn/A 15109-2019 tillsynsbegäran.docx", "A 15109-2019")</f>
        <v/>
      </c>
      <c r="Y169">
        <f>HYPERLINK("https://klasma.github.io/Logging_0188/tillsynsmail/A 15109-2019 tillsynsbegäran mail.docx", "A 15109-2019")</f>
        <v/>
      </c>
    </row>
    <row r="170" ht="15" customHeight="1">
      <c r="A170" t="inlineStr">
        <is>
          <t>A 23830-2019</t>
        </is>
      </c>
      <c r="B170" s="1" t="n">
        <v>43595</v>
      </c>
      <c r="C170" s="1" t="n">
        <v>45224</v>
      </c>
      <c r="D170" t="inlineStr">
        <is>
          <t>STOCKHOLMS LÄN</t>
        </is>
      </c>
      <c r="E170" t="inlineStr">
        <is>
          <t>NORRTÄLJE</t>
        </is>
      </c>
      <c r="G170" t="n">
        <v>3</v>
      </c>
      <c r="H170" t="n">
        <v>2</v>
      </c>
      <c r="I170" t="n">
        <v>1</v>
      </c>
      <c r="J170" t="n">
        <v>0</v>
      </c>
      <c r="K170" t="n">
        <v>0</v>
      </c>
      <c r="L170" t="n">
        <v>0</v>
      </c>
      <c r="M170" t="n">
        <v>0</v>
      </c>
      <c r="N170" t="n">
        <v>0</v>
      </c>
      <c r="O170" t="n">
        <v>0</v>
      </c>
      <c r="P170" t="n">
        <v>0</v>
      </c>
      <c r="Q170" t="n">
        <v>2</v>
      </c>
      <c r="R170" s="2" t="inlineStr">
        <is>
          <t>Guckusko
Grönvit nattviol</t>
        </is>
      </c>
      <c r="S170">
        <f>HYPERLINK("https://klasma.github.io/Logging_0188/artfynd/A 23830-2019 artfynd.xlsx", "A 23830-2019")</f>
        <v/>
      </c>
      <c r="T170">
        <f>HYPERLINK("https://klasma.github.io/Logging_0188/kartor/A 23830-2019 karta.png", "A 23830-2019")</f>
        <v/>
      </c>
      <c r="V170">
        <f>HYPERLINK("https://klasma.github.io/Logging_0188/klagomål/A 23830-2019 FSC-klagomål.docx", "A 23830-2019")</f>
        <v/>
      </c>
      <c r="W170">
        <f>HYPERLINK("https://klasma.github.io/Logging_0188/klagomålsmail/A 23830-2019 FSC-klagomål mail.docx", "A 23830-2019")</f>
        <v/>
      </c>
      <c r="X170">
        <f>HYPERLINK("https://klasma.github.io/Logging_0188/tillsyn/A 23830-2019 tillsynsbegäran.docx", "A 23830-2019")</f>
        <v/>
      </c>
      <c r="Y170">
        <f>HYPERLINK("https://klasma.github.io/Logging_0188/tillsynsmail/A 23830-2019 tillsynsbegäran mail.docx", "A 23830-2019")</f>
        <v/>
      </c>
    </row>
    <row r="171" ht="15" customHeight="1">
      <c r="A171" t="inlineStr">
        <is>
          <t>A 37730-2019</t>
        </is>
      </c>
      <c r="B171" s="1" t="n">
        <v>43682</v>
      </c>
      <c r="C171" s="1" t="n">
        <v>45224</v>
      </c>
      <c r="D171" t="inlineStr">
        <is>
          <t>STOCKHOLMS LÄN</t>
        </is>
      </c>
      <c r="E171" t="inlineStr">
        <is>
          <t>VÄRMDÖ</t>
        </is>
      </c>
      <c r="G171" t="n">
        <v>1.4</v>
      </c>
      <c r="H171" t="n">
        <v>0</v>
      </c>
      <c r="I171" t="n">
        <v>2</v>
      </c>
      <c r="J171" t="n">
        <v>0</v>
      </c>
      <c r="K171" t="n">
        <v>0</v>
      </c>
      <c r="L171" t="n">
        <v>0</v>
      </c>
      <c r="M171" t="n">
        <v>0</v>
      </c>
      <c r="N171" t="n">
        <v>0</v>
      </c>
      <c r="O171" t="n">
        <v>0</v>
      </c>
      <c r="P171" t="n">
        <v>0</v>
      </c>
      <c r="Q171" t="n">
        <v>2</v>
      </c>
      <c r="R171" s="2" t="inlineStr">
        <is>
          <t>Kornknutmossa
Stubbspretmossa</t>
        </is>
      </c>
      <c r="S171">
        <f>HYPERLINK("https://klasma.github.io/Logging_0120/artfynd/A 37730-2019 artfynd.xlsx", "A 37730-2019")</f>
        <v/>
      </c>
      <c r="T171">
        <f>HYPERLINK("https://klasma.github.io/Logging_0120/kartor/A 37730-2019 karta.png", "A 37730-2019")</f>
        <v/>
      </c>
      <c r="V171">
        <f>HYPERLINK("https://klasma.github.io/Logging_0120/klagomål/A 37730-2019 FSC-klagomål.docx", "A 37730-2019")</f>
        <v/>
      </c>
      <c r="W171">
        <f>HYPERLINK("https://klasma.github.io/Logging_0120/klagomålsmail/A 37730-2019 FSC-klagomål mail.docx", "A 37730-2019")</f>
        <v/>
      </c>
      <c r="X171">
        <f>HYPERLINK("https://klasma.github.io/Logging_0120/tillsyn/A 37730-2019 tillsynsbegäran.docx", "A 37730-2019")</f>
        <v/>
      </c>
      <c r="Y171">
        <f>HYPERLINK("https://klasma.github.io/Logging_0120/tillsynsmail/A 37730-2019 tillsynsbegäran mail.docx", "A 37730-2019")</f>
        <v/>
      </c>
    </row>
    <row r="172" ht="15" customHeight="1">
      <c r="A172" t="inlineStr">
        <is>
          <t>A 47875-2019</t>
        </is>
      </c>
      <c r="B172" s="1" t="n">
        <v>43725</v>
      </c>
      <c r="C172" s="1" t="n">
        <v>45224</v>
      </c>
      <c r="D172" t="inlineStr">
        <is>
          <t>STOCKHOLMS LÄN</t>
        </is>
      </c>
      <c r="E172" t="inlineStr">
        <is>
          <t>NORRTÄLJE</t>
        </is>
      </c>
      <c r="G172" t="n">
        <v>10.9</v>
      </c>
      <c r="H172" t="n">
        <v>1</v>
      </c>
      <c r="I172" t="n">
        <v>0</v>
      </c>
      <c r="J172" t="n">
        <v>1</v>
      </c>
      <c r="K172" t="n">
        <v>0</v>
      </c>
      <c r="L172" t="n">
        <v>0</v>
      </c>
      <c r="M172" t="n">
        <v>0</v>
      </c>
      <c r="N172" t="n">
        <v>0</v>
      </c>
      <c r="O172" t="n">
        <v>1</v>
      </c>
      <c r="P172" t="n">
        <v>0</v>
      </c>
      <c r="Q172" t="n">
        <v>2</v>
      </c>
      <c r="R172" s="2" t="inlineStr">
        <is>
          <t>Vippärt
Mattlummer</t>
        </is>
      </c>
      <c r="S172">
        <f>HYPERLINK("https://klasma.github.io/Logging_0188/artfynd/A 47875-2019 artfynd.xlsx", "A 47875-2019")</f>
        <v/>
      </c>
      <c r="T172">
        <f>HYPERLINK("https://klasma.github.io/Logging_0188/kartor/A 47875-2019 karta.png", "A 47875-2019")</f>
        <v/>
      </c>
      <c r="V172">
        <f>HYPERLINK("https://klasma.github.io/Logging_0188/klagomål/A 47875-2019 FSC-klagomål.docx", "A 47875-2019")</f>
        <v/>
      </c>
      <c r="W172">
        <f>HYPERLINK("https://klasma.github.io/Logging_0188/klagomålsmail/A 47875-2019 FSC-klagomål mail.docx", "A 47875-2019")</f>
        <v/>
      </c>
      <c r="X172">
        <f>HYPERLINK("https://klasma.github.io/Logging_0188/tillsyn/A 47875-2019 tillsynsbegäran.docx", "A 47875-2019")</f>
        <v/>
      </c>
      <c r="Y172">
        <f>HYPERLINK("https://klasma.github.io/Logging_0188/tillsynsmail/A 47875-2019 tillsynsbegäran mail.docx", "A 47875-2019")</f>
        <v/>
      </c>
    </row>
    <row r="173" ht="15" customHeight="1">
      <c r="A173" t="inlineStr">
        <is>
          <t>A 1335-2020</t>
        </is>
      </c>
      <c r="B173" s="1" t="n">
        <v>43843</v>
      </c>
      <c r="C173" s="1" t="n">
        <v>45224</v>
      </c>
      <c r="D173" t="inlineStr">
        <is>
          <t>STOCKHOLMS LÄN</t>
        </is>
      </c>
      <c r="E173" t="inlineStr">
        <is>
          <t>BOTKYRKA</t>
        </is>
      </c>
      <c r="G173" t="n">
        <v>13.4</v>
      </c>
      <c r="H173" t="n">
        <v>0</v>
      </c>
      <c r="I173" t="n">
        <v>1</v>
      </c>
      <c r="J173" t="n">
        <v>0</v>
      </c>
      <c r="K173" t="n">
        <v>1</v>
      </c>
      <c r="L173" t="n">
        <v>0</v>
      </c>
      <c r="M173" t="n">
        <v>0</v>
      </c>
      <c r="N173" t="n">
        <v>0</v>
      </c>
      <c r="O173" t="n">
        <v>1</v>
      </c>
      <c r="P173" t="n">
        <v>1</v>
      </c>
      <c r="Q173" t="n">
        <v>2</v>
      </c>
      <c r="R173" s="2" t="inlineStr">
        <is>
          <t>Vedspik
Blodticka</t>
        </is>
      </c>
      <c r="S173">
        <f>HYPERLINK("https://klasma.github.io/Logging_0127/artfynd/A 1335-2020 artfynd.xlsx", "A 1335-2020")</f>
        <v/>
      </c>
      <c r="T173">
        <f>HYPERLINK("https://klasma.github.io/Logging_0127/kartor/A 1335-2020 karta.png", "A 1335-2020")</f>
        <v/>
      </c>
      <c r="V173">
        <f>HYPERLINK("https://klasma.github.io/Logging_0127/klagomål/A 1335-2020 FSC-klagomål.docx", "A 1335-2020")</f>
        <v/>
      </c>
      <c r="W173">
        <f>HYPERLINK("https://klasma.github.io/Logging_0127/klagomålsmail/A 1335-2020 FSC-klagomål mail.docx", "A 1335-2020")</f>
        <v/>
      </c>
      <c r="X173">
        <f>HYPERLINK("https://klasma.github.io/Logging_0127/tillsyn/A 1335-2020 tillsynsbegäran.docx", "A 1335-2020")</f>
        <v/>
      </c>
      <c r="Y173">
        <f>HYPERLINK("https://klasma.github.io/Logging_0127/tillsynsmail/A 1335-2020 tillsynsbegäran mail.docx", "A 1335-2020")</f>
        <v/>
      </c>
    </row>
    <row r="174" ht="15" customHeight="1">
      <c r="A174" t="inlineStr">
        <is>
          <t>A 3215-2020</t>
        </is>
      </c>
      <c r="B174" s="1" t="n">
        <v>43851</v>
      </c>
      <c r="C174" s="1" t="n">
        <v>45224</v>
      </c>
      <c r="D174" t="inlineStr">
        <is>
          <t>STOCKHOLMS LÄN</t>
        </is>
      </c>
      <c r="E174" t="inlineStr">
        <is>
          <t>NYNÄSHAMN</t>
        </is>
      </c>
      <c r="G174" t="n">
        <v>2.5</v>
      </c>
      <c r="H174" t="n">
        <v>0</v>
      </c>
      <c r="I174" t="n">
        <v>2</v>
      </c>
      <c r="J174" t="n">
        <v>0</v>
      </c>
      <c r="K174" t="n">
        <v>0</v>
      </c>
      <c r="L174" t="n">
        <v>0</v>
      </c>
      <c r="M174" t="n">
        <v>0</v>
      </c>
      <c r="N174" t="n">
        <v>0</v>
      </c>
      <c r="O174" t="n">
        <v>0</v>
      </c>
      <c r="P174" t="n">
        <v>0</v>
      </c>
      <c r="Q174" t="n">
        <v>2</v>
      </c>
      <c r="R174" s="2" t="inlineStr">
        <is>
          <t>Sårläka
Thomsons trägnagare</t>
        </is>
      </c>
      <c r="S174">
        <f>HYPERLINK("https://klasma.github.io/Logging_0192/artfynd/A 3215-2020 artfynd.xlsx", "A 3215-2020")</f>
        <v/>
      </c>
      <c r="T174">
        <f>HYPERLINK("https://klasma.github.io/Logging_0192/kartor/A 3215-2020 karta.png", "A 3215-2020")</f>
        <v/>
      </c>
      <c r="V174">
        <f>HYPERLINK("https://klasma.github.io/Logging_0192/klagomål/A 3215-2020 FSC-klagomål.docx", "A 3215-2020")</f>
        <v/>
      </c>
      <c r="W174">
        <f>HYPERLINK("https://klasma.github.io/Logging_0192/klagomålsmail/A 3215-2020 FSC-klagomål mail.docx", "A 3215-2020")</f>
        <v/>
      </c>
      <c r="X174">
        <f>HYPERLINK("https://klasma.github.io/Logging_0192/tillsyn/A 3215-2020 tillsynsbegäran.docx", "A 3215-2020")</f>
        <v/>
      </c>
      <c r="Y174">
        <f>HYPERLINK("https://klasma.github.io/Logging_0192/tillsynsmail/A 3215-2020 tillsynsbegäran mail.docx", "A 3215-2020")</f>
        <v/>
      </c>
    </row>
    <row r="175" ht="15" customHeight="1">
      <c r="A175" t="inlineStr">
        <is>
          <t>A 4124-2020</t>
        </is>
      </c>
      <c r="B175" s="1" t="n">
        <v>43857</v>
      </c>
      <c r="C175" s="1" t="n">
        <v>45224</v>
      </c>
      <c r="D175" t="inlineStr">
        <is>
          <t>STOCKHOLMS LÄN</t>
        </is>
      </c>
      <c r="E175" t="inlineStr">
        <is>
          <t>VALLENTUNA</t>
        </is>
      </c>
      <c r="G175" t="n">
        <v>1.2</v>
      </c>
      <c r="H175" t="n">
        <v>0</v>
      </c>
      <c r="I175" t="n">
        <v>1</v>
      </c>
      <c r="J175" t="n">
        <v>1</v>
      </c>
      <c r="K175" t="n">
        <v>0</v>
      </c>
      <c r="L175" t="n">
        <v>0</v>
      </c>
      <c r="M175" t="n">
        <v>0</v>
      </c>
      <c r="N175" t="n">
        <v>0</v>
      </c>
      <c r="O175" t="n">
        <v>1</v>
      </c>
      <c r="P175" t="n">
        <v>0</v>
      </c>
      <c r="Q175" t="n">
        <v>2</v>
      </c>
      <c r="R175" s="2" t="inlineStr">
        <is>
          <t>Barrpraktbagge
Blompraktbagge</t>
        </is>
      </c>
      <c r="S175">
        <f>HYPERLINK("https://klasma.github.io/Logging_0115/artfynd/A 4124-2020 artfynd.xlsx", "A 4124-2020")</f>
        <v/>
      </c>
      <c r="T175">
        <f>HYPERLINK("https://klasma.github.io/Logging_0115/kartor/A 4124-2020 karta.png", "A 4124-2020")</f>
        <v/>
      </c>
      <c r="V175">
        <f>HYPERLINK("https://klasma.github.io/Logging_0115/klagomål/A 4124-2020 FSC-klagomål.docx", "A 4124-2020")</f>
        <v/>
      </c>
      <c r="W175">
        <f>HYPERLINK("https://klasma.github.io/Logging_0115/klagomålsmail/A 4124-2020 FSC-klagomål mail.docx", "A 4124-2020")</f>
        <v/>
      </c>
      <c r="X175">
        <f>HYPERLINK("https://klasma.github.io/Logging_0115/tillsyn/A 4124-2020 tillsynsbegäran.docx", "A 4124-2020")</f>
        <v/>
      </c>
      <c r="Y175">
        <f>HYPERLINK("https://klasma.github.io/Logging_0115/tillsynsmail/A 4124-2020 tillsynsbegäran mail.docx", "A 4124-2020")</f>
        <v/>
      </c>
    </row>
    <row r="176" ht="15" customHeight="1">
      <c r="A176" t="inlineStr">
        <is>
          <t>A 4266-2020</t>
        </is>
      </c>
      <c r="B176" s="1" t="n">
        <v>43857</v>
      </c>
      <c r="C176" s="1" t="n">
        <v>45224</v>
      </c>
      <c r="D176" t="inlineStr">
        <is>
          <t>STOCKHOLMS LÄN</t>
        </is>
      </c>
      <c r="E176" t="inlineStr">
        <is>
          <t>VALLENTUNA</t>
        </is>
      </c>
      <c r="G176" t="n">
        <v>4.5</v>
      </c>
      <c r="H176" t="n">
        <v>0</v>
      </c>
      <c r="I176" t="n">
        <v>1</v>
      </c>
      <c r="J176" t="n">
        <v>1</v>
      </c>
      <c r="K176" t="n">
        <v>0</v>
      </c>
      <c r="L176" t="n">
        <v>0</v>
      </c>
      <c r="M176" t="n">
        <v>0</v>
      </c>
      <c r="N176" t="n">
        <v>0</v>
      </c>
      <c r="O176" t="n">
        <v>1</v>
      </c>
      <c r="P176" t="n">
        <v>0</v>
      </c>
      <c r="Q176" t="n">
        <v>2</v>
      </c>
      <c r="R176" s="2" t="inlineStr">
        <is>
          <t>Slåtterfibbla
Korthornad vedstekel</t>
        </is>
      </c>
      <c r="S176">
        <f>HYPERLINK("https://klasma.github.io/Logging_0115/artfynd/A 4266-2020 artfynd.xlsx", "A 4266-2020")</f>
        <v/>
      </c>
      <c r="T176">
        <f>HYPERLINK("https://klasma.github.io/Logging_0115/kartor/A 4266-2020 karta.png", "A 4266-2020")</f>
        <v/>
      </c>
      <c r="V176">
        <f>HYPERLINK("https://klasma.github.io/Logging_0115/klagomål/A 4266-2020 FSC-klagomål.docx", "A 4266-2020")</f>
        <v/>
      </c>
      <c r="W176">
        <f>HYPERLINK("https://klasma.github.io/Logging_0115/klagomålsmail/A 4266-2020 FSC-klagomål mail.docx", "A 4266-2020")</f>
        <v/>
      </c>
      <c r="X176">
        <f>HYPERLINK("https://klasma.github.io/Logging_0115/tillsyn/A 4266-2020 tillsynsbegäran.docx", "A 4266-2020")</f>
        <v/>
      </c>
      <c r="Y176">
        <f>HYPERLINK("https://klasma.github.io/Logging_0115/tillsynsmail/A 4266-2020 tillsynsbegäran mail.docx", "A 4266-2020")</f>
        <v/>
      </c>
    </row>
    <row r="177" ht="15" customHeight="1">
      <c r="A177" t="inlineStr">
        <is>
          <t>A 4058-2020</t>
        </is>
      </c>
      <c r="B177" s="1" t="n">
        <v>43857</v>
      </c>
      <c r="C177" s="1" t="n">
        <v>45224</v>
      </c>
      <c r="D177" t="inlineStr">
        <is>
          <t>STOCKHOLMS LÄN</t>
        </is>
      </c>
      <c r="E177" t="inlineStr">
        <is>
          <t>BOTKYRKA</t>
        </is>
      </c>
      <c r="G177" t="n">
        <v>17.9</v>
      </c>
      <c r="H177" t="n">
        <v>0</v>
      </c>
      <c r="I177" t="n">
        <v>1</v>
      </c>
      <c r="J177" t="n">
        <v>1</v>
      </c>
      <c r="K177" t="n">
        <v>0</v>
      </c>
      <c r="L177" t="n">
        <v>0</v>
      </c>
      <c r="M177" t="n">
        <v>0</v>
      </c>
      <c r="N177" t="n">
        <v>0</v>
      </c>
      <c r="O177" t="n">
        <v>1</v>
      </c>
      <c r="P177" t="n">
        <v>0</v>
      </c>
      <c r="Q177" t="n">
        <v>2</v>
      </c>
      <c r="R177" s="2" t="inlineStr">
        <is>
          <t>Ekticka
Springkorn</t>
        </is>
      </c>
      <c r="S177">
        <f>HYPERLINK("https://klasma.github.io/Logging_0127/artfynd/A 4058-2020 artfynd.xlsx", "A 4058-2020")</f>
        <v/>
      </c>
      <c r="T177">
        <f>HYPERLINK("https://klasma.github.io/Logging_0127/kartor/A 4058-2020 karta.png", "A 4058-2020")</f>
        <v/>
      </c>
      <c r="V177">
        <f>HYPERLINK("https://klasma.github.io/Logging_0127/klagomål/A 4058-2020 FSC-klagomål.docx", "A 4058-2020")</f>
        <v/>
      </c>
      <c r="W177">
        <f>HYPERLINK("https://klasma.github.io/Logging_0127/klagomålsmail/A 4058-2020 FSC-klagomål mail.docx", "A 4058-2020")</f>
        <v/>
      </c>
      <c r="X177">
        <f>HYPERLINK("https://klasma.github.io/Logging_0127/tillsyn/A 4058-2020 tillsynsbegäran.docx", "A 4058-2020")</f>
        <v/>
      </c>
      <c r="Y177">
        <f>HYPERLINK("https://klasma.github.io/Logging_0127/tillsynsmail/A 4058-2020 tillsynsbegäran mail.docx", "A 4058-2020")</f>
        <v/>
      </c>
    </row>
    <row r="178" ht="15" customHeight="1">
      <c r="A178" t="inlineStr">
        <is>
          <t>A 6272-2020</t>
        </is>
      </c>
      <c r="B178" s="1" t="n">
        <v>43866</v>
      </c>
      <c r="C178" s="1" t="n">
        <v>45224</v>
      </c>
      <c r="D178" t="inlineStr">
        <is>
          <t>STOCKHOLMS LÄN</t>
        </is>
      </c>
      <c r="E178" t="inlineStr">
        <is>
          <t>NORRTÄLJE</t>
        </is>
      </c>
      <c r="F178" t="inlineStr">
        <is>
          <t>Övriga statliga verk och myndigheter</t>
        </is>
      </c>
      <c r="G178" t="n">
        <v>1.9</v>
      </c>
      <c r="H178" t="n">
        <v>1</v>
      </c>
      <c r="I178" t="n">
        <v>1</v>
      </c>
      <c r="J178" t="n">
        <v>1</v>
      </c>
      <c r="K178" t="n">
        <v>0</v>
      </c>
      <c r="L178" t="n">
        <v>0</v>
      </c>
      <c r="M178" t="n">
        <v>0</v>
      </c>
      <c r="N178" t="n">
        <v>0</v>
      </c>
      <c r="O178" t="n">
        <v>1</v>
      </c>
      <c r="P178" t="n">
        <v>0</v>
      </c>
      <c r="Q178" t="n">
        <v>2</v>
      </c>
      <c r="R178" s="2" t="inlineStr">
        <is>
          <t>Silversmygare
Nästrot</t>
        </is>
      </c>
      <c r="S178">
        <f>HYPERLINK("https://klasma.github.io/Logging_0188/artfynd/A 6272-2020 artfynd.xlsx", "A 6272-2020")</f>
        <v/>
      </c>
      <c r="T178">
        <f>HYPERLINK("https://klasma.github.io/Logging_0188/kartor/A 6272-2020 karta.png", "A 6272-2020")</f>
        <v/>
      </c>
      <c r="V178">
        <f>HYPERLINK("https://klasma.github.io/Logging_0188/klagomål/A 6272-2020 FSC-klagomål.docx", "A 6272-2020")</f>
        <v/>
      </c>
      <c r="W178">
        <f>HYPERLINK("https://klasma.github.io/Logging_0188/klagomålsmail/A 6272-2020 FSC-klagomål mail.docx", "A 6272-2020")</f>
        <v/>
      </c>
      <c r="X178">
        <f>HYPERLINK("https://klasma.github.io/Logging_0188/tillsyn/A 6272-2020 tillsynsbegäran.docx", "A 6272-2020")</f>
        <v/>
      </c>
      <c r="Y178">
        <f>HYPERLINK("https://klasma.github.io/Logging_0188/tillsynsmail/A 6272-2020 tillsynsbegäran mail.docx", "A 6272-2020")</f>
        <v/>
      </c>
    </row>
    <row r="179" ht="15" customHeight="1">
      <c r="A179" t="inlineStr">
        <is>
          <t>A 19565-2020</t>
        </is>
      </c>
      <c r="B179" s="1" t="n">
        <v>43936</v>
      </c>
      <c r="C179" s="1" t="n">
        <v>45224</v>
      </c>
      <c r="D179" t="inlineStr">
        <is>
          <t>STOCKHOLMS LÄN</t>
        </is>
      </c>
      <c r="E179" t="inlineStr">
        <is>
          <t>NORRTÄLJE</t>
        </is>
      </c>
      <c r="G179" t="n">
        <v>2.4</v>
      </c>
      <c r="H179" t="n">
        <v>0</v>
      </c>
      <c r="I179" t="n">
        <v>2</v>
      </c>
      <c r="J179" t="n">
        <v>0</v>
      </c>
      <c r="K179" t="n">
        <v>0</v>
      </c>
      <c r="L179" t="n">
        <v>0</v>
      </c>
      <c r="M179" t="n">
        <v>0</v>
      </c>
      <c r="N179" t="n">
        <v>0</v>
      </c>
      <c r="O179" t="n">
        <v>0</v>
      </c>
      <c r="P179" t="n">
        <v>0</v>
      </c>
      <c r="Q179" t="n">
        <v>2</v>
      </c>
      <c r="R179" s="2" t="inlineStr">
        <is>
          <t>Mörk husmossa
Rödgul trumpetsvamp</t>
        </is>
      </c>
      <c r="S179">
        <f>HYPERLINK("https://klasma.github.io/Logging_0188/artfynd/A 19565-2020 artfynd.xlsx", "A 19565-2020")</f>
        <v/>
      </c>
      <c r="T179">
        <f>HYPERLINK("https://klasma.github.io/Logging_0188/kartor/A 19565-2020 karta.png", "A 19565-2020")</f>
        <v/>
      </c>
      <c r="V179">
        <f>HYPERLINK("https://klasma.github.io/Logging_0188/klagomål/A 19565-2020 FSC-klagomål.docx", "A 19565-2020")</f>
        <v/>
      </c>
      <c r="W179">
        <f>HYPERLINK("https://klasma.github.io/Logging_0188/klagomålsmail/A 19565-2020 FSC-klagomål mail.docx", "A 19565-2020")</f>
        <v/>
      </c>
      <c r="X179">
        <f>HYPERLINK("https://klasma.github.io/Logging_0188/tillsyn/A 19565-2020 tillsynsbegäran.docx", "A 19565-2020")</f>
        <v/>
      </c>
      <c r="Y179">
        <f>HYPERLINK("https://klasma.github.io/Logging_0188/tillsynsmail/A 19565-2020 tillsynsbegäran mail.docx", "A 19565-2020")</f>
        <v/>
      </c>
    </row>
    <row r="180" ht="15" customHeight="1">
      <c r="A180" t="inlineStr">
        <is>
          <t>A 20030-2020</t>
        </is>
      </c>
      <c r="B180" s="1" t="n">
        <v>43942</v>
      </c>
      <c r="C180" s="1" t="n">
        <v>45224</v>
      </c>
      <c r="D180" t="inlineStr">
        <is>
          <t>STOCKHOLMS LÄN</t>
        </is>
      </c>
      <c r="E180" t="inlineStr">
        <is>
          <t>SIGTUNA</t>
        </is>
      </c>
      <c r="G180" t="n">
        <v>11.5</v>
      </c>
      <c r="H180" t="n">
        <v>1</v>
      </c>
      <c r="I180" t="n">
        <v>1</v>
      </c>
      <c r="J180" t="n">
        <v>0</v>
      </c>
      <c r="K180" t="n">
        <v>0</v>
      </c>
      <c r="L180" t="n">
        <v>0</v>
      </c>
      <c r="M180" t="n">
        <v>0</v>
      </c>
      <c r="N180" t="n">
        <v>0</v>
      </c>
      <c r="O180" t="n">
        <v>0</v>
      </c>
      <c r="P180" t="n">
        <v>0</v>
      </c>
      <c r="Q180" t="n">
        <v>2</v>
      </c>
      <c r="R180" s="2" t="inlineStr">
        <is>
          <t>Vågbandad barkbock
Blåsippa</t>
        </is>
      </c>
      <c r="S180">
        <f>HYPERLINK("https://klasma.github.io/Logging_0191/artfynd/A 20030-2020 artfynd.xlsx", "A 20030-2020")</f>
        <v/>
      </c>
      <c r="T180">
        <f>HYPERLINK("https://klasma.github.io/Logging_0191/kartor/A 20030-2020 karta.png", "A 20030-2020")</f>
        <v/>
      </c>
      <c r="V180">
        <f>HYPERLINK("https://klasma.github.io/Logging_0191/klagomål/A 20030-2020 FSC-klagomål.docx", "A 20030-2020")</f>
        <v/>
      </c>
      <c r="W180">
        <f>HYPERLINK("https://klasma.github.io/Logging_0191/klagomålsmail/A 20030-2020 FSC-klagomål mail.docx", "A 20030-2020")</f>
        <v/>
      </c>
      <c r="X180">
        <f>HYPERLINK("https://klasma.github.io/Logging_0191/tillsyn/A 20030-2020 tillsynsbegäran.docx", "A 20030-2020")</f>
        <v/>
      </c>
      <c r="Y180">
        <f>HYPERLINK("https://klasma.github.io/Logging_0191/tillsynsmail/A 20030-2020 tillsynsbegäran mail.docx", "A 20030-2020")</f>
        <v/>
      </c>
    </row>
    <row r="181" ht="15" customHeight="1">
      <c r="A181" t="inlineStr">
        <is>
          <t>A 24751-2020</t>
        </is>
      </c>
      <c r="B181" s="1" t="n">
        <v>43978</v>
      </c>
      <c r="C181" s="1" t="n">
        <v>45224</v>
      </c>
      <c r="D181" t="inlineStr">
        <is>
          <t>STOCKHOLMS LÄN</t>
        </is>
      </c>
      <c r="E181" t="inlineStr">
        <is>
          <t>VALLENTUNA</t>
        </is>
      </c>
      <c r="G181" t="n">
        <v>5.3</v>
      </c>
      <c r="H181" t="n">
        <v>0</v>
      </c>
      <c r="I181" t="n">
        <v>2</v>
      </c>
      <c r="J181" t="n">
        <v>0</v>
      </c>
      <c r="K181" t="n">
        <v>0</v>
      </c>
      <c r="L181" t="n">
        <v>0</v>
      </c>
      <c r="M181" t="n">
        <v>0</v>
      </c>
      <c r="N181" t="n">
        <v>0</v>
      </c>
      <c r="O181" t="n">
        <v>0</v>
      </c>
      <c r="P181" t="n">
        <v>0</v>
      </c>
      <c r="Q181" t="n">
        <v>2</v>
      </c>
      <c r="R181" s="2" t="inlineStr">
        <is>
          <t>Lönnlav
Stor aspticka</t>
        </is>
      </c>
      <c r="S181">
        <f>HYPERLINK("https://klasma.github.io/Logging_0115/artfynd/A 24751-2020 artfynd.xlsx", "A 24751-2020")</f>
        <v/>
      </c>
      <c r="T181">
        <f>HYPERLINK("https://klasma.github.io/Logging_0115/kartor/A 24751-2020 karta.png", "A 24751-2020")</f>
        <v/>
      </c>
      <c r="V181">
        <f>HYPERLINK("https://klasma.github.io/Logging_0115/klagomål/A 24751-2020 FSC-klagomål.docx", "A 24751-2020")</f>
        <v/>
      </c>
      <c r="W181">
        <f>HYPERLINK("https://klasma.github.io/Logging_0115/klagomålsmail/A 24751-2020 FSC-klagomål mail.docx", "A 24751-2020")</f>
        <v/>
      </c>
      <c r="X181">
        <f>HYPERLINK("https://klasma.github.io/Logging_0115/tillsyn/A 24751-2020 tillsynsbegäran.docx", "A 24751-2020")</f>
        <v/>
      </c>
      <c r="Y181">
        <f>HYPERLINK("https://klasma.github.io/Logging_0115/tillsynsmail/A 24751-2020 tillsynsbegäran mail.docx", "A 24751-2020")</f>
        <v/>
      </c>
    </row>
    <row r="182" ht="15" customHeight="1">
      <c r="A182" t="inlineStr">
        <is>
          <t>A 46237-2020</t>
        </is>
      </c>
      <c r="B182" s="1" t="n">
        <v>44092</v>
      </c>
      <c r="C182" s="1" t="n">
        <v>45224</v>
      </c>
      <c r="D182" t="inlineStr">
        <is>
          <t>STOCKHOLMS LÄN</t>
        </is>
      </c>
      <c r="E182" t="inlineStr">
        <is>
          <t>SÖDERTÄLJE</t>
        </is>
      </c>
      <c r="G182" t="n">
        <v>1.1</v>
      </c>
      <c r="H182" t="n">
        <v>1</v>
      </c>
      <c r="I182" t="n">
        <v>1</v>
      </c>
      <c r="J182" t="n">
        <v>0</v>
      </c>
      <c r="K182" t="n">
        <v>1</v>
      </c>
      <c r="L182" t="n">
        <v>0</v>
      </c>
      <c r="M182" t="n">
        <v>0</v>
      </c>
      <c r="N182" t="n">
        <v>0</v>
      </c>
      <c r="O182" t="n">
        <v>1</v>
      </c>
      <c r="P182" t="n">
        <v>1</v>
      </c>
      <c r="Q182" t="n">
        <v>2</v>
      </c>
      <c r="R182" s="2" t="inlineStr">
        <is>
          <t>Knärot
Rödbrun jordstjärna</t>
        </is>
      </c>
      <c r="S182">
        <f>HYPERLINK("https://klasma.github.io/Logging_0181/artfynd/A 46237-2020 artfynd.xlsx", "A 46237-2020")</f>
        <v/>
      </c>
      <c r="T182">
        <f>HYPERLINK("https://klasma.github.io/Logging_0181/kartor/A 46237-2020 karta.png", "A 46237-2020")</f>
        <v/>
      </c>
      <c r="U182">
        <f>HYPERLINK("https://klasma.github.io/Logging_0181/knärot/A 46237-2020 karta knärot.png", "A 46237-2020")</f>
        <v/>
      </c>
      <c r="V182">
        <f>HYPERLINK("https://klasma.github.io/Logging_0181/klagomål/A 46237-2020 FSC-klagomål.docx", "A 46237-2020")</f>
        <v/>
      </c>
      <c r="W182">
        <f>HYPERLINK("https://klasma.github.io/Logging_0181/klagomålsmail/A 46237-2020 FSC-klagomål mail.docx", "A 46237-2020")</f>
        <v/>
      </c>
      <c r="X182">
        <f>HYPERLINK("https://klasma.github.io/Logging_0181/tillsyn/A 46237-2020 tillsynsbegäran.docx", "A 46237-2020")</f>
        <v/>
      </c>
      <c r="Y182">
        <f>HYPERLINK("https://klasma.github.io/Logging_0181/tillsynsmail/A 46237-2020 tillsynsbegäran mail.docx", "A 46237-2020")</f>
        <v/>
      </c>
    </row>
    <row r="183" ht="15" customHeight="1">
      <c r="A183" t="inlineStr">
        <is>
          <t>A 53858-2020</t>
        </is>
      </c>
      <c r="B183" s="1" t="n">
        <v>44125</v>
      </c>
      <c r="C183" s="1" t="n">
        <v>45224</v>
      </c>
      <c r="D183" t="inlineStr">
        <is>
          <t>STOCKHOLMS LÄN</t>
        </is>
      </c>
      <c r="E183" t="inlineStr">
        <is>
          <t>HANINGE</t>
        </is>
      </c>
      <c r="G183" t="n">
        <v>18.5</v>
      </c>
      <c r="H183" t="n">
        <v>2</v>
      </c>
      <c r="I183" t="n">
        <v>1</v>
      </c>
      <c r="J183" t="n">
        <v>0</v>
      </c>
      <c r="K183" t="n">
        <v>0</v>
      </c>
      <c r="L183" t="n">
        <v>0</v>
      </c>
      <c r="M183" t="n">
        <v>0</v>
      </c>
      <c r="N183" t="n">
        <v>0</v>
      </c>
      <c r="O183" t="n">
        <v>0</v>
      </c>
      <c r="P183" t="n">
        <v>0</v>
      </c>
      <c r="Q183" t="n">
        <v>2</v>
      </c>
      <c r="R183" s="2" t="inlineStr">
        <is>
          <t>Korallrot
Fläcknycklar</t>
        </is>
      </c>
      <c r="S183">
        <f>HYPERLINK("https://klasma.github.io/Logging_0136/artfynd/A 53858-2020 artfynd.xlsx", "A 53858-2020")</f>
        <v/>
      </c>
      <c r="T183">
        <f>HYPERLINK("https://klasma.github.io/Logging_0136/kartor/A 53858-2020 karta.png", "A 53858-2020")</f>
        <v/>
      </c>
      <c r="V183">
        <f>HYPERLINK("https://klasma.github.io/Logging_0136/klagomål/A 53858-2020 FSC-klagomål.docx", "A 53858-2020")</f>
        <v/>
      </c>
      <c r="W183">
        <f>HYPERLINK("https://klasma.github.io/Logging_0136/klagomålsmail/A 53858-2020 FSC-klagomål mail.docx", "A 53858-2020")</f>
        <v/>
      </c>
      <c r="X183">
        <f>HYPERLINK("https://klasma.github.io/Logging_0136/tillsyn/A 53858-2020 tillsynsbegäran.docx", "A 53858-2020")</f>
        <v/>
      </c>
      <c r="Y183">
        <f>HYPERLINK("https://klasma.github.io/Logging_0136/tillsynsmail/A 53858-2020 tillsynsbegäran mail.docx", "A 53858-2020")</f>
        <v/>
      </c>
    </row>
    <row r="184" ht="15" customHeight="1">
      <c r="A184" t="inlineStr">
        <is>
          <t>A 559-2021</t>
        </is>
      </c>
      <c r="B184" s="1" t="n">
        <v>44203</v>
      </c>
      <c r="C184" s="1" t="n">
        <v>45224</v>
      </c>
      <c r="D184" t="inlineStr">
        <is>
          <t>STOCKHOLMS LÄN</t>
        </is>
      </c>
      <c r="E184" t="inlineStr">
        <is>
          <t>NYNÄSHAMN</t>
        </is>
      </c>
      <c r="G184" t="n">
        <v>19.5</v>
      </c>
      <c r="H184" t="n">
        <v>0</v>
      </c>
      <c r="I184" t="n">
        <v>0</v>
      </c>
      <c r="J184" t="n">
        <v>2</v>
      </c>
      <c r="K184" t="n">
        <v>0</v>
      </c>
      <c r="L184" t="n">
        <v>0</v>
      </c>
      <c r="M184" t="n">
        <v>0</v>
      </c>
      <c r="N184" t="n">
        <v>0</v>
      </c>
      <c r="O184" t="n">
        <v>2</v>
      </c>
      <c r="P184" t="n">
        <v>0</v>
      </c>
      <c r="Q184" t="n">
        <v>2</v>
      </c>
      <c r="R184" s="2" t="inlineStr">
        <is>
          <t>Garnlav
Ullticka</t>
        </is>
      </c>
      <c r="S184">
        <f>HYPERLINK("https://klasma.github.io/Logging_0192/artfynd/A 559-2021 artfynd.xlsx", "A 559-2021")</f>
        <v/>
      </c>
      <c r="T184">
        <f>HYPERLINK("https://klasma.github.io/Logging_0192/kartor/A 559-2021 karta.png", "A 559-2021")</f>
        <v/>
      </c>
      <c r="V184">
        <f>HYPERLINK("https://klasma.github.io/Logging_0192/klagomål/A 559-2021 FSC-klagomål.docx", "A 559-2021")</f>
        <v/>
      </c>
      <c r="W184">
        <f>HYPERLINK("https://klasma.github.io/Logging_0192/klagomålsmail/A 559-2021 FSC-klagomål mail.docx", "A 559-2021")</f>
        <v/>
      </c>
      <c r="X184">
        <f>HYPERLINK("https://klasma.github.io/Logging_0192/tillsyn/A 559-2021 tillsynsbegäran.docx", "A 559-2021")</f>
        <v/>
      </c>
      <c r="Y184">
        <f>HYPERLINK("https://klasma.github.io/Logging_0192/tillsynsmail/A 559-2021 tillsynsbegäran mail.docx", "A 559-2021")</f>
        <v/>
      </c>
    </row>
    <row r="185" ht="15" customHeight="1">
      <c r="A185" t="inlineStr">
        <is>
          <t>A 2294-2021</t>
        </is>
      </c>
      <c r="B185" s="1" t="n">
        <v>44212</v>
      </c>
      <c r="C185" s="1" t="n">
        <v>45224</v>
      </c>
      <c r="D185" t="inlineStr">
        <is>
          <t>STOCKHOLMS LÄN</t>
        </is>
      </c>
      <c r="E185" t="inlineStr">
        <is>
          <t>NYNÄSHAMN</t>
        </is>
      </c>
      <c r="G185" t="n">
        <v>22.1</v>
      </c>
      <c r="H185" t="n">
        <v>0</v>
      </c>
      <c r="I185" t="n">
        <v>0</v>
      </c>
      <c r="J185" t="n">
        <v>2</v>
      </c>
      <c r="K185" t="n">
        <v>0</v>
      </c>
      <c r="L185" t="n">
        <v>0</v>
      </c>
      <c r="M185" t="n">
        <v>0</v>
      </c>
      <c r="N185" t="n">
        <v>0</v>
      </c>
      <c r="O185" t="n">
        <v>2</v>
      </c>
      <c r="P185" t="n">
        <v>0</v>
      </c>
      <c r="Q185" t="n">
        <v>2</v>
      </c>
      <c r="R185" s="2" t="inlineStr">
        <is>
          <t>Solvända
Ängsskära</t>
        </is>
      </c>
      <c r="S185">
        <f>HYPERLINK("https://klasma.github.io/Logging_0192/artfynd/A 2294-2021 artfynd.xlsx", "A 2294-2021")</f>
        <v/>
      </c>
      <c r="T185">
        <f>HYPERLINK("https://klasma.github.io/Logging_0192/kartor/A 2294-2021 karta.png", "A 2294-2021")</f>
        <v/>
      </c>
      <c r="V185">
        <f>HYPERLINK("https://klasma.github.io/Logging_0192/klagomål/A 2294-2021 FSC-klagomål.docx", "A 2294-2021")</f>
        <v/>
      </c>
      <c r="W185">
        <f>HYPERLINK("https://klasma.github.io/Logging_0192/klagomålsmail/A 2294-2021 FSC-klagomål mail.docx", "A 2294-2021")</f>
        <v/>
      </c>
      <c r="X185">
        <f>HYPERLINK("https://klasma.github.io/Logging_0192/tillsyn/A 2294-2021 tillsynsbegäran.docx", "A 2294-2021")</f>
        <v/>
      </c>
      <c r="Y185">
        <f>HYPERLINK("https://klasma.github.io/Logging_0192/tillsynsmail/A 2294-2021 tillsynsbegäran mail.docx", "A 2294-2021")</f>
        <v/>
      </c>
    </row>
    <row r="186" ht="15" customHeight="1">
      <c r="A186" t="inlineStr">
        <is>
          <t>A 9956-2021</t>
        </is>
      </c>
      <c r="B186" s="1" t="n">
        <v>44252</v>
      </c>
      <c r="C186" s="1" t="n">
        <v>45224</v>
      </c>
      <c r="D186" t="inlineStr">
        <is>
          <t>STOCKHOLMS LÄN</t>
        </is>
      </c>
      <c r="E186" t="inlineStr">
        <is>
          <t>UPPLANDS-BRO</t>
        </is>
      </c>
      <c r="F186" t="inlineStr">
        <is>
          <t>Kyrkan</t>
        </is>
      </c>
      <c r="G186" t="n">
        <v>3.4</v>
      </c>
      <c r="H186" t="n">
        <v>0</v>
      </c>
      <c r="I186" t="n">
        <v>1</v>
      </c>
      <c r="J186" t="n">
        <v>1</v>
      </c>
      <c r="K186" t="n">
        <v>0</v>
      </c>
      <c r="L186" t="n">
        <v>0</v>
      </c>
      <c r="M186" t="n">
        <v>0</v>
      </c>
      <c r="N186" t="n">
        <v>0</v>
      </c>
      <c r="O186" t="n">
        <v>1</v>
      </c>
      <c r="P186" t="n">
        <v>0</v>
      </c>
      <c r="Q186" t="n">
        <v>2</v>
      </c>
      <c r="R186" s="2" t="inlineStr">
        <is>
          <t>Dofttaggsvamp
Svavelriska</t>
        </is>
      </c>
      <c r="S186">
        <f>HYPERLINK("https://klasma.github.io/Logging_0139/artfynd/A 9956-2021 artfynd.xlsx", "A 9956-2021")</f>
        <v/>
      </c>
      <c r="T186">
        <f>HYPERLINK("https://klasma.github.io/Logging_0139/kartor/A 9956-2021 karta.png", "A 9956-2021")</f>
        <v/>
      </c>
      <c r="V186">
        <f>HYPERLINK("https://klasma.github.io/Logging_0139/klagomål/A 9956-2021 FSC-klagomål.docx", "A 9956-2021")</f>
        <v/>
      </c>
      <c r="W186">
        <f>HYPERLINK("https://klasma.github.io/Logging_0139/klagomålsmail/A 9956-2021 FSC-klagomål mail.docx", "A 9956-2021")</f>
        <v/>
      </c>
      <c r="X186">
        <f>HYPERLINK("https://klasma.github.io/Logging_0139/tillsyn/A 9956-2021 tillsynsbegäran.docx", "A 9956-2021")</f>
        <v/>
      </c>
      <c r="Y186">
        <f>HYPERLINK("https://klasma.github.io/Logging_0139/tillsynsmail/A 9956-2021 tillsynsbegäran mail.docx", "A 9956-2021")</f>
        <v/>
      </c>
    </row>
    <row r="187" ht="15" customHeight="1">
      <c r="A187" t="inlineStr">
        <is>
          <t>A 15314-2021</t>
        </is>
      </c>
      <c r="B187" s="1" t="n">
        <v>44284</v>
      </c>
      <c r="C187" s="1" t="n">
        <v>45224</v>
      </c>
      <c r="D187" t="inlineStr">
        <is>
          <t>STOCKHOLMS LÄN</t>
        </is>
      </c>
      <c r="E187" t="inlineStr">
        <is>
          <t>NYNÄSHAMN</t>
        </is>
      </c>
      <c r="F187" t="inlineStr">
        <is>
          <t>Kommuner</t>
        </is>
      </c>
      <c r="G187" t="n">
        <v>9</v>
      </c>
      <c r="H187" t="n">
        <v>1</v>
      </c>
      <c r="I187" t="n">
        <v>1</v>
      </c>
      <c r="J187" t="n">
        <v>1</v>
      </c>
      <c r="K187" t="n">
        <v>0</v>
      </c>
      <c r="L187" t="n">
        <v>0</v>
      </c>
      <c r="M187" t="n">
        <v>0</v>
      </c>
      <c r="N187" t="n">
        <v>0</v>
      </c>
      <c r="O187" t="n">
        <v>1</v>
      </c>
      <c r="P187" t="n">
        <v>0</v>
      </c>
      <c r="Q187" t="n">
        <v>2</v>
      </c>
      <c r="R187" s="2" t="inlineStr">
        <is>
          <t>Granticka
Grön sköldmossa</t>
        </is>
      </c>
      <c r="S187">
        <f>HYPERLINK("https://klasma.github.io/Logging_0192/artfynd/A 15314-2021 artfynd.xlsx", "A 15314-2021")</f>
        <v/>
      </c>
      <c r="T187">
        <f>HYPERLINK("https://klasma.github.io/Logging_0192/kartor/A 15314-2021 karta.png", "A 15314-2021")</f>
        <v/>
      </c>
      <c r="V187">
        <f>HYPERLINK("https://klasma.github.io/Logging_0192/klagomål/A 15314-2021 FSC-klagomål.docx", "A 15314-2021")</f>
        <v/>
      </c>
      <c r="W187">
        <f>HYPERLINK("https://klasma.github.io/Logging_0192/klagomålsmail/A 15314-2021 FSC-klagomål mail.docx", "A 15314-2021")</f>
        <v/>
      </c>
      <c r="X187">
        <f>HYPERLINK("https://klasma.github.io/Logging_0192/tillsyn/A 15314-2021 tillsynsbegäran.docx", "A 15314-2021")</f>
        <v/>
      </c>
      <c r="Y187">
        <f>HYPERLINK("https://klasma.github.io/Logging_0192/tillsynsmail/A 15314-2021 tillsynsbegäran mail.docx", "A 15314-2021")</f>
        <v/>
      </c>
    </row>
    <row r="188" ht="15" customHeight="1">
      <c r="A188" t="inlineStr">
        <is>
          <t>A 16084-2021</t>
        </is>
      </c>
      <c r="B188" s="1" t="n">
        <v>44288</v>
      </c>
      <c r="C188" s="1" t="n">
        <v>45224</v>
      </c>
      <c r="D188" t="inlineStr">
        <is>
          <t>STOCKHOLMS LÄN</t>
        </is>
      </c>
      <c r="E188" t="inlineStr">
        <is>
          <t>VÄRMDÖ</t>
        </is>
      </c>
      <c r="G188" t="n">
        <v>1.2</v>
      </c>
      <c r="H188" t="n">
        <v>0</v>
      </c>
      <c r="I188" t="n">
        <v>1</v>
      </c>
      <c r="J188" t="n">
        <v>1</v>
      </c>
      <c r="K188" t="n">
        <v>0</v>
      </c>
      <c r="L188" t="n">
        <v>0</v>
      </c>
      <c r="M188" t="n">
        <v>0</v>
      </c>
      <c r="N188" t="n">
        <v>0</v>
      </c>
      <c r="O188" t="n">
        <v>1</v>
      </c>
      <c r="P188" t="n">
        <v>0</v>
      </c>
      <c r="Q188" t="n">
        <v>2</v>
      </c>
      <c r="R188" s="2" t="inlineStr">
        <is>
          <t>Reliktbock
Grovticka</t>
        </is>
      </c>
      <c r="S188">
        <f>HYPERLINK("https://klasma.github.io/Logging_0120/artfynd/A 16084-2021 artfynd.xlsx", "A 16084-2021")</f>
        <v/>
      </c>
      <c r="T188">
        <f>HYPERLINK("https://klasma.github.io/Logging_0120/kartor/A 16084-2021 karta.png", "A 16084-2021")</f>
        <v/>
      </c>
      <c r="V188">
        <f>HYPERLINK("https://klasma.github.io/Logging_0120/klagomål/A 16084-2021 FSC-klagomål.docx", "A 16084-2021")</f>
        <v/>
      </c>
      <c r="W188">
        <f>HYPERLINK("https://klasma.github.io/Logging_0120/klagomålsmail/A 16084-2021 FSC-klagomål mail.docx", "A 16084-2021")</f>
        <v/>
      </c>
      <c r="X188">
        <f>HYPERLINK("https://klasma.github.io/Logging_0120/tillsyn/A 16084-2021 tillsynsbegäran.docx", "A 16084-2021")</f>
        <v/>
      </c>
      <c r="Y188">
        <f>HYPERLINK("https://klasma.github.io/Logging_0120/tillsynsmail/A 16084-2021 tillsynsbegäran mail.docx", "A 16084-2021")</f>
        <v/>
      </c>
    </row>
    <row r="189" ht="15" customHeight="1">
      <c r="A189" t="inlineStr">
        <is>
          <t>A 16869-2021</t>
        </is>
      </c>
      <c r="B189" s="1" t="n">
        <v>44295</v>
      </c>
      <c r="C189" s="1" t="n">
        <v>45224</v>
      </c>
      <c r="D189" t="inlineStr">
        <is>
          <t>STOCKHOLMS LÄN</t>
        </is>
      </c>
      <c r="E189" t="inlineStr">
        <is>
          <t>NYNÄSHAMN</t>
        </is>
      </c>
      <c r="F189" t="inlineStr">
        <is>
          <t>Kommuner</t>
        </is>
      </c>
      <c r="G189" t="n">
        <v>6.5</v>
      </c>
      <c r="H189" t="n">
        <v>1</v>
      </c>
      <c r="I189" t="n">
        <v>2</v>
      </c>
      <c r="J189" t="n">
        <v>0</v>
      </c>
      <c r="K189" t="n">
        <v>0</v>
      </c>
      <c r="L189" t="n">
        <v>0</v>
      </c>
      <c r="M189" t="n">
        <v>0</v>
      </c>
      <c r="N189" t="n">
        <v>0</v>
      </c>
      <c r="O189" t="n">
        <v>0</v>
      </c>
      <c r="P189" t="n">
        <v>0</v>
      </c>
      <c r="Q189" t="n">
        <v>2</v>
      </c>
      <c r="R189" s="2" t="inlineStr">
        <is>
          <t>Grön sköldmossa
Kattfotslav</t>
        </is>
      </c>
      <c r="S189">
        <f>HYPERLINK("https://klasma.github.io/Logging_0192/artfynd/A 16869-2021 artfynd.xlsx", "A 16869-2021")</f>
        <v/>
      </c>
      <c r="T189">
        <f>HYPERLINK("https://klasma.github.io/Logging_0192/kartor/A 16869-2021 karta.png", "A 16869-2021")</f>
        <v/>
      </c>
      <c r="V189">
        <f>HYPERLINK("https://klasma.github.io/Logging_0192/klagomål/A 16869-2021 FSC-klagomål.docx", "A 16869-2021")</f>
        <v/>
      </c>
      <c r="W189">
        <f>HYPERLINK("https://klasma.github.io/Logging_0192/klagomålsmail/A 16869-2021 FSC-klagomål mail.docx", "A 16869-2021")</f>
        <v/>
      </c>
      <c r="X189">
        <f>HYPERLINK("https://klasma.github.io/Logging_0192/tillsyn/A 16869-2021 tillsynsbegäran.docx", "A 16869-2021")</f>
        <v/>
      </c>
      <c r="Y189">
        <f>HYPERLINK("https://klasma.github.io/Logging_0192/tillsynsmail/A 16869-2021 tillsynsbegäran mail.docx", "A 16869-2021")</f>
        <v/>
      </c>
    </row>
    <row r="190" ht="15" customHeight="1">
      <c r="A190" t="inlineStr">
        <is>
          <t>A 17648-2021</t>
        </is>
      </c>
      <c r="B190" s="1" t="n">
        <v>44300</v>
      </c>
      <c r="C190" s="1" t="n">
        <v>45224</v>
      </c>
      <c r="D190" t="inlineStr">
        <is>
          <t>STOCKHOLMS LÄN</t>
        </is>
      </c>
      <c r="E190" t="inlineStr">
        <is>
          <t>SÖDERTÄLJE</t>
        </is>
      </c>
      <c r="G190" t="n">
        <v>11.8</v>
      </c>
      <c r="H190" t="n">
        <v>0</v>
      </c>
      <c r="I190" t="n">
        <v>0</v>
      </c>
      <c r="J190" t="n">
        <v>1</v>
      </c>
      <c r="K190" t="n">
        <v>1</v>
      </c>
      <c r="L190" t="n">
        <v>0</v>
      </c>
      <c r="M190" t="n">
        <v>0</v>
      </c>
      <c r="N190" t="n">
        <v>0</v>
      </c>
      <c r="O190" t="n">
        <v>2</v>
      </c>
      <c r="P190" t="n">
        <v>1</v>
      </c>
      <c r="Q190" t="n">
        <v>2</v>
      </c>
      <c r="R190" s="2" t="inlineStr">
        <is>
          <t>Hedpärlemorfjäril
Sexfläckig bastardsvärmare</t>
        </is>
      </c>
      <c r="S190">
        <f>HYPERLINK("https://klasma.github.io/Logging_0181/artfynd/A 17648-2021 artfynd.xlsx", "A 17648-2021")</f>
        <v/>
      </c>
      <c r="T190">
        <f>HYPERLINK("https://klasma.github.io/Logging_0181/kartor/A 17648-2021 karta.png", "A 17648-2021")</f>
        <v/>
      </c>
      <c r="V190">
        <f>HYPERLINK("https://klasma.github.io/Logging_0181/klagomål/A 17648-2021 FSC-klagomål.docx", "A 17648-2021")</f>
        <v/>
      </c>
      <c r="W190">
        <f>HYPERLINK("https://klasma.github.io/Logging_0181/klagomålsmail/A 17648-2021 FSC-klagomål mail.docx", "A 17648-2021")</f>
        <v/>
      </c>
      <c r="X190">
        <f>HYPERLINK("https://klasma.github.io/Logging_0181/tillsyn/A 17648-2021 tillsynsbegäran.docx", "A 17648-2021")</f>
        <v/>
      </c>
      <c r="Y190">
        <f>HYPERLINK("https://klasma.github.io/Logging_0181/tillsynsmail/A 17648-2021 tillsynsbegäran mail.docx", "A 17648-2021")</f>
        <v/>
      </c>
    </row>
    <row r="191" ht="15" customHeight="1">
      <c r="A191" t="inlineStr">
        <is>
          <t>A 31803-2021</t>
        </is>
      </c>
      <c r="B191" s="1" t="n">
        <v>44370</v>
      </c>
      <c r="C191" s="1" t="n">
        <v>45224</v>
      </c>
      <c r="D191" t="inlineStr">
        <is>
          <t>STOCKHOLMS LÄN</t>
        </is>
      </c>
      <c r="E191" t="inlineStr">
        <is>
          <t>NORRTÄLJE</t>
        </is>
      </c>
      <c r="G191" t="n">
        <v>4.6</v>
      </c>
      <c r="H191" t="n">
        <v>0</v>
      </c>
      <c r="I191" t="n">
        <v>1</v>
      </c>
      <c r="J191" t="n">
        <v>1</v>
      </c>
      <c r="K191" t="n">
        <v>0</v>
      </c>
      <c r="L191" t="n">
        <v>0</v>
      </c>
      <c r="M191" t="n">
        <v>0</v>
      </c>
      <c r="N191" t="n">
        <v>0</v>
      </c>
      <c r="O191" t="n">
        <v>1</v>
      </c>
      <c r="P191" t="n">
        <v>0</v>
      </c>
      <c r="Q191" t="n">
        <v>2</v>
      </c>
      <c r="R191" s="2" t="inlineStr">
        <is>
          <t>Slåtterfibbla
Vårärt</t>
        </is>
      </c>
      <c r="S191">
        <f>HYPERLINK("https://klasma.github.io/Logging_0188/artfynd/A 31803-2021 artfynd.xlsx", "A 31803-2021")</f>
        <v/>
      </c>
      <c r="T191">
        <f>HYPERLINK("https://klasma.github.io/Logging_0188/kartor/A 31803-2021 karta.png", "A 31803-2021")</f>
        <v/>
      </c>
      <c r="V191">
        <f>HYPERLINK("https://klasma.github.io/Logging_0188/klagomål/A 31803-2021 FSC-klagomål.docx", "A 31803-2021")</f>
        <v/>
      </c>
      <c r="W191">
        <f>HYPERLINK("https://klasma.github.io/Logging_0188/klagomålsmail/A 31803-2021 FSC-klagomål mail.docx", "A 31803-2021")</f>
        <v/>
      </c>
      <c r="X191">
        <f>HYPERLINK("https://klasma.github.io/Logging_0188/tillsyn/A 31803-2021 tillsynsbegäran.docx", "A 31803-2021")</f>
        <v/>
      </c>
      <c r="Y191">
        <f>HYPERLINK("https://klasma.github.io/Logging_0188/tillsynsmail/A 31803-2021 tillsynsbegäran mail.docx", "A 31803-2021")</f>
        <v/>
      </c>
    </row>
    <row r="192" ht="15" customHeight="1">
      <c r="A192" t="inlineStr">
        <is>
          <t>A 58676-2021</t>
        </is>
      </c>
      <c r="B192" s="1" t="n">
        <v>44489</v>
      </c>
      <c r="C192" s="1" t="n">
        <v>45224</v>
      </c>
      <c r="D192" t="inlineStr">
        <is>
          <t>STOCKHOLMS LÄN</t>
        </is>
      </c>
      <c r="E192" t="inlineStr">
        <is>
          <t>NORRTÄLJE</t>
        </is>
      </c>
      <c r="G192" t="n">
        <v>0.6</v>
      </c>
      <c r="H192" t="n">
        <v>2</v>
      </c>
      <c r="I192" t="n">
        <v>0</v>
      </c>
      <c r="J192" t="n">
        <v>0</v>
      </c>
      <c r="K192" t="n">
        <v>0</v>
      </c>
      <c r="L192" t="n">
        <v>0</v>
      </c>
      <c r="M192" t="n">
        <v>0</v>
      </c>
      <c r="N192" t="n">
        <v>0</v>
      </c>
      <c r="O192" t="n">
        <v>0</v>
      </c>
      <c r="P192" t="n">
        <v>0</v>
      </c>
      <c r="Q192" t="n">
        <v>2</v>
      </c>
      <c r="R192" s="2" t="inlineStr">
        <is>
          <t>Nattviol
Blåsippa</t>
        </is>
      </c>
      <c r="S192">
        <f>HYPERLINK("https://klasma.github.io/Logging_0188/artfynd/A 58676-2021 artfynd.xlsx", "A 58676-2021")</f>
        <v/>
      </c>
      <c r="T192">
        <f>HYPERLINK("https://klasma.github.io/Logging_0188/kartor/A 58676-2021 karta.png", "A 58676-2021")</f>
        <v/>
      </c>
      <c r="V192">
        <f>HYPERLINK("https://klasma.github.io/Logging_0188/klagomål/A 58676-2021 FSC-klagomål.docx", "A 58676-2021")</f>
        <v/>
      </c>
      <c r="W192">
        <f>HYPERLINK("https://klasma.github.io/Logging_0188/klagomålsmail/A 58676-2021 FSC-klagomål mail.docx", "A 58676-2021")</f>
        <v/>
      </c>
      <c r="X192">
        <f>HYPERLINK("https://klasma.github.io/Logging_0188/tillsyn/A 58676-2021 tillsynsbegäran.docx", "A 58676-2021")</f>
        <v/>
      </c>
      <c r="Y192">
        <f>HYPERLINK("https://klasma.github.io/Logging_0188/tillsynsmail/A 58676-2021 tillsynsbegäran mail.docx", "A 58676-2021")</f>
        <v/>
      </c>
    </row>
    <row r="193" ht="15" customHeight="1">
      <c r="A193" t="inlineStr">
        <is>
          <t>A 61275-2021</t>
        </is>
      </c>
      <c r="B193" s="1" t="n">
        <v>44498</v>
      </c>
      <c r="C193" s="1" t="n">
        <v>45224</v>
      </c>
      <c r="D193" t="inlineStr">
        <is>
          <t>STOCKHOLMS LÄN</t>
        </is>
      </c>
      <c r="E193" t="inlineStr">
        <is>
          <t>ÖSTERÅKER</t>
        </is>
      </c>
      <c r="G193" t="n">
        <v>2.1</v>
      </c>
      <c r="H193" t="n">
        <v>2</v>
      </c>
      <c r="I193" t="n">
        <v>0</v>
      </c>
      <c r="J193" t="n">
        <v>0</v>
      </c>
      <c r="K193" t="n">
        <v>0</v>
      </c>
      <c r="L193" t="n">
        <v>0</v>
      </c>
      <c r="M193" t="n">
        <v>0</v>
      </c>
      <c r="N193" t="n">
        <v>0</v>
      </c>
      <c r="O193" t="n">
        <v>0</v>
      </c>
      <c r="P193" t="n">
        <v>0</v>
      </c>
      <c r="Q193" t="n">
        <v>2</v>
      </c>
      <c r="R193" s="2" t="inlineStr">
        <is>
          <t>Fläcknycklar
Nattviol</t>
        </is>
      </c>
      <c r="S193">
        <f>HYPERLINK("https://klasma.github.io/Logging_0117/artfynd/A 61275-2021 artfynd.xlsx", "A 61275-2021")</f>
        <v/>
      </c>
      <c r="T193">
        <f>HYPERLINK("https://klasma.github.io/Logging_0117/kartor/A 61275-2021 karta.png", "A 61275-2021")</f>
        <v/>
      </c>
      <c r="V193">
        <f>HYPERLINK("https://klasma.github.io/Logging_0117/klagomål/A 61275-2021 FSC-klagomål.docx", "A 61275-2021")</f>
        <v/>
      </c>
      <c r="W193">
        <f>HYPERLINK("https://klasma.github.io/Logging_0117/klagomålsmail/A 61275-2021 FSC-klagomål mail.docx", "A 61275-2021")</f>
        <v/>
      </c>
      <c r="X193">
        <f>HYPERLINK("https://klasma.github.io/Logging_0117/tillsyn/A 61275-2021 tillsynsbegäran.docx", "A 61275-2021")</f>
        <v/>
      </c>
      <c r="Y193">
        <f>HYPERLINK("https://klasma.github.io/Logging_0117/tillsynsmail/A 61275-2021 tillsynsbegäran mail.docx", "A 61275-2021")</f>
        <v/>
      </c>
    </row>
    <row r="194" ht="15" customHeight="1">
      <c r="A194" t="inlineStr">
        <is>
          <t>A 46-2022</t>
        </is>
      </c>
      <c r="B194" s="1" t="n">
        <v>44560</v>
      </c>
      <c r="C194" s="1" t="n">
        <v>45224</v>
      </c>
      <c r="D194" t="inlineStr">
        <is>
          <t>STOCKHOLMS LÄN</t>
        </is>
      </c>
      <c r="E194" t="inlineStr">
        <is>
          <t>VALLENTUNA</t>
        </is>
      </c>
      <c r="F194" t="inlineStr">
        <is>
          <t>Övriga Aktiebolag</t>
        </is>
      </c>
      <c r="G194" t="n">
        <v>7.9</v>
      </c>
      <c r="H194" t="n">
        <v>1</v>
      </c>
      <c r="I194" t="n">
        <v>1</v>
      </c>
      <c r="J194" t="n">
        <v>0</v>
      </c>
      <c r="K194" t="n">
        <v>0</v>
      </c>
      <c r="L194" t="n">
        <v>0</v>
      </c>
      <c r="M194" t="n">
        <v>0</v>
      </c>
      <c r="N194" t="n">
        <v>0</v>
      </c>
      <c r="O194" t="n">
        <v>0</v>
      </c>
      <c r="P194" t="n">
        <v>0</v>
      </c>
      <c r="Q194" t="n">
        <v>2</v>
      </c>
      <c r="R194" s="2" t="inlineStr">
        <is>
          <t>Fällmossa
Blåsippa</t>
        </is>
      </c>
      <c r="S194">
        <f>HYPERLINK("https://klasma.github.io/Logging_0115/artfynd/A 46-2022 artfynd.xlsx", "A 46-2022")</f>
        <v/>
      </c>
      <c r="T194">
        <f>HYPERLINK("https://klasma.github.io/Logging_0115/kartor/A 46-2022 karta.png", "A 46-2022")</f>
        <v/>
      </c>
      <c r="V194">
        <f>HYPERLINK("https://klasma.github.io/Logging_0115/klagomål/A 46-2022 FSC-klagomål.docx", "A 46-2022")</f>
        <v/>
      </c>
      <c r="W194">
        <f>HYPERLINK("https://klasma.github.io/Logging_0115/klagomålsmail/A 46-2022 FSC-klagomål mail.docx", "A 46-2022")</f>
        <v/>
      </c>
      <c r="X194">
        <f>HYPERLINK("https://klasma.github.io/Logging_0115/tillsyn/A 46-2022 tillsynsbegäran.docx", "A 46-2022")</f>
        <v/>
      </c>
      <c r="Y194">
        <f>HYPERLINK("https://klasma.github.io/Logging_0115/tillsynsmail/A 46-2022 tillsynsbegäran mail.docx", "A 46-2022")</f>
        <v/>
      </c>
    </row>
    <row r="195" ht="15" customHeight="1">
      <c r="A195" t="inlineStr">
        <is>
          <t>A 60-2022</t>
        </is>
      </c>
      <c r="B195" s="1" t="n">
        <v>44560</v>
      </c>
      <c r="C195" s="1" t="n">
        <v>45224</v>
      </c>
      <c r="D195" t="inlineStr">
        <is>
          <t>STOCKHOLMS LÄN</t>
        </is>
      </c>
      <c r="E195" t="inlineStr">
        <is>
          <t>VALLENTUNA</t>
        </is>
      </c>
      <c r="F195" t="inlineStr">
        <is>
          <t>Övriga Aktiebolag</t>
        </is>
      </c>
      <c r="G195" t="n">
        <v>14.3</v>
      </c>
      <c r="H195" t="n">
        <v>0</v>
      </c>
      <c r="I195" t="n">
        <v>2</v>
      </c>
      <c r="J195" t="n">
        <v>0</v>
      </c>
      <c r="K195" t="n">
        <v>0</v>
      </c>
      <c r="L195" t="n">
        <v>0</v>
      </c>
      <c r="M195" t="n">
        <v>0</v>
      </c>
      <c r="N195" t="n">
        <v>0</v>
      </c>
      <c r="O195" t="n">
        <v>0</v>
      </c>
      <c r="P195" t="n">
        <v>0</v>
      </c>
      <c r="Q195" t="n">
        <v>2</v>
      </c>
      <c r="R195" s="2" t="inlineStr">
        <is>
          <t>Vätteros
Vårärt</t>
        </is>
      </c>
      <c r="S195">
        <f>HYPERLINK("https://klasma.github.io/Logging_0115/artfynd/A 60-2022 artfynd.xlsx", "A 60-2022")</f>
        <v/>
      </c>
      <c r="T195">
        <f>HYPERLINK("https://klasma.github.io/Logging_0115/kartor/A 60-2022 karta.png", "A 60-2022")</f>
        <v/>
      </c>
      <c r="V195">
        <f>HYPERLINK("https://klasma.github.io/Logging_0115/klagomål/A 60-2022 FSC-klagomål.docx", "A 60-2022")</f>
        <v/>
      </c>
      <c r="W195">
        <f>HYPERLINK("https://klasma.github.io/Logging_0115/klagomålsmail/A 60-2022 FSC-klagomål mail.docx", "A 60-2022")</f>
        <v/>
      </c>
      <c r="X195">
        <f>HYPERLINK("https://klasma.github.io/Logging_0115/tillsyn/A 60-2022 tillsynsbegäran.docx", "A 60-2022")</f>
        <v/>
      </c>
      <c r="Y195">
        <f>HYPERLINK("https://klasma.github.io/Logging_0115/tillsynsmail/A 60-2022 tillsynsbegäran mail.docx", "A 60-2022")</f>
        <v/>
      </c>
    </row>
    <row r="196" ht="15" customHeight="1">
      <c r="A196" t="inlineStr">
        <is>
          <t>A 1061-2022</t>
        </is>
      </c>
      <c r="B196" s="1" t="n">
        <v>44571</v>
      </c>
      <c r="C196" s="1" t="n">
        <v>45224</v>
      </c>
      <c r="D196" t="inlineStr">
        <is>
          <t>STOCKHOLMS LÄN</t>
        </is>
      </c>
      <c r="E196" t="inlineStr">
        <is>
          <t>UPPLANDS VÄSBY</t>
        </is>
      </c>
      <c r="G196" t="n">
        <v>5.3</v>
      </c>
      <c r="H196" t="n">
        <v>1</v>
      </c>
      <c r="I196" t="n">
        <v>1</v>
      </c>
      <c r="J196" t="n">
        <v>0</v>
      </c>
      <c r="K196" t="n">
        <v>0</v>
      </c>
      <c r="L196" t="n">
        <v>0</v>
      </c>
      <c r="M196" t="n">
        <v>0</v>
      </c>
      <c r="N196" t="n">
        <v>0</v>
      </c>
      <c r="O196" t="n">
        <v>0</v>
      </c>
      <c r="P196" t="n">
        <v>0</v>
      </c>
      <c r="Q196" t="n">
        <v>2</v>
      </c>
      <c r="R196" s="2" t="inlineStr">
        <is>
          <t>Blomkålssvamp
Blåsippa</t>
        </is>
      </c>
      <c r="S196">
        <f>HYPERLINK("https://klasma.github.io/Logging_0114/artfynd/A 1061-2022 artfynd.xlsx", "A 1061-2022")</f>
        <v/>
      </c>
      <c r="T196">
        <f>HYPERLINK("https://klasma.github.io/Logging_0114/kartor/A 1061-2022 karta.png", "A 1061-2022")</f>
        <v/>
      </c>
      <c r="V196">
        <f>HYPERLINK("https://klasma.github.io/Logging_0114/klagomål/A 1061-2022 FSC-klagomål.docx", "A 1061-2022")</f>
        <v/>
      </c>
      <c r="W196">
        <f>HYPERLINK("https://klasma.github.io/Logging_0114/klagomålsmail/A 1061-2022 FSC-klagomål mail.docx", "A 1061-2022")</f>
        <v/>
      </c>
      <c r="X196">
        <f>HYPERLINK("https://klasma.github.io/Logging_0114/tillsyn/A 1061-2022 tillsynsbegäran.docx", "A 1061-2022")</f>
        <v/>
      </c>
      <c r="Y196">
        <f>HYPERLINK("https://klasma.github.io/Logging_0114/tillsynsmail/A 1061-2022 tillsynsbegäran mail.docx", "A 1061-2022")</f>
        <v/>
      </c>
    </row>
    <row r="197" ht="15" customHeight="1">
      <c r="A197" t="inlineStr">
        <is>
          <t>A 6852-2022</t>
        </is>
      </c>
      <c r="B197" s="1" t="n">
        <v>44602</v>
      </c>
      <c r="C197" s="1" t="n">
        <v>45224</v>
      </c>
      <c r="D197" t="inlineStr">
        <is>
          <t>STOCKHOLMS LÄN</t>
        </is>
      </c>
      <c r="E197" t="inlineStr">
        <is>
          <t>NYKVARN</t>
        </is>
      </c>
      <c r="F197" t="inlineStr">
        <is>
          <t>Kommuner</t>
        </is>
      </c>
      <c r="G197" t="n">
        <v>5</v>
      </c>
      <c r="H197" t="n">
        <v>0</v>
      </c>
      <c r="I197" t="n">
        <v>2</v>
      </c>
      <c r="J197" t="n">
        <v>0</v>
      </c>
      <c r="K197" t="n">
        <v>0</v>
      </c>
      <c r="L197" t="n">
        <v>0</v>
      </c>
      <c r="M197" t="n">
        <v>0</v>
      </c>
      <c r="N197" t="n">
        <v>0</v>
      </c>
      <c r="O197" t="n">
        <v>0</v>
      </c>
      <c r="P197" t="n">
        <v>0</v>
      </c>
      <c r="Q197" t="n">
        <v>2</v>
      </c>
      <c r="R197" s="2" t="inlineStr">
        <is>
          <t>Fjällig taggsvamp s.str.
Skarp dropptaggsvamp</t>
        </is>
      </c>
      <c r="S197">
        <f>HYPERLINK("https://klasma.github.io/Logging_0140/artfynd/A 6852-2022 artfynd.xlsx", "A 6852-2022")</f>
        <v/>
      </c>
      <c r="T197">
        <f>HYPERLINK("https://klasma.github.io/Logging_0140/kartor/A 6852-2022 karta.png", "A 6852-2022")</f>
        <v/>
      </c>
      <c r="V197">
        <f>HYPERLINK("https://klasma.github.io/Logging_0140/klagomål/A 6852-2022 FSC-klagomål.docx", "A 6852-2022")</f>
        <v/>
      </c>
      <c r="W197">
        <f>HYPERLINK("https://klasma.github.io/Logging_0140/klagomålsmail/A 6852-2022 FSC-klagomål mail.docx", "A 6852-2022")</f>
        <v/>
      </c>
      <c r="X197">
        <f>HYPERLINK("https://klasma.github.io/Logging_0140/tillsyn/A 6852-2022 tillsynsbegäran.docx", "A 6852-2022")</f>
        <v/>
      </c>
      <c r="Y197">
        <f>HYPERLINK("https://klasma.github.io/Logging_0140/tillsynsmail/A 6852-2022 tillsynsbegäran mail.docx", "A 6852-2022")</f>
        <v/>
      </c>
    </row>
    <row r="198" ht="15" customHeight="1">
      <c r="A198" t="inlineStr">
        <is>
          <t>A 11513-2022</t>
        </is>
      </c>
      <c r="B198" s="1" t="n">
        <v>44630</v>
      </c>
      <c r="C198" s="1" t="n">
        <v>45224</v>
      </c>
      <c r="D198" t="inlineStr">
        <is>
          <t>STOCKHOLMS LÄN</t>
        </is>
      </c>
      <c r="E198" t="inlineStr">
        <is>
          <t>HANINGE</t>
        </is>
      </c>
      <c r="G198" t="n">
        <v>11.1</v>
      </c>
      <c r="H198" t="n">
        <v>2</v>
      </c>
      <c r="I198" t="n">
        <v>1</v>
      </c>
      <c r="J198" t="n">
        <v>0</v>
      </c>
      <c r="K198" t="n">
        <v>0</v>
      </c>
      <c r="L198" t="n">
        <v>0</v>
      </c>
      <c r="M198" t="n">
        <v>0</v>
      </c>
      <c r="N198" t="n">
        <v>0</v>
      </c>
      <c r="O198" t="n">
        <v>0</v>
      </c>
      <c r="P198" t="n">
        <v>0</v>
      </c>
      <c r="Q198" t="n">
        <v>2</v>
      </c>
      <c r="R198" s="2" t="inlineStr">
        <is>
          <t>Grön sköldmossa
Blåsippa</t>
        </is>
      </c>
      <c r="S198">
        <f>HYPERLINK("https://klasma.github.io/Logging_0136/artfynd/A 11513-2022 artfynd.xlsx", "A 11513-2022")</f>
        <v/>
      </c>
      <c r="T198">
        <f>HYPERLINK("https://klasma.github.io/Logging_0136/kartor/A 11513-2022 karta.png", "A 11513-2022")</f>
        <v/>
      </c>
      <c r="V198">
        <f>HYPERLINK("https://klasma.github.io/Logging_0136/klagomål/A 11513-2022 FSC-klagomål.docx", "A 11513-2022")</f>
        <v/>
      </c>
      <c r="W198">
        <f>HYPERLINK("https://klasma.github.io/Logging_0136/klagomålsmail/A 11513-2022 FSC-klagomål mail.docx", "A 11513-2022")</f>
        <v/>
      </c>
      <c r="X198">
        <f>HYPERLINK("https://klasma.github.io/Logging_0136/tillsyn/A 11513-2022 tillsynsbegäran.docx", "A 11513-2022")</f>
        <v/>
      </c>
      <c r="Y198">
        <f>HYPERLINK("https://klasma.github.io/Logging_0136/tillsynsmail/A 11513-2022 tillsynsbegäran mail.docx", "A 11513-2022")</f>
        <v/>
      </c>
    </row>
    <row r="199" ht="15" customHeight="1">
      <c r="A199" t="inlineStr">
        <is>
          <t>A 16260-2022</t>
        </is>
      </c>
      <c r="B199" s="1" t="n">
        <v>44670</v>
      </c>
      <c r="C199" s="1" t="n">
        <v>45224</v>
      </c>
      <c r="D199" t="inlineStr">
        <is>
          <t>STOCKHOLMS LÄN</t>
        </is>
      </c>
      <c r="E199" t="inlineStr">
        <is>
          <t>NORRTÄLJE</t>
        </is>
      </c>
      <c r="G199" t="n">
        <v>6.6</v>
      </c>
      <c r="H199" t="n">
        <v>1</v>
      </c>
      <c r="I199" t="n">
        <v>2</v>
      </c>
      <c r="J199" t="n">
        <v>0</v>
      </c>
      <c r="K199" t="n">
        <v>0</v>
      </c>
      <c r="L199" t="n">
        <v>0</v>
      </c>
      <c r="M199" t="n">
        <v>0</v>
      </c>
      <c r="N199" t="n">
        <v>0</v>
      </c>
      <c r="O199" t="n">
        <v>0</v>
      </c>
      <c r="P199" t="n">
        <v>0</v>
      </c>
      <c r="Q199" t="n">
        <v>2</v>
      </c>
      <c r="R199" s="2" t="inlineStr">
        <is>
          <t>Nästrot
Vårärt</t>
        </is>
      </c>
      <c r="S199">
        <f>HYPERLINK("https://klasma.github.io/Logging_0188/artfynd/A 16260-2022 artfynd.xlsx", "A 16260-2022")</f>
        <v/>
      </c>
      <c r="T199">
        <f>HYPERLINK("https://klasma.github.io/Logging_0188/kartor/A 16260-2022 karta.png", "A 16260-2022")</f>
        <v/>
      </c>
      <c r="V199">
        <f>HYPERLINK("https://klasma.github.io/Logging_0188/klagomål/A 16260-2022 FSC-klagomål.docx", "A 16260-2022")</f>
        <v/>
      </c>
      <c r="W199">
        <f>HYPERLINK("https://klasma.github.io/Logging_0188/klagomålsmail/A 16260-2022 FSC-klagomål mail.docx", "A 16260-2022")</f>
        <v/>
      </c>
      <c r="X199">
        <f>HYPERLINK("https://klasma.github.io/Logging_0188/tillsyn/A 16260-2022 tillsynsbegäran.docx", "A 16260-2022")</f>
        <v/>
      </c>
      <c r="Y199">
        <f>HYPERLINK("https://klasma.github.io/Logging_0188/tillsynsmail/A 16260-2022 tillsynsbegäran mail.docx", "A 16260-2022")</f>
        <v/>
      </c>
    </row>
    <row r="200" ht="15" customHeight="1">
      <c r="A200" t="inlineStr">
        <is>
          <t>A 19862-2022</t>
        </is>
      </c>
      <c r="B200" s="1" t="n">
        <v>44696</v>
      </c>
      <c r="C200" s="1" t="n">
        <v>45224</v>
      </c>
      <c r="D200" t="inlineStr">
        <is>
          <t>STOCKHOLMS LÄN</t>
        </is>
      </c>
      <c r="E200" t="inlineStr">
        <is>
          <t>NORRTÄLJE</t>
        </is>
      </c>
      <c r="G200" t="n">
        <v>6</v>
      </c>
      <c r="H200" t="n">
        <v>1</v>
      </c>
      <c r="I200" t="n">
        <v>0</v>
      </c>
      <c r="J200" t="n">
        <v>1</v>
      </c>
      <c r="K200" t="n">
        <v>0</v>
      </c>
      <c r="L200" t="n">
        <v>0</v>
      </c>
      <c r="M200" t="n">
        <v>0</v>
      </c>
      <c r="N200" t="n">
        <v>0</v>
      </c>
      <c r="O200" t="n">
        <v>1</v>
      </c>
      <c r="P200" t="n">
        <v>0</v>
      </c>
      <c r="Q200" t="n">
        <v>2</v>
      </c>
      <c r="R200" s="2" t="inlineStr">
        <is>
          <t>Granticka
Blåsippa</t>
        </is>
      </c>
      <c r="S200">
        <f>HYPERLINK("https://klasma.github.io/Logging_0188/artfynd/A 19862-2022 artfynd.xlsx", "A 19862-2022")</f>
        <v/>
      </c>
      <c r="T200">
        <f>HYPERLINK("https://klasma.github.io/Logging_0188/kartor/A 19862-2022 karta.png", "A 19862-2022")</f>
        <v/>
      </c>
      <c r="V200">
        <f>HYPERLINK("https://klasma.github.io/Logging_0188/klagomål/A 19862-2022 FSC-klagomål.docx", "A 19862-2022")</f>
        <v/>
      </c>
      <c r="W200">
        <f>HYPERLINK("https://klasma.github.io/Logging_0188/klagomålsmail/A 19862-2022 FSC-klagomål mail.docx", "A 19862-2022")</f>
        <v/>
      </c>
      <c r="X200">
        <f>HYPERLINK("https://klasma.github.io/Logging_0188/tillsyn/A 19862-2022 tillsynsbegäran.docx", "A 19862-2022")</f>
        <v/>
      </c>
      <c r="Y200">
        <f>HYPERLINK("https://klasma.github.io/Logging_0188/tillsynsmail/A 19862-2022 tillsynsbegäran mail.docx", "A 19862-2022")</f>
        <v/>
      </c>
    </row>
    <row r="201" ht="15" customHeight="1">
      <c r="A201" t="inlineStr">
        <is>
          <t>A 22061-2022</t>
        </is>
      </c>
      <c r="B201" s="1" t="n">
        <v>44711</v>
      </c>
      <c r="C201" s="1" t="n">
        <v>45224</v>
      </c>
      <c r="D201" t="inlineStr">
        <is>
          <t>STOCKHOLMS LÄN</t>
        </is>
      </c>
      <c r="E201" t="inlineStr">
        <is>
          <t>VALLENTUNA</t>
        </is>
      </c>
      <c r="G201" t="n">
        <v>6.2</v>
      </c>
      <c r="H201" t="n">
        <v>0</v>
      </c>
      <c r="I201" t="n">
        <v>2</v>
      </c>
      <c r="J201" t="n">
        <v>0</v>
      </c>
      <c r="K201" t="n">
        <v>0</v>
      </c>
      <c r="L201" t="n">
        <v>0</v>
      </c>
      <c r="M201" t="n">
        <v>0</v>
      </c>
      <c r="N201" t="n">
        <v>0</v>
      </c>
      <c r="O201" t="n">
        <v>0</v>
      </c>
      <c r="P201" t="n">
        <v>0</v>
      </c>
      <c r="Q201" t="n">
        <v>2</v>
      </c>
      <c r="R201" s="2" t="inlineStr">
        <is>
          <t>Rostfläck
Stubbspretmossa</t>
        </is>
      </c>
      <c r="S201">
        <f>HYPERLINK("https://klasma.github.io/Logging_0115/artfynd/A 22061-2022 artfynd.xlsx", "A 22061-2022")</f>
        <v/>
      </c>
      <c r="T201">
        <f>HYPERLINK("https://klasma.github.io/Logging_0115/kartor/A 22061-2022 karta.png", "A 22061-2022")</f>
        <v/>
      </c>
      <c r="V201">
        <f>HYPERLINK("https://klasma.github.io/Logging_0115/klagomål/A 22061-2022 FSC-klagomål.docx", "A 22061-2022")</f>
        <v/>
      </c>
      <c r="W201">
        <f>HYPERLINK("https://klasma.github.io/Logging_0115/klagomålsmail/A 22061-2022 FSC-klagomål mail.docx", "A 22061-2022")</f>
        <v/>
      </c>
      <c r="X201">
        <f>HYPERLINK("https://klasma.github.io/Logging_0115/tillsyn/A 22061-2022 tillsynsbegäran.docx", "A 22061-2022")</f>
        <v/>
      </c>
      <c r="Y201">
        <f>HYPERLINK("https://klasma.github.io/Logging_0115/tillsynsmail/A 22061-2022 tillsynsbegäran mail.docx", "A 22061-2022")</f>
        <v/>
      </c>
    </row>
    <row r="202" ht="15" customHeight="1">
      <c r="A202" t="inlineStr">
        <is>
          <t>A 27742-2022</t>
        </is>
      </c>
      <c r="B202" s="1" t="n">
        <v>44743</v>
      </c>
      <c r="C202" s="1" t="n">
        <v>45224</v>
      </c>
      <c r="D202" t="inlineStr">
        <is>
          <t>STOCKHOLMS LÄN</t>
        </is>
      </c>
      <c r="E202" t="inlineStr">
        <is>
          <t>NORRTÄLJE</t>
        </is>
      </c>
      <c r="G202" t="n">
        <v>3.9</v>
      </c>
      <c r="H202" t="n">
        <v>1</v>
      </c>
      <c r="I202" t="n">
        <v>1</v>
      </c>
      <c r="J202" t="n">
        <v>0</v>
      </c>
      <c r="K202" t="n">
        <v>0</v>
      </c>
      <c r="L202" t="n">
        <v>0</v>
      </c>
      <c r="M202" t="n">
        <v>0</v>
      </c>
      <c r="N202" t="n">
        <v>0</v>
      </c>
      <c r="O202" t="n">
        <v>0</v>
      </c>
      <c r="P202" t="n">
        <v>0</v>
      </c>
      <c r="Q202" t="n">
        <v>2</v>
      </c>
      <c r="R202" s="2" t="inlineStr">
        <is>
          <t>Svavelriska
Blåsippa</t>
        </is>
      </c>
      <c r="S202">
        <f>HYPERLINK("https://klasma.github.io/Logging_0188/artfynd/A 27742-2022 artfynd.xlsx", "A 27742-2022")</f>
        <v/>
      </c>
      <c r="T202">
        <f>HYPERLINK("https://klasma.github.io/Logging_0188/kartor/A 27742-2022 karta.png", "A 27742-2022")</f>
        <v/>
      </c>
      <c r="V202">
        <f>HYPERLINK("https://klasma.github.io/Logging_0188/klagomål/A 27742-2022 FSC-klagomål.docx", "A 27742-2022")</f>
        <v/>
      </c>
      <c r="W202">
        <f>HYPERLINK("https://klasma.github.io/Logging_0188/klagomålsmail/A 27742-2022 FSC-klagomål mail.docx", "A 27742-2022")</f>
        <v/>
      </c>
      <c r="X202">
        <f>HYPERLINK("https://klasma.github.io/Logging_0188/tillsyn/A 27742-2022 tillsynsbegäran.docx", "A 27742-2022")</f>
        <v/>
      </c>
      <c r="Y202">
        <f>HYPERLINK("https://klasma.github.io/Logging_0188/tillsynsmail/A 27742-2022 tillsynsbegäran mail.docx", "A 27742-2022")</f>
        <v/>
      </c>
    </row>
    <row r="203" ht="15" customHeight="1">
      <c r="A203" t="inlineStr">
        <is>
          <t>A 34068-2022</t>
        </is>
      </c>
      <c r="B203" s="1" t="n">
        <v>44791</v>
      </c>
      <c r="C203" s="1" t="n">
        <v>45224</v>
      </c>
      <c r="D203" t="inlineStr">
        <is>
          <t>STOCKHOLMS LÄN</t>
        </is>
      </c>
      <c r="E203" t="inlineStr">
        <is>
          <t>SIGTUNA</t>
        </is>
      </c>
      <c r="G203" t="n">
        <v>5.8</v>
      </c>
      <c r="H203" t="n">
        <v>1</v>
      </c>
      <c r="I203" t="n">
        <v>0</v>
      </c>
      <c r="J203" t="n">
        <v>0</v>
      </c>
      <c r="K203" t="n">
        <v>0</v>
      </c>
      <c r="L203" t="n">
        <v>1</v>
      </c>
      <c r="M203" t="n">
        <v>0</v>
      </c>
      <c r="N203" t="n">
        <v>0</v>
      </c>
      <c r="O203" t="n">
        <v>1</v>
      </c>
      <c r="P203" t="n">
        <v>1</v>
      </c>
      <c r="Q203" t="n">
        <v>2</v>
      </c>
      <c r="R203" s="2" t="inlineStr">
        <is>
          <t>Ask
Gullviva</t>
        </is>
      </c>
      <c r="S203">
        <f>HYPERLINK("https://klasma.github.io/Logging_0191/artfynd/A 34068-2022 artfynd.xlsx", "A 34068-2022")</f>
        <v/>
      </c>
      <c r="T203">
        <f>HYPERLINK("https://klasma.github.io/Logging_0191/kartor/A 34068-2022 karta.png", "A 34068-2022")</f>
        <v/>
      </c>
      <c r="V203">
        <f>HYPERLINK("https://klasma.github.io/Logging_0191/klagomål/A 34068-2022 FSC-klagomål.docx", "A 34068-2022")</f>
        <v/>
      </c>
      <c r="W203">
        <f>HYPERLINK("https://klasma.github.io/Logging_0191/klagomålsmail/A 34068-2022 FSC-klagomål mail.docx", "A 34068-2022")</f>
        <v/>
      </c>
      <c r="X203">
        <f>HYPERLINK("https://klasma.github.io/Logging_0191/tillsyn/A 34068-2022 tillsynsbegäran.docx", "A 34068-2022")</f>
        <v/>
      </c>
      <c r="Y203">
        <f>HYPERLINK("https://klasma.github.io/Logging_0191/tillsynsmail/A 34068-2022 tillsynsbegäran mail.docx", "A 34068-2022")</f>
        <v/>
      </c>
    </row>
    <row r="204" ht="15" customHeight="1">
      <c r="A204" t="inlineStr">
        <is>
          <t>A 52046-2022</t>
        </is>
      </c>
      <c r="B204" s="1" t="n">
        <v>44868</v>
      </c>
      <c r="C204" s="1" t="n">
        <v>45224</v>
      </c>
      <c r="D204" t="inlineStr">
        <is>
          <t>STOCKHOLMS LÄN</t>
        </is>
      </c>
      <c r="E204" t="inlineStr">
        <is>
          <t>SÖDERTÄLJE</t>
        </is>
      </c>
      <c r="F204" t="inlineStr">
        <is>
          <t>Kommuner</t>
        </is>
      </c>
      <c r="G204" t="n">
        <v>22.9</v>
      </c>
      <c r="H204" t="n">
        <v>1</v>
      </c>
      <c r="I204" t="n">
        <v>1</v>
      </c>
      <c r="J204" t="n">
        <v>0</v>
      </c>
      <c r="K204" t="n">
        <v>0</v>
      </c>
      <c r="L204" t="n">
        <v>0</v>
      </c>
      <c r="M204" t="n">
        <v>0</v>
      </c>
      <c r="N204" t="n">
        <v>0</v>
      </c>
      <c r="O204" t="n">
        <v>0</v>
      </c>
      <c r="P204" t="n">
        <v>0</v>
      </c>
      <c r="Q204" t="n">
        <v>2</v>
      </c>
      <c r="R204" s="2" t="inlineStr">
        <is>
          <t>Tjockfotad fingersvamp
Nattviol</t>
        </is>
      </c>
      <c r="S204">
        <f>HYPERLINK("https://klasma.github.io/Logging_0181/artfynd/A 52046-2022 artfynd.xlsx", "A 52046-2022")</f>
        <v/>
      </c>
      <c r="T204">
        <f>HYPERLINK("https://klasma.github.io/Logging_0181/kartor/A 52046-2022 karta.png", "A 52046-2022")</f>
        <v/>
      </c>
      <c r="V204">
        <f>HYPERLINK("https://klasma.github.io/Logging_0181/klagomål/A 52046-2022 FSC-klagomål.docx", "A 52046-2022")</f>
        <v/>
      </c>
      <c r="W204">
        <f>HYPERLINK("https://klasma.github.io/Logging_0181/klagomålsmail/A 52046-2022 FSC-klagomål mail.docx", "A 52046-2022")</f>
        <v/>
      </c>
      <c r="X204">
        <f>HYPERLINK("https://klasma.github.io/Logging_0181/tillsyn/A 52046-2022 tillsynsbegäran.docx", "A 52046-2022")</f>
        <v/>
      </c>
      <c r="Y204">
        <f>HYPERLINK("https://klasma.github.io/Logging_0181/tillsynsmail/A 52046-2022 tillsynsbegäran mail.docx", "A 52046-2022")</f>
        <v/>
      </c>
    </row>
    <row r="205" ht="15" customHeight="1">
      <c r="A205" t="inlineStr">
        <is>
          <t>A 52124-2022</t>
        </is>
      </c>
      <c r="B205" s="1" t="n">
        <v>44868</v>
      </c>
      <c r="C205" s="1" t="n">
        <v>45224</v>
      </c>
      <c r="D205" t="inlineStr">
        <is>
          <t>STOCKHOLMS LÄN</t>
        </is>
      </c>
      <c r="E205" t="inlineStr">
        <is>
          <t>NORRTÄLJE</t>
        </is>
      </c>
      <c r="G205" t="n">
        <v>4.8</v>
      </c>
      <c r="H205" t="n">
        <v>1</v>
      </c>
      <c r="I205" t="n">
        <v>0</v>
      </c>
      <c r="J205" t="n">
        <v>1</v>
      </c>
      <c r="K205" t="n">
        <v>0</v>
      </c>
      <c r="L205" t="n">
        <v>0</v>
      </c>
      <c r="M205" t="n">
        <v>0</v>
      </c>
      <c r="N205" t="n">
        <v>0</v>
      </c>
      <c r="O205" t="n">
        <v>1</v>
      </c>
      <c r="P205" t="n">
        <v>0</v>
      </c>
      <c r="Q205" t="n">
        <v>2</v>
      </c>
      <c r="R205" s="2" t="inlineStr">
        <is>
          <t>Kandelabersvamp
Blåsippa</t>
        </is>
      </c>
      <c r="S205">
        <f>HYPERLINK("https://klasma.github.io/Logging_0188/artfynd/A 52124-2022 artfynd.xlsx", "A 52124-2022")</f>
        <v/>
      </c>
      <c r="T205">
        <f>HYPERLINK("https://klasma.github.io/Logging_0188/kartor/A 52124-2022 karta.png", "A 52124-2022")</f>
        <v/>
      </c>
      <c r="V205">
        <f>HYPERLINK("https://klasma.github.io/Logging_0188/klagomål/A 52124-2022 FSC-klagomål.docx", "A 52124-2022")</f>
        <v/>
      </c>
      <c r="W205">
        <f>HYPERLINK("https://klasma.github.io/Logging_0188/klagomålsmail/A 52124-2022 FSC-klagomål mail.docx", "A 52124-2022")</f>
        <v/>
      </c>
      <c r="X205">
        <f>HYPERLINK("https://klasma.github.io/Logging_0188/tillsyn/A 52124-2022 tillsynsbegäran.docx", "A 52124-2022")</f>
        <v/>
      </c>
      <c r="Y205">
        <f>HYPERLINK("https://klasma.github.io/Logging_0188/tillsynsmail/A 52124-2022 tillsynsbegäran mail.docx", "A 52124-2022")</f>
        <v/>
      </c>
    </row>
    <row r="206" ht="15" customHeight="1">
      <c r="A206" t="inlineStr">
        <is>
          <t>A 51980-2022</t>
        </is>
      </c>
      <c r="B206" s="1" t="n">
        <v>44872</v>
      </c>
      <c r="C206" s="1" t="n">
        <v>45224</v>
      </c>
      <c r="D206" t="inlineStr">
        <is>
          <t>STOCKHOLMS LÄN</t>
        </is>
      </c>
      <c r="E206" t="inlineStr">
        <is>
          <t>NORRTÄLJE</t>
        </is>
      </c>
      <c r="G206" t="n">
        <v>7.9</v>
      </c>
      <c r="H206" t="n">
        <v>1</v>
      </c>
      <c r="I206" t="n">
        <v>2</v>
      </c>
      <c r="J206" t="n">
        <v>0</v>
      </c>
      <c r="K206" t="n">
        <v>0</v>
      </c>
      <c r="L206" t="n">
        <v>0</v>
      </c>
      <c r="M206" t="n">
        <v>0</v>
      </c>
      <c r="N206" t="n">
        <v>0</v>
      </c>
      <c r="O206" t="n">
        <v>0</v>
      </c>
      <c r="P206" t="n">
        <v>0</v>
      </c>
      <c r="Q206" t="n">
        <v>2</v>
      </c>
      <c r="R206" s="2" t="inlineStr">
        <is>
          <t>Rödgul trumpetsvamp
Skogsknipprot</t>
        </is>
      </c>
      <c r="S206">
        <f>HYPERLINK("https://klasma.github.io/Logging_0188/artfynd/A 51980-2022 artfynd.xlsx", "A 51980-2022")</f>
        <v/>
      </c>
      <c r="T206">
        <f>HYPERLINK("https://klasma.github.io/Logging_0188/kartor/A 51980-2022 karta.png", "A 51980-2022")</f>
        <v/>
      </c>
      <c r="V206">
        <f>HYPERLINK("https://klasma.github.io/Logging_0188/klagomål/A 51980-2022 FSC-klagomål.docx", "A 51980-2022")</f>
        <v/>
      </c>
      <c r="W206">
        <f>HYPERLINK("https://klasma.github.io/Logging_0188/klagomålsmail/A 51980-2022 FSC-klagomål mail.docx", "A 51980-2022")</f>
        <v/>
      </c>
      <c r="X206">
        <f>HYPERLINK("https://klasma.github.io/Logging_0188/tillsyn/A 51980-2022 tillsynsbegäran.docx", "A 51980-2022")</f>
        <v/>
      </c>
      <c r="Y206">
        <f>HYPERLINK("https://klasma.github.io/Logging_0188/tillsynsmail/A 51980-2022 tillsynsbegäran mail.docx", "A 51980-2022")</f>
        <v/>
      </c>
    </row>
    <row r="207" ht="15" customHeight="1">
      <c r="A207" t="inlineStr">
        <is>
          <t>A 61302-2022</t>
        </is>
      </c>
      <c r="B207" s="1" t="n">
        <v>44915</v>
      </c>
      <c r="C207" s="1" t="n">
        <v>45224</v>
      </c>
      <c r="D207" t="inlineStr">
        <is>
          <t>STOCKHOLMS LÄN</t>
        </is>
      </c>
      <c r="E207" t="inlineStr">
        <is>
          <t>SALEM</t>
        </is>
      </c>
      <c r="F207" t="inlineStr">
        <is>
          <t>Kommuner</t>
        </is>
      </c>
      <c r="G207" t="n">
        <v>14.8</v>
      </c>
      <c r="H207" t="n">
        <v>0</v>
      </c>
      <c r="I207" t="n">
        <v>2</v>
      </c>
      <c r="J207" t="n">
        <v>0</v>
      </c>
      <c r="K207" t="n">
        <v>0</v>
      </c>
      <c r="L207" t="n">
        <v>0</v>
      </c>
      <c r="M207" t="n">
        <v>0</v>
      </c>
      <c r="N207" t="n">
        <v>0</v>
      </c>
      <c r="O207" t="n">
        <v>0</v>
      </c>
      <c r="P207" t="n">
        <v>0</v>
      </c>
      <c r="Q207" t="n">
        <v>2</v>
      </c>
      <c r="R207" s="2" t="inlineStr">
        <is>
          <t>Trådticka
Zontaggsvamp</t>
        </is>
      </c>
      <c r="S207">
        <f>HYPERLINK("https://klasma.github.io/Logging_0128/artfynd/A 61302-2022 artfynd.xlsx", "A 61302-2022")</f>
        <v/>
      </c>
      <c r="T207">
        <f>HYPERLINK("https://klasma.github.io/Logging_0128/kartor/A 61302-2022 karta.png", "A 61302-2022")</f>
        <v/>
      </c>
      <c r="V207">
        <f>HYPERLINK("https://klasma.github.io/Logging_0128/klagomål/A 61302-2022 FSC-klagomål.docx", "A 61302-2022")</f>
        <v/>
      </c>
      <c r="W207">
        <f>HYPERLINK("https://klasma.github.io/Logging_0128/klagomålsmail/A 61302-2022 FSC-klagomål mail.docx", "A 61302-2022")</f>
        <v/>
      </c>
      <c r="X207">
        <f>HYPERLINK("https://klasma.github.io/Logging_0128/tillsyn/A 61302-2022 tillsynsbegäran.docx", "A 61302-2022")</f>
        <v/>
      </c>
      <c r="Y207">
        <f>HYPERLINK("https://klasma.github.io/Logging_0128/tillsynsmail/A 61302-2022 tillsynsbegäran mail.docx", "A 61302-2022")</f>
        <v/>
      </c>
    </row>
    <row r="208" ht="15" customHeight="1">
      <c r="A208" t="inlineStr">
        <is>
          <t>A 61363-2022</t>
        </is>
      </c>
      <c r="B208" s="1" t="n">
        <v>44915</v>
      </c>
      <c r="C208" s="1" t="n">
        <v>45224</v>
      </c>
      <c r="D208" t="inlineStr">
        <is>
          <t>STOCKHOLMS LÄN</t>
        </is>
      </c>
      <c r="E208" t="inlineStr">
        <is>
          <t>ÖSTERÅKER</t>
        </is>
      </c>
      <c r="G208" t="n">
        <v>5.3</v>
      </c>
      <c r="H208" t="n">
        <v>0</v>
      </c>
      <c r="I208" t="n">
        <v>1</v>
      </c>
      <c r="J208" t="n">
        <v>1</v>
      </c>
      <c r="K208" t="n">
        <v>0</v>
      </c>
      <c r="L208" t="n">
        <v>0</v>
      </c>
      <c r="M208" t="n">
        <v>0</v>
      </c>
      <c r="N208" t="n">
        <v>0</v>
      </c>
      <c r="O208" t="n">
        <v>1</v>
      </c>
      <c r="P208" t="n">
        <v>0</v>
      </c>
      <c r="Q208" t="n">
        <v>2</v>
      </c>
      <c r="R208" s="2" t="inlineStr">
        <is>
          <t>Motaggsvamp
Skuggblåslav</t>
        </is>
      </c>
      <c r="S208">
        <f>HYPERLINK("https://klasma.github.io/Logging_0117/artfynd/A 61363-2022 artfynd.xlsx", "A 61363-2022")</f>
        <v/>
      </c>
      <c r="T208">
        <f>HYPERLINK("https://klasma.github.io/Logging_0117/kartor/A 61363-2022 karta.png", "A 61363-2022")</f>
        <v/>
      </c>
      <c r="V208">
        <f>HYPERLINK("https://klasma.github.io/Logging_0117/klagomål/A 61363-2022 FSC-klagomål.docx", "A 61363-2022")</f>
        <v/>
      </c>
      <c r="W208">
        <f>HYPERLINK("https://klasma.github.io/Logging_0117/klagomålsmail/A 61363-2022 FSC-klagomål mail.docx", "A 61363-2022")</f>
        <v/>
      </c>
      <c r="X208">
        <f>HYPERLINK("https://klasma.github.io/Logging_0117/tillsyn/A 61363-2022 tillsynsbegäran.docx", "A 61363-2022")</f>
        <v/>
      </c>
      <c r="Y208">
        <f>HYPERLINK("https://klasma.github.io/Logging_0117/tillsynsmail/A 61363-2022 tillsynsbegäran mail.docx", "A 61363-2022")</f>
        <v/>
      </c>
    </row>
    <row r="209" ht="15" customHeight="1">
      <c r="A209" t="inlineStr">
        <is>
          <t>A 1697-2023</t>
        </is>
      </c>
      <c r="B209" s="1" t="n">
        <v>44938</v>
      </c>
      <c r="C209" s="1" t="n">
        <v>45224</v>
      </c>
      <c r="D209" t="inlineStr">
        <is>
          <t>STOCKHOLMS LÄN</t>
        </is>
      </c>
      <c r="E209" t="inlineStr">
        <is>
          <t>BOTKYRKA</t>
        </is>
      </c>
      <c r="G209" t="n">
        <v>1.1</v>
      </c>
      <c r="H209" t="n">
        <v>0</v>
      </c>
      <c r="I209" t="n">
        <v>1</v>
      </c>
      <c r="J209" t="n">
        <v>1</v>
      </c>
      <c r="K209" t="n">
        <v>0</v>
      </c>
      <c r="L209" t="n">
        <v>0</v>
      </c>
      <c r="M209" t="n">
        <v>0</v>
      </c>
      <c r="N209" t="n">
        <v>0</v>
      </c>
      <c r="O209" t="n">
        <v>1</v>
      </c>
      <c r="P209" t="n">
        <v>0</v>
      </c>
      <c r="Q209" t="n">
        <v>2</v>
      </c>
      <c r="R209" s="2" t="inlineStr">
        <is>
          <t>Lunglav
Bårdlav</t>
        </is>
      </c>
      <c r="S209">
        <f>HYPERLINK("https://klasma.github.io/Logging_0127/artfynd/A 1697-2023 artfynd.xlsx", "A 1697-2023")</f>
        <v/>
      </c>
      <c r="T209">
        <f>HYPERLINK("https://klasma.github.io/Logging_0127/kartor/A 1697-2023 karta.png", "A 1697-2023")</f>
        <v/>
      </c>
      <c r="V209">
        <f>HYPERLINK("https://klasma.github.io/Logging_0127/klagomål/A 1697-2023 FSC-klagomål.docx", "A 1697-2023")</f>
        <v/>
      </c>
      <c r="W209">
        <f>HYPERLINK("https://klasma.github.io/Logging_0127/klagomålsmail/A 1697-2023 FSC-klagomål mail.docx", "A 1697-2023")</f>
        <v/>
      </c>
      <c r="X209">
        <f>HYPERLINK("https://klasma.github.io/Logging_0127/tillsyn/A 1697-2023 tillsynsbegäran.docx", "A 1697-2023")</f>
        <v/>
      </c>
      <c r="Y209">
        <f>HYPERLINK("https://klasma.github.io/Logging_0127/tillsynsmail/A 1697-2023 tillsynsbegäran mail.docx", "A 1697-2023")</f>
        <v/>
      </c>
    </row>
    <row r="210" ht="15" customHeight="1">
      <c r="A210" t="inlineStr">
        <is>
          <t>A 2992-2023</t>
        </is>
      </c>
      <c r="B210" s="1" t="n">
        <v>44945</v>
      </c>
      <c r="C210" s="1" t="n">
        <v>45224</v>
      </c>
      <c r="D210" t="inlineStr">
        <is>
          <t>STOCKHOLMS LÄN</t>
        </is>
      </c>
      <c r="E210" t="inlineStr">
        <is>
          <t>SALEM</t>
        </is>
      </c>
      <c r="F210" t="inlineStr">
        <is>
          <t>Kommuner</t>
        </is>
      </c>
      <c r="G210" t="n">
        <v>1.7</v>
      </c>
      <c r="H210" t="n">
        <v>0</v>
      </c>
      <c r="I210" t="n">
        <v>1</v>
      </c>
      <c r="J210" t="n">
        <v>0</v>
      </c>
      <c r="K210" t="n">
        <v>1</v>
      </c>
      <c r="L210" t="n">
        <v>0</v>
      </c>
      <c r="M210" t="n">
        <v>0</v>
      </c>
      <c r="N210" t="n">
        <v>0</v>
      </c>
      <c r="O210" t="n">
        <v>1</v>
      </c>
      <c r="P210" t="n">
        <v>1</v>
      </c>
      <c r="Q210" t="n">
        <v>2</v>
      </c>
      <c r="R210" s="2" t="inlineStr">
        <is>
          <t>Rynkskinn
Blåmossa</t>
        </is>
      </c>
      <c r="S210">
        <f>HYPERLINK("https://klasma.github.io/Logging_0128/artfynd/A 2992-2023 artfynd.xlsx", "A 2992-2023")</f>
        <v/>
      </c>
      <c r="T210">
        <f>HYPERLINK("https://klasma.github.io/Logging_0128/kartor/A 2992-2023 karta.png", "A 2992-2023")</f>
        <v/>
      </c>
      <c r="V210">
        <f>HYPERLINK("https://klasma.github.io/Logging_0128/klagomål/A 2992-2023 FSC-klagomål.docx", "A 2992-2023")</f>
        <v/>
      </c>
      <c r="W210">
        <f>HYPERLINK("https://klasma.github.io/Logging_0128/klagomålsmail/A 2992-2023 FSC-klagomål mail.docx", "A 2992-2023")</f>
        <v/>
      </c>
      <c r="X210">
        <f>HYPERLINK("https://klasma.github.io/Logging_0128/tillsyn/A 2992-2023 tillsynsbegäran.docx", "A 2992-2023")</f>
        <v/>
      </c>
      <c r="Y210">
        <f>HYPERLINK("https://klasma.github.io/Logging_0128/tillsynsmail/A 2992-2023 tillsynsbegäran mail.docx", "A 2992-2023")</f>
        <v/>
      </c>
    </row>
    <row r="211" ht="15" customHeight="1">
      <c r="A211" t="inlineStr">
        <is>
          <t>A 7341-2023</t>
        </is>
      </c>
      <c r="B211" s="1" t="n">
        <v>44971</v>
      </c>
      <c r="C211" s="1" t="n">
        <v>45224</v>
      </c>
      <c r="D211" t="inlineStr">
        <is>
          <t>STOCKHOLMS LÄN</t>
        </is>
      </c>
      <c r="E211" t="inlineStr">
        <is>
          <t>NORRTÄLJE</t>
        </is>
      </c>
      <c r="F211" t="inlineStr">
        <is>
          <t>Holmen skog AB</t>
        </is>
      </c>
      <c r="G211" t="n">
        <v>10.7</v>
      </c>
      <c r="H211" t="n">
        <v>0</v>
      </c>
      <c r="I211" t="n">
        <v>0</v>
      </c>
      <c r="J211" t="n">
        <v>2</v>
      </c>
      <c r="K211" t="n">
        <v>0</v>
      </c>
      <c r="L211" t="n">
        <v>0</v>
      </c>
      <c r="M211" t="n">
        <v>0</v>
      </c>
      <c r="N211" t="n">
        <v>0</v>
      </c>
      <c r="O211" t="n">
        <v>2</v>
      </c>
      <c r="P211" t="n">
        <v>0</v>
      </c>
      <c r="Q211" t="n">
        <v>2</v>
      </c>
      <c r="R211" s="2" t="inlineStr">
        <is>
          <t>Mindre bastardsvärmare
Smalsprötad bastardsvärmare</t>
        </is>
      </c>
      <c r="S211">
        <f>HYPERLINK("https://klasma.github.io/Logging_0188/artfynd/A 7341-2023 artfynd.xlsx", "A 7341-2023")</f>
        <v/>
      </c>
      <c r="T211">
        <f>HYPERLINK("https://klasma.github.io/Logging_0188/kartor/A 7341-2023 karta.png", "A 7341-2023")</f>
        <v/>
      </c>
      <c r="V211">
        <f>HYPERLINK("https://klasma.github.io/Logging_0188/klagomål/A 7341-2023 FSC-klagomål.docx", "A 7341-2023")</f>
        <v/>
      </c>
      <c r="W211">
        <f>HYPERLINK("https://klasma.github.io/Logging_0188/klagomålsmail/A 7341-2023 FSC-klagomål mail.docx", "A 7341-2023")</f>
        <v/>
      </c>
      <c r="X211">
        <f>HYPERLINK("https://klasma.github.io/Logging_0188/tillsyn/A 7341-2023 tillsynsbegäran.docx", "A 7341-2023")</f>
        <v/>
      </c>
      <c r="Y211">
        <f>HYPERLINK("https://klasma.github.io/Logging_0188/tillsynsmail/A 7341-2023 tillsynsbegäran mail.docx", "A 7341-2023")</f>
        <v/>
      </c>
    </row>
    <row r="212" ht="15" customHeight="1">
      <c r="A212" t="inlineStr">
        <is>
          <t>A 10136-2023</t>
        </is>
      </c>
      <c r="B212" s="1" t="n">
        <v>44986</v>
      </c>
      <c r="C212" s="1" t="n">
        <v>45224</v>
      </c>
      <c r="D212" t="inlineStr">
        <is>
          <t>STOCKHOLMS LÄN</t>
        </is>
      </c>
      <c r="E212" t="inlineStr">
        <is>
          <t>NORRTÄLJE</t>
        </is>
      </c>
      <c r="F212" t="inlineStr">
        <is>
          <t>Övriga statliga verk och myndigheter</t>
        </is>
      </c>
      <c r="G212" t="n">
        <v>3.6</v>
      </c>
      <c r="H212" t="n">
        <v>0</v>
      </c>
      <c r="I212" t="n">
        <v>0</v>
      </c>
      <c r="J212" t="n">
        <v>1</v>
      </c>
      <c r="K212" t="n">
        <v>1</v>
      </c>
      <c r="L212" t="n">
        <v>0</v>
      </c>
      <c r="M212" t="n">
        <v>0</v>
      </c>
      <c r="N212" t="n">
        <v>0</v>
      </c>
      <c r="O212" t="n">
        <v>2</v>
      </c>
      <c r="P212" t="n">
        <v>1</v>
      </c>
      <c r="Q212" t="n">
        <v>2</v>
      </c>
      <c r="R212" s="2" t="inlineStr">
        <is>
          <t>Svartfjällig musseron
Persiljespindling</t>
        </is>
      </c>
      <c r="S212">
        <f>HYPERLINK("https://klasma.github.io/Logging_0188/artfynd/A 10136-2023 artfynd.xlsx", "A 10136-2023")</f>
        <v/>
      </c>
      <c r="T212">
        <f>HYPERLINK("https://klasma.github.io/Logging_0188/kartor/A 10136-2023 karta.png", "A 10136-2023")</f>
        <v/>
      </c>
      <c r="V212">
        <f>HYPERLINK("https://klasma.github.io/Logging_0188/klagomål/A 10136-2023 FSC-klagomål.docx", "A 10136-2023")</f>
        <v/>
      </c>
      <c r="W212">
        <f>HYPERLINK("https://klasma.github.io/Logging_0188/klagomålsmail/A 10136-2023 FSC-klagomål mail.docx", "A 10136-2023")</f>
        <v/>
      </c>
      <c r="X212">
        <f>HYPERLINK("https://klasma.github.io/Logging_0188/tillsyn/A 10136-2023 tillsynsbegäran.docx", "A 10136-2023")</f>
        <v/>
      </c>
      <c r="Y212">
        <f>HYPERLINK("https://klasma.github.io/Logging_0188/tillsynsmail/A 10136-2023 tillsynsbegäran mail.docx", "A 10136-2023")</f>
        <v/>
      </c>
    </row>
    <row r="213" ht="15" customHeight="1">
      <c r="A213" t="inlineStr">
        <is>
          <t>A 14729-2023</t>
        </is>
      </c>
      <c r="B213" s="1" t="n">
        <v>45014</v>
      </c>
      <c r="C213" s="1" t="n">
        <v>45224</v>
      </c>
      <c r="D213" t="inlineStr">
        <is>
          <t>STOCKHOLMS LÄN</t>
        </is>
      </c>
      <c r="E213" t="inlineStr">
        <is>
          <t>HANINGE</t>
        </is>
      </c>
      <c r="G213" t="n">
        <v>0.2</v>
      </c>
      <c r="H213" t="n">
        <v>0</v>
      </c>
      <c r="I213" t="n">
        <v>1</v>
      </c>
      <c r="J213" t="n">
        <v>1</v>
      </c>
      <c r="K213" t="n">
        <v>0</v>
      </c>
      <c r="L213" t="n">
        <v>0</v>
      </c>
      <c r="M213" t="n">
        <v>0</v>
      </c>
      <c r="N213" t="n">
        <v>0</v>
      </c>
      <c r="O213" t="n">
        <v>1</v>
      </c>
      <c r="P213" t="n">
        <v>0</v>
      </c>
      <c r="Q213" t="n">
        <v>2</v>
      </c>
      <c r="R213" s="2" t="inlineStr">
        <is>
          <t>Ullticka
Mindre märgborre</t>
        </is>
      </c>
      <c r="S213">
        <f>HYPERLINK("https://klasma.github.io/Logging_0136/artfynd/A 14729-2023 artfynd.xlsx", "A 14729-2023")</f>
        <v/>
      </c>
      <c r="T213">
        <f>HYPERLINK("https://klasma.github.io/Logging_0136/kartor/A 14729-2023 karta.png", "A 14729-2023")</f>
        <v/>
      </c>
      <c r="V213">
        <f>HYPERLINK("https://klasma.github.io/Logging_0136/klagomål/A 14729-2023 FSC-klagomål.docx", "A 14729-2023")</f>
        <v/>
      </c>
      <c r="W213">
        <f>HYPERLINK("https://klasma.github.io/Logging_0136/klagomålsmail/A 14729-2023 FSC-klagomål mail.docx", "A 14729-2023")</f>
        <v/>
      </c>
      <c r="X213">
        <f>HYPERLINK("https://klasma.github.io/Logging_0136/tillsyn/A 14729-2023 tillsynsbegäran.docx", "A 14729-2023")</f>
        <v/>
      </c>
      <c r="Y213">
        <f>HYPERLINK("https://klasma.github.io/Logging_0136/tillsynsmail/A 14729-2023 tillsynsbegäran mail.docx", "A 14729-2023")</f>
        <v/>
      </c>
    </row>
    <row r="214" ht="15" customHeight="1">
      <c r="A214" t="inlineStr">
        <is>
          <t>A 15574-2023</t>
        </is>
      </c>
      <c r="B214" s="1" t="n">
        <v>45020</v>
      </c>
      <c r="C214" s="1" t="n">
        <v>45224</v>
      </c>
      <c r="D214" t="inlineStr">
        <is>
          <t>STOCKHOLMS LÄN</t>
        </is>
      </c>
      <c r="E214" t="inlineStr">
        <is>
          <t>NYKVARN</t>
        </is>
      </c>
      <c r="F214" t="inlineStr">
        <is>
          <t>Sveaskog</t>
        </is>
      </c>
      <c r="G214" t="n">
        <v>17.7</v>
      </c>
      <c r="H214" t="n">
        <v>0</v>
      </c>
      <c r="I214" t="n">
        <v>1</v>
      </c>
      <c r="J214" t="n">
        <v>1</v>
      </c>
      <c r="K214" t="n">
        <v>0</v>
      </c>
      <c r="L214" t="n">
        <v>0</v>
      </c>
      <c r="M214" t="n">
        <v>0</v>
      </c>
      <c r="N214" t="n">
        <v>0</v>
      </c>
      <c r="O214" t="n">
        <v>1</v>
      </c>
      <c r="P214" t="n">
        <v>0</v>
      </c>
      <c r="Q214" t="n">
        <v>2</v>
      </c>
      <c r="R214" s="2" t="inlineStr">
        <is>
          <t>Rödbrun blekspik
Gulpudrad spiklav</t>
        </is>
      </c>
      <c r="S214">
        <f>HYPERLINK("https://klasma.github.io/Logging_0140/artfynd/A 15574-2023 artfynd.xlsx", "A 15574-2023")</f>
        <v/>
      </c>
      <c r="T214">
        <f>HYPERLINK("https://klasma.github.io/Logging_0140/kartor/A 15574-2023 karta.png", "A 15574-2023")</f>
        <v/>
      </c>
      <c r="V214">
        <f>HYPERLINK("https://klasma.github.io/Logging_0140/klagomål/A 15574-2023 FSC-klagomål.docx", "A 15574-2023")</f>
        <v/>
      </c>
      <c r="W214">
        <f>HYPERLINK("https://klasma.github.io/Logging_0140/klagomålsmail/A 15574-2023 FSC-klagomål mail.docx", "A 15574-2023")</f>
        <v/>
      </c>
      <c r="X214">
        <f>HYPERLINK("https://klasma.github.io/Logging_0140/tillsyn/A 15574-2023 tillsynsbegäran.docx", "A 15574-2023")</f>
        <v/>
      </c>
      <c r="Y214">
        <f>HYPERLINK("https://klasma.github.io/Logging_0140/tillsynsmail/A 15574-2023 tillsynsbegäran mail.docx", "A 15574-2023")</f>
        <v/>
      </c>
    </row>
    <row r="215" ht="15" customHeight="1">
      <c r="A215" t="inlineStr">
        <is>
          <t>A 23861-2023</t>
        </is>
      </c>
      <c r="B215" s="1" t="n">
        <v>45078</v>
      </c>
      <c r="C215" s="1" t="n">
        <v>45224</v>
      </c>
      <c r="D215" t="inlineStr">
        <is>
          <t>STOCKHOLMS LÄN</t>
        </is>
      </c>
      <c r="E215" t="inlineStr">
        <is>
          <t>NORRTÄLJE</t>
        </is>
      </c>
      <c r="G215" t="n">
        <v>3.3</v>
      </c>
      <c r="H215" t="n">
        <v>1</v>
      </c>
      <c r="I215" t="n">
        <v>1</v>
      </c>
      <c r="J215" t="n">
        <v>0</v>
      </c>
      <c r="K215" t="n">
        <v>0</v>
      </c>
      <c r="L215" t="n">
        <v>0</v>
      </c>
      <c r="M215" t="n">
        <v>0</v>
      </c>
      <c r="N215" t="n">
        <v>0</v>
      </c>
      <c r="O215" t="n">
        <v>0</v>
      </c>
      <c r="P215" t="n">
        <v>0</v>
      </c>
      <c r="Q215" t="n">
        <v>2</v>
      </c>
      <c r="R215" s="2" t="inlineStr">
        <is>
          <t>Tibast
Blåsippa</t>
        </is>
      </c>
      <c r="S215">
        <f>HYPERLINK("https://klasma.github.io/Logging_0188/artfynd/A 23861-2023 artfynd.xlsx", "A 23861-2023")</f>
        <v/>
      </c>
      <c r="T215">
        <f>HYPERLINK("https://klasma.github.io/Logging_0188/kartor/A 23861-2023 karta.png", "A 23861-2023")</f>
        <v/>
      </c>
      <c r="V215">
        <f>HYPERLINK("https://klasma.github.io/Logging_0188/klagomål/A 23861-2023 FSC-klagomål.docx", "A 23861-2023")</f>
        <v/>
      </c>
      <c r="W215">
        <f>HYPERLINK("https://klasma.github.io/Logging_0188/klagomålsmail/A 23861-2023 FSC-klagomål mail.docx", "A 23861-2023")</f>
        <v/>
      </c>
      <c r="X215">
        <f>HYPERLINK("https://klasma.github.io/Logging_0188/tillsyn/A 23861-2023 tillsynsbegäran.docx", "A 23861-2023")</f>
        <v/>
      </c>
      <c r="Y215">
        <f>HYPERLINK("https://klasma.github.io/Logging_0188/tillsynsmail/A 23861-2023 tillsynsbegäran mail.docx", "A 23861-2023")</f>
        <v/>
      </c>
    </row>
    <row r="216" ht="15" customHeight="1">
      <c r="A216" t="inlineStr">
        <is>
          <t>A 33165-2023</t>
        </is>
      </c>
      <c r="B216" s="1" t="n">
        <v>45126</v>
      </c>
      <c r="C216" s="1" t="n">
        <v>45224</v>
      </c>
      <c r="D216" t="inlineStr">
        <is>
          <t>STOCKHOLMS LÄN</t>
        </is>
      </c>
      <c r="E216" t="inlineStr">
        <is>
          <t>VÄRMDÖ</t>
        </is>
      </c>
      <c r="G216" t="n">
        <v>9.1</v>
      </c>
      <c r="H216" t="n">
        <v>0</v>
      </c>
      <c r="I216" t="n">
        <v>0</v>
      </c>
      <c r="J216" t="n">
        <v>0</v>
      </c>
      <c r="K216" t="n">
        <v>1</v>
      </c>
      <c r="L216" t="n">
        <v>1</v>
      </c>
      <c r="M216" t="n">
        <v>0</v>
      </c>
      <c r="N216" t="n">
        <v>0</v>
      </c>
      <c r="O216" t="n">
        <v>2</v>
      </c>
      <c r="P216" t="n">
        <v>2</v>
      </c>
      <c r="Q216" t="n">
        <v>2</v>
      </c>
      <c r="R216" s="2" t="inlineStr">
        <is>
          <t>Ask
Mörk kraterlav</t>
        </is>
      </c>
      <c r="S216">
        <f>HYPERLINK("https://klasma.github.io/Logging_0120/artfynd/A 33165-2023 artfynd.xlsx", "A 33165-2023")</f>
        <v/>
      </c>
      <c r="T216">
        <f>HYPERLINK("https://klasma.github.io/Logging_0120/kartor/A 33165-2023 karta.png", "A 33165-2023")</f>
        <v/>
      </c>
      <c r="V216">
        <f>HYPERLINK("https://klasma.github.io/Logging_0120/klagomål/A 33165-2023 FSC-klagomål.docx", "A 33165-2023")</f>
        <v/>
      </c>
      <c r="W216">
        <f>HYPERLINK("https://klasma.github.io/Logging_0120/klagomålsmail/A 33165-2023 FSC-klagomål mail.docx", "A 33165-2023")</f>
        <v/>
      </c>
      <c r="X216">
        <f>HYPERLINK("https://klasma.github.io/Logging_0120/tillsyn/A 33165-2023 tillsynsbegäran.docx", "A 33165-2023")</f>
        <v/>
      </c>
      <c r="Y216">
        <f>HYPERLINK("https://klasma.github.io/Logging_0120/tillsynsmail/A 33165-2023 tillsynsbegäran mail.docx", "A 33165-2023")</f>
        <v/>
      </c>
    </row>
    <row r="217" ht="15" customHeight="1">
      <c r="A217" t="inlineStr">
        <is>
          <t>A 33287-2023</t>
        </is>
      </c>
      <c r="B217" s="1" t="n">
        <v>45127</v>
      </c>
      <c r="C217" s="1" t="n">
        <v>45224</v>
      </c>
      <c r="D217" t="inlineStr">
        <is>
          <t>STOCKHOLMS LÄN</t>
        </is>
      </c>
      <c r="E217" t="inlineStr">
        <is>
          <t>NORRTÄLJE</t>
        </is>
      </c>
      <c r="F217" t="inlineStr">
        <is>
          <t>Holmen skog AB</t>
        </is>
      </c>
      <c r="G217" t="n">
        <v>3.3</v>
      </c>
      <c r="H217" t="n">
        <v>0</v>
      </c>
      <c r="I217" t="n">
        <v>0</v>
      </c>
      <c r="J217" t="n">
        <v>2</v>
      </c>
      <c r="K217" t="n">
        <v>0</v>
      </c>
      <c r="L217" t="n">
        <v>0</v>
      </c>
      <c r="M217" t="n">
        <v>0</v>
      </c>
      <c r="N217" t="n">
        <v>0</v>
      </c>
      <c r="O217" t="n">
        <v>2</v>
      </c>
      <c r="P217" t="n">
        <v>0</v>
      </c>
      <c r="Q217" t="n">
        <v>2</v>
      </c>
      <c r="R217" s="2" t="inlineStr">
        <is>
          <t>Smalsprötad bastardsvärmare
Violettkantad guldvinge</t>
        </is>
      </c>
      <c r="S217">
        <f>HYPERLINK("https://klasma.github.io/Logging_0188/artfynd/A 33287-2023 artfynd.xlsx", "A 33287-2023")</f>
        <v/>
      </c>
      <c r="T217">
        <f>HYPERLINK("https://klasma.github.io/Logging_0188/kartor/A 33287-2023 karta.png", "A 33287-2023")</f>
        <v/>
      </c>
      <c r="V217">
        <f>HYPERLINK("https://klasma.github.io/Logging_0188/klagomål/A 33287-2023 FSC-klagomål.docx", "A 33287-2023")</f>
        <v/>
      </c>
      <c r="W217">
        <f>HYPERLINK("https://klasma.github.io/Logging_0188/klagomålsmail/A 33287-2023 FSC-klagomål mail.docx", "A 33287-2023")</f>
        <v/>
      </c>
      <c r="X217">
        <f>HYPERLINK("https://klasma.github.io/Logging_0188/tillsyn/A 33287-2023 tillsynsbegäran.docx", "A 33287-2023")</f>
        <v/>
      </c>
      <c r="Y217">
        <f>HYPERLINK("https://klasma.github.io/Logging_0188/tillsynsmail/A 33287-2023 tillsynsbegäran mail.docx", "A 33287-2023")</f>
        <v/>
      </c>
    </row>
    <row r="218" ht="15" customHeight="1">
      <c r="A218" t="inlineStr">
        <is>
          <t>A 35554-2023</t>
        </is>
      </c>
      <c r="B218" s="1" t="n">
        <v>45147</v>
      </c>
      <c r="C218" s="1" t="n">
        <v>45224</v>
      </c>
      <c r="D218" t="inlineStr">
        <is>
          <t>STOCKHOLMS LÄN</t>
        </is>
      </c>
      <c r="E218" t="inlineStr">
        <is>
          <t>VÄRMDÖ</t>
        </is>
      </c>
      <c r="G218" t="n">
        <v>0.7</v>
      </c>
      <c r="H218" t="n">
        <v>0</v>
      </c>
      <c r="I218" t="n">
        <v>1</v>
      </c>
      <c r="J218" t="n">
        <v>0</v>
      </c>
      <c r="K218" t="n">
        <v>1</v>
      </c>
      <c r="L218" t="n">
        <v>0</v>
      </c>
      <c r="M218" t="n">
        <v>0</v>
      </c>
      <c r="N218" t="n">
        <v>0</v>
      </c>
      <c r="O218" t="n">
        <v>1</v>
      </c>
      <c r="P218" t="n">
        <v>1</v>
      </c>
      <c r="Q218" t="n">
        <v>2</v>
      </c>
      <c r="R218" s="2" t="inlineStr">
        <is>
          <t>Grangråticka
Skarp dropptaggsvamp</t>
        </is>
      </c>
      <c r="S218">
        <f>HYPERLINK("https://klasma.github.io/Logging_0120/artfynd/A 35554-2023 artfynd.xlsx", "A 35554-2023")</f>
        <v/>
      </c>
      <c r="T218">
        <f>HYPERLINK("https://klasma.github.io/Logging_0120/kartor/A 35554-2023 karta.png", "A 35554-2023")</f>
        <v/>
      </c>
      <c r="V218">
        <f>HYPERLINK("https://klasma.github.io/Logging_0120/klagomål/A 35554-2023 FSC-klagomål.docx", "A 35554-2023")</f>
        <v/>
      </c>
      <c r="W218">
        <f>HYPERLINK("https://klasma.github.io/Logging_0120/klagomålsmail/A 35554-2023 FSC-klagomål mail.docx", "A 35554-2023")</f>
        <v/>
      </c>
      <c r="X218">
        <f>HYPERLINK("https://klasma.github.io/Logging_0120/tillsyn/A 35554-2023 tillsynsbegäran.docx", "A 35554-2023")</f>
        <v/>
      </c>
      <c r="Y218">
        <f>HYPERLINK("https://klasma.github.io/Logging_0120/tillsynsmail/A 35554-2023 tillsynsbegäran mail.docx", "A 35554-2023")</f>
        <v/>
      </c>
    </row>
    <row r="219" ht="15" customHeight="1">
      <c r="A219" t="inlineStr">
        <is>
          <t>A 35937-2023</t>
        </is>
      </c>
      <c r="B219" s="1" t="n">
        <v>45148</v>
      </c>
      <c r="C219" s="1" t="n">
        <v>45224</v>
      </c>
      <c r="D219" t="inlineStr">
        <is>
          <t>STOCKHOLMS LÄN</t>
        </is>
      </c>
      <c r="E219" t="inlineStr">
        <is>
          <t>SÖDERTÄLJE</t>
        </is>
      </c>
      <c r="G219" t="n">
        <v>3</v>
      </c>
      <c r="H219" t="n">
        <v>0</v>
      </c>
      <c r="I219" t="n">
        <v>0</v>
      </c>
      <c r="J219" t="n">
        <v>0</v>
      </c>
      <c r="K219" t="n">
        <v>0</v>
      </c>
      <c r="L219" t="n">
        <v>1</v>
      </c>
      <c r="M219" t="n">
        <v>1</v>
      </c>
      <c r="N219" t="n">
        <v>0</v>
      </c>
      <c r="O219" t="n">
        <v>2</v>
      </c>
      <c r="P219" t="n">
        <v>2</v>
      </c>
      <c r="Q219" t="n">
        <v>2</v>
      </c>
      <c r="R219" s="2" t="inlineStr">
        <is>
          <t>Skogsalm
Ask</t>
        </is>
      </c>
      <c r="S219">
        <f>HYPERLINK("https://klasma.github.io/Logging_0181/artfynd/A 35937-2023 artfynd.xlsx", "A 35937-2023")</f>
        <v/>
      </c>
      <c r="T219">
        <f>HYPERLINK("https://klasma.github.io/Logging_0181/kartor/A 35937-2023 karta.png", "A 35937-2023")</f>
        <v/>
      </c>
      <c r="V219">
        <f>HYPERLINK("https://klasma.github.io/Logging_0181/klagomål/A 35937-2023 FSC-klagomål.docx", "A 35937-2023")</f>
        <v/>
      </c>
      <c r="W219">
        <f>HYPERLINK("https://klasma.github.io/Logging_0181/klagomålsmail/A 35937-2023 FSC-klagomål mail.docx", "A 35937-2023")</f>
        <v/>
      </c>
      <c r="X219">
        <f>HYPERLINK("https://klasma.github.io/Logging_0181/tillsyn/A 35937-2023 tillsynsbegäran.docx", "A 35937-2023")</f>
        <v/>
      </c>
      <c r="Y219">
        <f>HYPERLINK("https://klasma.github.io/Logging_0181/tillsynsmail/A 35937-2023 tillsynsbegäran mail.docx", "A 35937-2023")</f>
        <v/>
      </c>
    </row>
    <row r="220" ht="15" customHeight="1">
      <c r="A220" t="inlineStr">
        <is>
          <t>A 51476-2023</t>
        </is>
      </c>
      <c r="B220" s="1" t="n">
        <v>45221</v>
      </c>
      <c r="C220" s="1" t="n">
        <v>45224</v>
      </c>
      <c r="D220" t="inlineStr">
        <is>
          <t>STOCKHOLMS LÄN</t>
        </is>
      </c>
      <c r="E220" t="inlineStr">
        <is>
          <t>NORRTÄLJE</t>
        </is>
      </c>
      <c r="G220" t="n">
        <v>4.6</v>
      </c>
      <c r="H220" t="n">
        <v>1</v>
      </c>
      <c r="I220" t="n">
        <v>1</v>
      </c>
      <c r="J220" t="n">
        <v>0</v>
      </c>
      <c r="K220" t="n">
        <v>1</v>
      </c>
      <c r="L220" t="n">
        <v>0</v>
      </c>
      <c r="M220" t="n">
        <v>0</v>
      </c>
      <c r="N220" t="n">
        <v>0</v>
      </c>
      <c r="O220" t="n">
        <v>1</v>
      </c>
      <c r="P220" t="n">
        <v>1</v>
      </c>
      <c r="Q220" t="n">
        <v>2</v>
      </c>
      <c r="R220" s="2" t="inlineStr">
        <is>
          <t>Knärot
Grönpyrola</t>
        </is>
      </c>
      <c r="S220">
        <f>HYPERLINK("https://klasma.github.io/Logging_0188/artfynd/A 51476-2023 artfynd.xlsx", "A 51476-2023")</f>
        <v/>
      </c>
      <c r="T220">
        <f>HYPERLINK("https://klasma.github.io/Logging_0188/kartor/A 51476-2023 karta.png", "A 51476-2023")</f>
        <v/>
      </c>
      <c r="U220">
        <f>HYPERLINK("https://klasma.github.io/Logging_0188/knärot/A 51476-2023 karta knärot.png", "A 51476-2023")</f>
        <v/>
      </c>
      <c r="V220">
        <f>HYPERLINK("https://klasma.github.io/Logging_0188/klagomål/A 51476-2023 FSC-klagomål.docx", "A 51476-2023")</f>
        <v/>
      </c>
      <c r="W220">
        <f>HYPERLINK("https://klasma.github.io/Logging_0188/klagomålsmail/A 51476-2023 FSC-klagomål mail.docx", "A 51476-2023")</f>
        <v/>
      </c>
      <c r="X220">
        <f>HYPERLINK("https://klasma.github.io/Logging_0188/tillsyn/A 51476-2023 tillsynsbegäran.docx", "A 51476-2023")</f>
        <v/>
      </c>
      <c r="Y220">
        <f>HYPERLINK("https://klasma.github.io/Logging_0188/tillsynsmail/A 51476-2023 tillsynsbegäran mail.docx", "A 51476-2023")</f>
        <v/>
      </c>
    </row>
    <row r="221" ht="15" customHeight="1">
      <c r="A221" t="inlineStr">
        <is>
          <t>A 41122-2018</t>
        </is>
      </c>
      <c r="B221" s="1" t="n">
        <v>43348</v>
      </c>
      <c r="C221" s="1" t="n">
        <v>45224</v>
      </c>
      <c r="D221" t="inlineStr">
        <is>
          <t>STOCKHOLMS LÄN</t>
        </is>
      </c>
      <c r="E221" t="inlineStr">
        <is>
          <t>SÖDERTÄLJE</t>
        </is>
      </c>
      <c r="G221" t="n">
        <v>1</v>
      </c>
      <c r="H221" t="n">
        <v>1</v>
      </c>
      <c r="I221" t="n">
        <v>0</v>
      </c>
      <c r="J221" t="n">
        <v>0</v>
      </c>
      <c r="K221" t="n">
        <v>0</v>
      </c>
      <c r="L221" t="n">
        <v>0</v>
      </c>
      <c r="M221" t="n">
        <v>0</v>
      </c>
      <c r="N221" t="n">
        <v>0</v>
      </c>
      <c r="O221" t="n">
        <v>0</v>
      </c>
      <c r="P221" t="n">
        <v>0</v>
      </c>
      <c r="Q221" t="n">
        <v>1</v>
      </c>
      <c r="R221" s="2" t="inlineStr">
        <is>
          <t>Blåsippa</t>
        </is>
      </c>
      <c r="S221">
        <f>HYPERLINK("https://klasma.github.io/Logging_0181/artfynd/A 41122-2018 artfynd.xlsx", "A 41122-2018")</f>
        <v/>
      </c>
      <c r="T221">
        <f>HYPERLINK("https://klasma.github.io/Logging_0181/kartor/A 41122-2018 karta.png", "A 41122-2018")</f>
        <v/>
      </c>
      <c r="V221">
        <f>HYPERLINK("https://klasma.github.io/Logging_0181/klagomål/A 41122-2018 FSC-klagomål.docx", "A 41122-2018")</f>
        <v/>
      </c>
      <c r="W221">
        <f>HYPERLINK("https://klasma.github.io/Logging_0181/klagomålsmail/A 41122-2018 FSC-klagomål mail.docx", "A 41122-2018")</f>
        <v/>
      </c>
      <c r="X221">
        <f>HYPERLINK("https://klasma.github.io/Logging_0181/tillsyn/A 41122-2018 tillsynsbegäran.docx", "A 41122-2018")</f>
        <v/>
      </c>
      <c r="Y221">
        <f>HYPERLINK("https://klasma.github.io/Logging_0181/tillsynsmail/A 41122-2018 tillsynsbegäran mail.docx", "A 41122-2018")</f>
        <v/>
      </c>
    </row>
    <row r="222" ht="15" customHeight="1">
      <c r="A222" t="inlineStr">
        <is>
          <t>A 57725-2018</t>
        </is>
      </c>
      <c r="B222" s="1" t="n">
        <v>43405</v>
      </c>
      <c r="C222" s="1" t="n">
        <v>45224</v>
      </c>
      <c r="D222" t="inlineStr">
        <is>
          <t>STOCKHOLMS LÄN</t>
        </is>
      </c>
      <c r="E222" t="inlineStr">
        <is>
          <t>BOTKYRKA</t>
        </is>
      </c>
      <c r="F222" t="inlineStr">
        <is>
          <t>Kommuner</t>
        </is>
      </c>
      <c r="G222" t="n">
        <v>3.2</v>
      </c>
      <c r="H222" t="n">
        <v>0</v>
      </c>
      <c r="I222" t="n">
        <v>0</v>
      </c>
      <c r="J222" t="n">
        <v>1</v>
      </c>
      <c r="K222" t="n">
        <v>0</v>
      </c>
      <c r="L222" t="n">
        <v>0</v>
      </c>
      <c r="M222" t="n">
        <v>0</v>
      </c>
      <c r="N222" t="n">
        <v>0</v>
      </c>
      <c r="O222" t="n">
        <v>1</v>
      </c>
      <c r="P222" t="n">
        <v>0</v>
      </c>
      <c r="Q222" t="n">
        <v>1</v>
      </c>
      <c r="R222" s="2" t="inlineStr">
        <is>
          <t>Tallticka</t>
        </is>
      </c>
      <c r="S222">
        <f>HYPERLINK("https://klasma.github.io/Logging_0127/artfynd/A 57725-2018 artfynd.xlsx", "A 57725-2018")</f>
        <v/>
      </c>
      <c r="T222">
        <f>HYPERLINK("https://klasma.github.io/Logging_0127/kartor/A 57725-2018 karta.png", "A 57725-2018")</f>
        <v/>
      </c>
      <c r="V222">
        <f>HYPERLINK("https://klasma.github.io/Logging_0127/klagomål/A 57725-2018 FSC-klagomål.docx", "A 57725-2018")</f>
        <v/>
      </c>
      <c r="W222">
        <f>HYPERLINK("https://klasma.github.io/Logging_0127/klagomålsmail/A 57725-2018 FSC-klagomål mail.docx", "A 57725-2018")</f>
        <v/>
      </c>
      <c r="X222">
        <f>HYPERLINK("https://klasma.github.io/Logging_0127/tillsyn/A 57725-2018 tillsynsbegäran.docx", "A 57725-2018")</f>
        <v/>
      </c>
      <c r="Y222">
        <f>HYPERLINK("https://klasma.github.io/Logging_0127/tillsynsmail/A 57725-2018 tillsynsbegäran mail.docx", "A 57725-2018")</f>
        <v/>
      </c>
    </row>
    <row r="223" ht="15" customHeight="1">
      <c r="A223" t="inlineStr">
        <is>
          <t>A 62482-2018</t>
        </is>
      </c>
      <c r="B223" s="1" t="n">
        <v>43415</v>
      </c>
      <c r="C223" s="1" t="n">
        <v>45224</v>
      </c>
      <c r="D223" t="inlineStr">
        <is>
          <t>STOCKHOLMS LÄN</t>
        </is>
      </c>
      <c r="E223" t="inlineStr">
        <is>
          <t>NORRTÄLJE</t>
        </is>
      </c>
      <c r="G223" t="n">
        <v>4.5</v>
      </c>
      <c r="H223" t="n">
        <v>0</v>
      </c>
      <c r="I223" t="n">
        <v>0</v>
      </c>
      <c r="J223" t="n">
        <v>1</v>
      </c>
      <c r="K223" t="n">
        <v>0</v>
      </c>
      <c r="L223" t="n">
        <v>0</v>
      </c>
      <c r="M223" t="n">
        <v>0</v>
      </c>
      <c r="N223" t="n">
        <v>0</v>
      </c>
      <c r="O223" t="n">
        <v>1</v>
      </c>
      <c r="P223" t="n">
        <v>0</v>
      </c>
      <c r="Q223" t="n">
        <v>1</v>
      </c>
      <c r="R223" s="2" t="inlineStr">
        <is>
          <t>Solvända</t>
        </is>
      </c>
      <c r="S223">
        <f>HYPERLINK("https://klasma.github.io/Logging_0188/artfynd/A 62482-2018 artfynd.xlsx", "A 62482-2018")</f>
        <v/>
      </c>
      <c r="T223">
        <f>HYPERLINK("https://klasma.github.io/Logging_0188/kartor/A 62482-2018 karta.png", "A 62482-2018")</f>
        <v/>
      </c>
      <c r="V223">
        <f>HYPERLINK("https://klasma.github.io/Logging_0188/klagomål/A 62482-2018 FSC-klagomål.docx", "A 62482-2018")</f>
        <v/>
      </c>
      <c r="W223">
        <f>HYPERLINK("https://klasma.github.io/Logging_0188/klagomålsmail/A 62482-2018 FSC-klagomål mail.docx", "A 62482-2018")</f>
        <v/>
      </c>
      <c r="X223">
        <f>HYPERLINK("https://klasma.github.io/Logging_0188/tillsyn/A 62482-2018 tillsynsbegäran.docx", "A 62482-2018")</f>
        <v/>
      </c>
      <c r="Y223">
        <f>HYPERLINK("https://klasma.github.io/Logging_0188/tillsynsmail/A 62482-2018 tillsynsbegäran mail.docx", "A 62482-2018")</f>
        <v/>
      </c>
    </row>
    <row r="224" ht="15" customHeight="1">
      <c r="A224" t="inlineStr">
        <is>
          <t>A 62403-2018</t>
        </is>
      </c>
      <c r="B224" s="1" t="n">
        <v>43416</v>
      </c>
      <c r="C224" s="1" t="n">
        <v>45224</v>
      </c>
      <c r="D224" t="inlineStr">
        <is>
          <t>STOCKHOLMS LÄN</t>
        </is>
      </c>
      <c r="E224" t="inlineStr">
        <is>
          <t>NORRTÄLJE</t>
        </is>
      </c>
      <c r="G224" t="n">
        <v>0.3</v>
      </c>
      <c r="H224" t="n">
        <v>0</v>
      </c>
      <c r="I224" t="n">
        <v>0</v>
      </c>
      <c r="J224" t="n">
        <v>1</v>
      </c>
      <c r="K224" t="n">
        <v>0</v>
      </c>
      <c r="L224" t="n">
        <v>0</v>
      </c>
      <c r="M224" t="n">
        <v>0</v>
      </c>
      <c r="N224" t="n">
        <v>0</v>
      </c>
      <c r="O224" t="n">
        <v>1</v>
      </c>
      <c r="P224" t="n">
        <v>0</v>
      </c>
      <c r="Q224" t="n">
        <v>1</v>
      </c>
      <c r="R224" s="2" t="inlineStr">
        <is>
          <t>Smalsprötad bastardsvärmare</t>
        </is>
      </c>
      <c r="S224">
        <f>HYPERLINK("https://klasma.github.io/Logging_0188/artfynd/A 62403-2018 artfynd.xlsx", "A 62403-2018")</f>
        <v/>
      </c>
      <c r="T224">
        <f>HYPERLINK("https://klasma.github.io/Logging_0188/kartor/A 62403-2018 karta.png", "A 62403-2018")</f>
        <v/>
      </c>
      <c r="V224">
        <f>HYPERLINK("https://klasma.github.io/Logging_0188/klagomål/A 62403-2018 FSC-klagomål.docx", "A 62403-2018")</f>
        <v/>
      </c>
      <c r="W224">
        <f>HYPERLINK("https://klasma.github.io/Logging_0188/klagomålsmail/A 62403-2018 FSC-klagomål mail.docx", "A 62403-2018")</f>
        <v/>
      </c>
      <c r="X224">
        <f>HYPERLINK("https://klasma.github.io/Logging_0188/tillsyn/A 62403-2018 tillsynsbegäran.docx", "A 62403-2018")</f>
        <v/>
      </c>
      <c r="Y224">
        <f>HYPERLINK("https://klasma.github.io/Logging_0188/tillsynsmail/A 62403-2018 tillsynsbegäran mail.docx", "A 62403-2018")</f>
        <v/>
      </c>
    </row>
    <row r="225" ht="15" customHeight="1">
      <c r="A225" t="inlineStr">
        <is>
          <t>A 63522-2018</t>
        </is>
      </c>
      <c r="B225" s="1" t="n">
        <v>43416</v>
      </c>
      <c r="C225" s="1" t="n">
        <v>45224</v>
      </c>
      <c r="D225" t="inlineStr">
        <is>
          <t>STOCKHOLMS LÄN</t>
        </is>
      </c>
      <c r="E225" t="inlineStr">
        <is>
          <t>ÖSTERÅKER</t>
        </is>
      </c>
      <c r="F225" t="inlineStr">
        <is>
          <t>Kyrkan</t>
        </is>
      </c>
      <c r="G225" t="n">
        <v>21.1</v>
      </c>
      <c r="H225" t="n">
        <v>0</v>
      </c>
      <c r="I225" t="n">
        <v>0</v>
      </c>
      <c r="J225" t="n">
        <v>1</v>
      </c>
      <c r="K225" t="n">
        <v>0</v>
      </c>
      <c r="L225" t="n">
        <v>0</v>
      </c>
      <c r="M225" t="n">
        <v>0</v>
      </c>
      <c r="N225" t="n">
        <v>0</v>
      </c>
      <c r="O225" t="n">
        <v>1</v>
      </c>
      <c r="P225" t="n">
        <v>0</v>
      </c>
      <c r="Q225" t="n">
        <v>1</v>
      </c>
      <c r="R225" s="2" t="inlineStr">
        <is>
          <t>Koralltaggsvamp</t>
        </is>
      </c>
      <c r="S225">
        <f>HYPERLINK("https://klasma.github.io/Logging_0117/artfynd/A 63522-2018 artfynd.xlsx", "A 63522-2018")</f>
        <v/>
      </c>
      <c r="T225">
        <f>HYPERLINK("https://klasma.github.io/Logging_0117/kartor/A 63522-2018 karta.png", "A 63522-2018")</f>
        <v/>
      </c>
      <c r="V225">
        <f>HYPERLINK("https://klasma.github.io/Logging_0117/klagomål/A 63522-2018 FSC-klagomål.docx", "A 63522-2018")</f>
        <v/>
      </c>
      <c r="W225">
        <f>HYPERLINK("https://klasma.github.io/Logging_0117/klagomålsmail/A 63522-2018 FSC-klagomål mail.docx", "A 63522-2018")</f>
        <v/>
      </c>
      <c r="X225">
        <f>HYPERLINK("https://klasma.github.io/Logging_0117/tillsyn/A 63522-2018 tillsynsbegäran.docx", "A 63522-2018")</f>
        <v/>
      </c>
      <c r="Y225">
        <f>HYPERLINK("https://klasma.github.io/Logging_0117/tillsynsmail/A 63522-2018 tillsynsbegäran mail.docx", "A 63522-2018")</f>
        <v/>
      </c>
    </row>
    <row r="226" ht="15" customHeight="1">
      <c r="A226" t="inlineStr">
        <is>
          <t>A 2207-2019</t>
        </is>
      </c>
      <c r="B226" s="1" t="n">
        <v>43475</v>
      </c>
      <c r="C226" s="1" t="n">
        <v>45224</v>
      </c>
      <c r="D226" t="inlineStr">
        <is>
          <t>STOCKHOLMS LÄN</t>
        </is>
      </c>
      <c r="E226" t="inlineStr">
        <is>
          <t>VÄRMDÖ</t>
        </is>
      </c>
      <c r="F226" t="inlineStr">
        <is>
          <t>Övriga Aktiebolag</t>
        </is>
      </c>
      <c r="G226" t="n">
        <v>2.2</v>
      </c>
      <c r="H226" t="n">
        <v>0</v>
      </c>
      <c r="I226" t="n">
        <v>1</v>
      </c>
      <c r="J226" t="n">
        <v>0</v>
      </c>
      <c r="K226" t="n">
        <v>0</v>
      </c>
      <c r="L226" t="n">
        <v>0</v>
      </c>
      <c r="M226" t="n">
        <v>0</v>
      </c>
      <c r="N226" t="n">
        <v>0</v>
      </c>
      <c r="O226" t="n">
        <v>0</v>
      </c>
      <c r="P226" t="n">
        <v>0</v>
      </c>
      <c r="Q226" t="n">
        <v>1</v>
      </c>
      <c r="R226" s="2" t="inlineStr">
        <is>
          <t>Brandticka</t>
        </is>
      </c>
      <c r="S226">
        <f>HYPERLINK("https://klasma.github.io/Logging_0120/artfynd/A 2207-2019 artfynd.xlsx", "A 2207-2019")</f>
        <v/>
      </c>
      <c r="T226">
        <f>HYPERLINK("https://klasma.github.io/Logging_0120/kartor/A 2207-2019 karta.png", "A 2207-2019")</f>
        <v/>
      </c>
      <c r="V226">
        <f>HYPERLINK("https://klasma.github.io/Logging_0120/klagomål/A 2207-2019 FSC-klagomål.docx", "A 2207-2019")</f>
        <v/>
      </c>
      <c r="W226">
        <f>HYPERLINK("https://klasma.github.io/Logging_0120/klagomålsmail/A 2207-2019 FSC-klagomål mail.docx", "A 2207-2019")</f>
        <v/>
      </c>
      <c r="X226">
        <f>HYPERLINK("https://klasma.github.io/Logging_0120/tillsyn/A 2207-2019 tillsynsbegäran.docx", "A 2207-2019")</f>
        <v/>
      </c>
      <c r="Y226">
        <f>HYPERLINK("https://klasma.github.io/Logging_0120/tillsynsmail/A 2207-2019 tillsynsbegäran mail.docx", "A 2207-2019")</f>
        <v/>
      </c>
    </row>
    <row r="227" ht="15" customHeight="1">
      <c r="A227" t="inlineStr">
        <is>
          <t>A 2647-2019</t>
        </is>
      </c>
      <c r="B227" s="1" t="n">
        <v>43478</v>
      </c>
      <c r="C227" s="1" t="n">
        <v>45224</v>
      </c>
      <c r="D227" t="inlineStr">
        <is>
          <t>STOCKHOLMS LÄN</t>
        </is>
      </c>
      <c r="E227" t="inlineStr">
        <is>
          <t>NORRTÄLJE</t>
        </is>
      </c>
      <c r="G227" t="n">
        <v>3.4</v>
      </c>
      <c r="H227" t="n">
        <v>1</v>
      </c>
      <c r="I227" t="n">
        <v>0</v>
      </c>
      <c r="J227" t="n">
        <v>0</v>
      </c>
      <c r="K227" t="n">
        <v>0</v>
      </c>
      <c r="L227" t="n">
        <v>0</v>
      </c>
      <c r="M227" t="n">
        <v>0</v>
      </c>
      <c r="N227" t="n">
        <v>0</v>
      </c>
      <c r="O227" t="n">
        <v>0</v>
      </c>
      <c r="P227" t="n">
        <v>0</v>
      </c>
      <c r="Q227" t="n">
        <v>1</v>
      </c>
      <c r="R227" s="2" t="inlineStr">
        <is>
          <t>Blåsippa</t>
        </is>
      </c>
      <c r="S227">
        <f>HYPERLINK("https://klasma.github.io/Logging_0188/artfynd/A 2647-2019 artfynd.xlsx", "A 2647-2019")</f>
        <v/>
      </c>
      <c r="T227">
        <f>HYPERLINK("https://klasma.github.io/Logging_0188/kartor/A 2647-2019 karta.png", "A 2647-2019")</f>
        <v/>
      </c>
      <c r="V227">
        <f>HYPERLINK("https://klasma.github.io/Logging_0188/klagomål/A 2647-2019 FSC-klagomål.docx", "A 2647-2019")</f>
        <v/>
      </c>
      <c r="W227">
        <f>HYPERLINK("https://klasma.github.io/Logging_0188/klagomålsmail/A 2647-2019 FSC-klagomål mail.docx", "A 2647-2019")</f>
        <v/>
      </c>
      <c r="X227">
        <f>HYPERLINK("https://klasma.github.io/Logging_0188/tillsyn/A 2647-2019 tillsynsbegäran.docx", "A 2647-2019")</f>
        <v/>
      </c>
      <c r="Y227">
        <f>HYPERLINK("https://klasma.github.io/Logging_0188/tillsynsmail/A 2647-2019 tillsynsbegäran mail.docx", "A 2647-2019")</f>
        <v/>
      </c>
    </row>
    <row r="228" ht="15" customHeight="1">
      <c r="A228" t="inlineStr">
        <is>
          <t>A 3309-2019</t>
        </is>
      </c>
      <c r="B228" s="1" t="n">
        <v>43480</v>
      </c>
      <c r="C228" s="1" t="n">
        <v>45224</v>
      </c>
      <c r="D228" t="inlineStr">
        <is>
          <t>STOCKHOLMS LÄN</t>
        </is>
      </c>
      <c r="E228" t="inlineStr">
        <is>
          <t>NORRTÄLJE</t>
        </is>
      </c>
      <c r="G228" t="n">
        <v>12.6</v>
      </c>
      <c r="H228" t="n">
        <v>0</v>
      </c>
      <c r="I228" t="n">
        <v>1</v>
      </c>
      <c r="J228" t="n">
        <v>0</v>
      </c>
      <c r="K228" t="n">
        <v>0</v>
      </c>
      <c r="L228" t="n">
        <v>0</v>
      </c>
      <c r="M228" t="n">
        <v>0</v>
      </c>
      <c r="N228" t="n">
        <v>0</v>
      </c>
      <c r="O228" t="n">
        <v>0</v>
      </c>
      <c r="P228" t="n">
        <v>0</v>
      </c>
      <c r="Q228" t="n">
        <v>1</v>
      </c>
      <c r="R228" s="2" t="inlineStr">
        <is>
          <t>Granbräken</t>
        </is>
      </c>
      <c r="S228">
        <f>HYPERLINK("https://klasma.github.io/Logging_0188/artfynd/A 3309-2019 artfynd.xlsx", "A 3309-2019")</f>
        <v/>
      </c>
      <c r="T228">
        <f>HYPERLINK("https://klasma.github.io/Logging_0188/kartor/A 3309-2019 karta.png", "A 3309-2019")</f>
        <v/>
      </c>
      <c r="V228">
        <f>HYPERLINK("https://klasma.github.io/Logging_0188/klagomål/A 3309-2019 FSC-klagomål.docx", "A 3309-2019")</f>
        <v/>
      </c>
      <c r="W228">
        <f>HYPERLINK("https://klasma.github.io/Logging_0188/klagomålsmail/A 3309-2019 FSC-klagomål mail.docx", "A 3309-2019")</f>
        <v/>
      </c>
      <c r="X228">
        <f>HYPERLINK("https://klasma.github.io/Logging_0188/tillsyn/A 3309-2019 tillsynsbegäran.docx", "A 3309-2019")</f>
        <v/>
      </c>
      <c r="Y228">
        <f>HYPERLINK("https://klasma.github.io/Logging_0188/tillsynsmail/A 3309-2019 tillsynsbegäran mail.docx", "A 3309-2019")</f>
        <v/>
      </c>
    </row>
    <row r="229" ht="15" customHeight="1">
      <c r="A229" t="inlineStr">
        <is>
          <t>A 4067-2019</t>
        </is>
      </c>
      <c r="B229" s="1" t="n">
        <v>43482</v>
      </c>
      <c r="C229" s="1" t="n">
        <v>45224</v>
      </c>
      <c r="D229" t="inlineStr">
        <is>
          <t>STOCKHOLMS LÄN</t>
        </is>
      </c>
      <c r="E229" t="inlineStr">
        <is>
          <t>NORRTÄLJE</t>
        </is>
      </c>
      <c r="G229" t="n">
        <v>6</v>
      </c>
      <c r="H229" t="n">
        <v>0</v>
      </c>
      <c r="I229" t="n">
        <v>1</v>
      </c>
      <c r="J229" t="n">
        <v>0</v>
      </c>
      <c r="K229" t="n">
        <v>0</v>
      </c>
      <c r="L229" t="n">
        <v>0</v>
      </c>
      <c r="M229" t="n">
        <v>0</v>
      </c>
      <c r="N229" t="n">
        <v>0</v>
      </c>
      <c r="O229" t="n">
        <v>0</v>
      </c>
      <c r="P229" t="n">
        <v>0</v>
      </c>
      <c r="Q229" t="n">
        <v>1</v>
      </c>
      <c r="R229" s="2" t="inlineStr">
        <is>
          <t>Grovticka</t>
        </is>
      </c>
      <c r="S229">
        <f>HYPERLINK("https://klasma.github.io/Logging_0188/artfynd/A 4067-2019 artfynd.xlsx", "A 4067-2019")</f>
        <v/>
      </c>
      <c r="T229">
        <f>HYPERLINK("https://klasma.github.io/Logging_0188/kartor/A 4067-2019 karta.png", "A 4067-2019")</f>
        <v/>
      </c>
      <c r="V229">
        <f>HYPERLINK("https://klasma.github.io/Logging_0188/klagomål/A 4067-2019 FSC-klagomål.docx", "A 4067-2019")</f>
        <v/>
      </c>
      <c r="W229">
        <f>HYPERLINK("https://klasma.github.io/Logging_0188/klagomålsmail/A 4067-2019 FSC-klagomål mail.docx", "A 4067-2019")</f>
        <v/>
      </c>
      <c r="X229">
        <f>HYPERLINK("https://klasma.github.io/Logging_0188/tillsyn/A 4067-2019 tillsynsbegäran.docx", "A 4067-2019")</f>
        <v/>
      </c>
      <c r="Y229">
        <f>HYPERLINK("https://klasma.github.io/Logging_0188/tillsynsmail/A 4067-2019 tillsynsbegäran mail.docx", "A 4067-2019")</f>
        <v/>
      </c>
    </row>
    <row r="230" ht="15" customHeight="1">
      <c r="A230" t="inlineStr">
        <is>
          <t>A 4921-2019</t>
        </is>
      </c>
      <c r="B230" s="1" t="n">
        <v>43486</v>
      </c>
      <c r="C230" s="1" t="n">
        <v>45224</v>
      </c>
      <c r="D230" t="inlineStr">
        <is>
          <t>STOCKHOLMS LÄN</t>
        </is>
      </c>
      <c r="E230" t="inlineStr">
        <is>
          <t>VALLENTUNA</t>
        </is>
      </c>
      <c r="G230" t="n">
        <v>3.6</v>
      </c>
      <c r="H230" t="n">
        <v>1</v>
      </c>
      <c r="I230" t="n">
        <v>0</v>
      </c>
      <c r="J230" t="n">
        <v>0</v>
      </c>
      <c r="K230" t="n">
        <v>1</v>
      </c>
      <c r="L230" t="n">
        <v>0</v>
      </c>
      <c r="M230" t="n">
        <v>0</v>
      </c>
      <c r="N230" t="n">
        <v>0</v>
      </c>
      <c r="O230" t="n">
        <v>1</v>
      </c>
      <c r="P230" t="n">
        <v>1</v>
      </c>
      <c r="Q230" t="n">
        <v>1</v>
      </c>
      <c r="R230" s="2" t="inlineStr">
        <is>
          <t>Styvnate</t>
        </is>
      </c>
      <c r="S230">
        <f>HYPERLINK("https://klasma.github.io/Logging_0115/artfynd/A 4921-2019 artfynd.xlsx", "A 4921-2019")</f>
        <v/>
      </c>
      <c r="T230">
        <f>HYPERLINK("https://klasma.github.io/Logging_0115/kartor/A 4921-2019 karta.png", "A 4921-2019")</f>
        <v/>
      </c>
      <c r="V230">
        <f>HYPERLINK("https://klasma.github.io/Logging_0115/klagomål/A 4921-2019 FSC-klagomål.docx", "A 4921-2019")</f>
        <v/>
      </c>
      <c r="W230">
        <f>HYPERLINK("https://klasma.github.io/Logging_0115/klagomålsmail/A 4921-2019 FSC-klagomål mail.docx", "A 4921-2019")</f>
        <v/>
      </c>
      <c r="X230">
        <f>HYPERLINK("https://klasma.github.io/Logging_0115/tillsyn/A 4921-2019 tillsynsbegäran.docx", "A 4921-2019")</f>
        <v/>
      </c>
      <c r="Y230">
        <f>HYPERLINK("https://klasma.github.io/Logging_0115/tillsynsmail/A 4921-2019 tillsynsbegäran mail.docx", "A 4921-2019")</f>
        <v/>
      </c>
    </row>
    <row r="231" ht="15" customHeight="1">
      <c r="A231" t="inlineStr">
        <is>
          <t>A 4674-2019</t>
        </is>
      </c>
      <c r="B231" s="1" t="n">
        <v>43486</v>
      </c>
      <c r="C231" s="1" t="n">
        <v>45224</v>
      </c>
      <c r="D231" t="inlineStr">
        <is>
          <t>STOCKHOLMS LÄN</t>
        </is>
      </c>
      <c r="E231" t="inlineStr">
        <is>
          <t>VALLENTUNA</t>
        </is>
      </c>
      <c r="G231" t="n">
        <v>4.4</v>
      </c>
      <c r="H231" t="n">
        <v>1</v>
      </c>
      <c r="I231" t="n">
        <v>0</v>
      </c>
      <c r="J231" t="n">
        <v>1</v>
      </c>
      <c r="K231" t="n">
        <v>0</v>
      </c>
      <c r="L231" t="n">
        <v>0</v>
      </c>
      <c r="M231" t="n">
        <v>0</v>
      </c>
      <c r="N231" t="n">
        <v>0</v>
      </c>
      <c r="O231" t="n">
        <v>1</v>
      </c>
      <c r="P231" t="n">
        <v>0</v>
      </c>
      <c r="Q231" t="n">
        <v>1</v>
      </c>
      <c r="R231" s="2" t="inlineStr">
        <is>
          <t>Mindre hackspett</t>
        </is>
      </c>
      <c r="S231">
        <f>HYPERLINK("https://klasma.github.io/Logging_0115/artfynd/A 4674-2019 artfynd.xlsx", "A 4674-2019")</f>
        <v/>
      </c>
      <c r="T231">
        <f>HYPERLINK("https://klasma.github.io/Logging_0115/kartor/A 4674-2019 karta.png", "A 4674-2019")</f>
        <v/>
      </c>
      <c r="V231">
        <f>HYPERLINK("https://klasma.github.io/Logging_0115/klagomål/A 4674-2019 FSC-klagomål.docx", "A 4674-2019")</f>
        <v/>
      </c>
      <c r="W231">
        <f>HYPERLINK("https://klasma.github.io/Logging_0115/klagomålsmail/A 4674-2019 FSC-klagomål mail.docx", "A 4674-2019")</f>
        <v/>
      </c>
      <c r="X231">
        <f>HYPERLINK("https://klasma.github.io/Logging_0115/tillsyn/A 4674-2019 tillsynsbegäran.docx", "A 4674-2019")</f>
        <v/>
      </c>
      <c r="Y231">
        <f>HYPERLINK("https://klasma.github.io/Logging_0115/tillsynsmail/A 4674-2019 tillsynsbegäran mail.docx", "A 4674-2019")</f>
        <v/>
      </c>
    </row>
    <row r="232" ht="15" customHeight="1">
      <c r="A232" t="inlineStr">
        <is>
          <t>A 5488-2019</t>
        </is>
      </c>
      <c r="B232" s="1" t="n">
        <v>43489</v>
      </c>
      <c r="C232" s="1" t="n">
        <v>45224</v>
      </c>
      <c r="D232" t="inlineStr">
        <is>
          <t>STOCKHOLMS LÄN</t>
        </is>
      </c>
      <c r="E232" t="inlineStr">
        <is>
          <t>NORRTÄLJE</t>
        </is>
      </c>
      <c r="G232" t="n">
        <v>5.5</v>
      </c>
      <c r="H232" t="n">
        <v>1</v>
      </c>
      <c r="I232" t="n">
        <v>0</v>
      </c>
      <c r="J232" t="n">
        <v>0</v>
      </c>
      <c r="K232" t="n">
        <v>0</v>
      </c>
      <c r="L232" t="n">
        <v>1</v>
      </c>
      <c r="M232" t="n">
        <v>0</v>
      </c>
      <c r="N232" t="n">
        <v>0</v>
      </c>
      <c r="O232" t="n">
        <v>1</v>
      </c>
      <c r="P232" t="n">
        <v>1</v>
      </c>
      <c r="Q232" t="n">
        <v>1</v>
      </c>
      <c r="R232" s="2" t="inlineStr">
        <is>
          <t>Asknätfjäril</t>
        </is>
      </c>
      <c r="S232">
        <f>HYPERLINK("https://klasma.github.io/Logging_0188/artfynd/A 5488-2019 artfynd.xlsx", "A 5488-2019")</f>
        <v/>
      </c>
      <c r="T232">
        <f>HYPERLINK("https://klasma.github.io/Logging_0188/kartor/A 5488-2019 karta.png", "A 5488-2019")</f>
        <v/>
      </c>
      <c r="V232">
        <f>HYPERLINK("https://klasma.github.io/Logging_0188/klagomål/A 5488-2019 FSC-klagomål.docx", "A 5488-2019")</f>
        <v/>
      </c>
      <c r="W232">
        <f>HYPERLINK("https://klasma.github.io/Logging_0188/klagomålsmail/A 5488-2019 FSC-klagomål mail.docx", "A 5488-2019")</f>
        <v/>
      </c>
      <c r="X232">
        <f>HYPERLINK("https://klasma.github.io/Logging_0188/tillsyn/A 5488-2019 tillsynsbegäran.docx", "A 5488-2019")</f>
        <v/>
      </c>
      <c r="Y232">
        <f>HYPERLINK("https://klasma.github.io/Logging_0188/tillsynsmail/A 5488-2019 tillsynsbegäran mail.docx", "A 5488-2019")</f>
        <v/>
      </c>
    </row>
    <row r="233" ht="15" customHeight="1">
      <c r="A233" t="inlineStr">
        <is>
          <t>A 5502-2019</t>
        </is>
      </c>
      <c r="B233" s="1" t="n">
        <v>43489</v>
      </c>
      <c r="C233" s="1" t="n">
        <v>45224</v>
      </c>
      <c r="D233" t="inlineStr">
        <is>
          <t>STOCKHOLMS LÄN</t>
        </is>
      </c>
      <c r="E233" t="inlineStr">
        <is>
          <t>NORRTÄLJE</t>
        </is>
      </c>
      <c r="G233" t="n">
        <v>37</v>
      </c>
      <c r="H233" t="n">
        <v>1</v>
      </c>
      <c r="I233" t="n">
        <v>0</v>
      </c>
      <c r="J233" t="n">
        <v>0</v>
      </c>
      <c r="K233" t="n">
        <v>0</v>
      </c>
      <c r="L233" t="n">
        <v>1</v>
      </c>
      <c r="M233" t="n">
        <v>0</v>
      </c>
      <c r="N233" t="n">
        <v>0</v>
      </c>
      <c r="O233" t="n">
        <v>1</v>
      </c>
      <c r="P233" t="n">
        <v>1</v>
      </c>
      <c r="Q233" t="n">
        <v>1</v>
      </c>
      <c r="R233" s="2" t="inlineStr">
        <is>
          <t>Asknätfjäril</t>
        </is>
      </c>
      <c r="S233">
        <f>HYPERLINK("https://klasma.github.io/Logging_0188/artfynd/A 5502-2019 artfynd.xlsx", "A 5502-2019")</f>
        <v/>
      </c>
      <c r="T233">
        <f>HYPERLINK("https://klasma.github.io/Logging_0188/kartor/A 5502-2019 karta.png", "A 5502-2019")</f>
        <v/>
      </c>
      <c r="V233">
        <f>HYPERLINK("https://klasma.github.io/Logging_0188/klagomål/A 5502-2019 FSC-klagomål.docx", "A 5502-2019")</f>
        <v/>
      </c>
      <c r="W233">
        <f>HYPERLINK("https://klasma.github.io/Logging_0188/klagomålsmail/A 5502-2019 FSC-klagomål mail.docx", "A 5502-2019")</f>
        <v/>
      </c>
      <c r="X233">
        <f>HYPERLINK("https://klasma.github.io/Logging_0188/tillsyn/A 5502-2019 tillsynsbegäran.docx", "A 5502-2019")</f>
        <v/>
      </c>
      <c r="Y233">
        <f>HYPERLINK("https://klasma.github.io/Logging_0188/tillsynsmail/A 5502-2019 tillsynsbegäran mail.docx", "A 5502-2019")</f>
        <v/>
      </c>
    </row>
    <row r="234" ht="15" customHeight="1">
      <c r="A234" t="inlineStr">
        <is>
          <t>A 6523-2019</t>
        </is>
      </c>
      <c r="B234" s="1" t="n">
        <v>43494</v>
      </c>
      <c r="C234" s="1" t="n">
        <v>45224</v>
      </c>
      <c r="D234" t="inlineStr">
        <is>
          <t>STOCKHOLMS LÄN</t>
        </is>
      </c>
      <c r="E234" t="inlineStr">
        <is>
          <t>NORRTÄLJE</t>
        </is>
      </c>
      <c r="F234" t="inlineStr">
        <is>
          <t>Holmen skog AB</t>
        </is>
      </c>
      <c r="G234" t="n">
        <v>1.1</v>
      </c>
      <c r="H234" t="n">
        <v>1</v>
      </c>
      <c r="I234" t="n">
        <v>0</v>
      </c>
      <c r="J234" t="n">
        <v>0</v>
      </c>
      <c r="K234" t="n">
        <v>0</v>
      </c>
      <c r="L234" t="n">
        <v>1</v>
      </c>
      <c r="M234" t="n">
        <v>0</v>
      </c>
      <c r="N234" t="n">
        <v>0</v>
      </c>
      <c r="O234" t="n">
        <v>1</v>
      </c>
      <c r="P234" t="n">
        <v>1</v>
      </c>
      <c r="Q234" t="n">
        <v>1</v>
      </c>
      <c r="R234" s="2" t="inlineStr">
        <is>
          <t>Asknätfjäril</t>
        </is>
      </c>
      <c r="S234">
        <f>HYPERLINK("https://klasma.github.io/Logging_0188/artfynd/A 6523-2019 artfynd.xlsx", "A 6523-2019")</f>
        <v/>
      </c>
      <c r="T234">
        <f>HYPERLINK("https://klasma.github.io/Logging_0188/kartor/A 6523-2019 karta.png", "A 6523-2019")</f>
        <v/>
      </c>
      <c r="V234">
        <f>HYPERLINK("https://klasma.github.io/Logging_0188/klagomål/A 6523-2019 FSC-klagomål.docx", "A 6523-2019")</f>
        <v/>
      </c>
      <c r="W234">
        <f>HYPERLINK("https://klasma.github.io/Logging_0188/klagomålsmail/A 6523-2019 FSC-klagomål mail.docx", "A 6523-2019")</f>
        <v/>
      </c>
      <c r="X234">
        <f>HYPERLINK("https://klasma.github.io/Logging_0188/tillsyn/A 6523-2019 tillsynsbegäran.docx", "A 6523-2019")</f>
        <v/>
      </c>
      <c r="Y234">
        <f>HYPERLINK("https://klasma.github.io/Logging_0188/tillsynsmail/A 6523-2019 tillsynsbegäran mail.docx", "A 6523-2019")</f>
        <v/>
      </c>
    </row>
    <row r="235" ht="15" customHeight="1">
      <c r="A235" t="inlineStr">
        <is>
          <t>A 7739-2019</t>
        </is>
      </c>
      <c r="B235" s="1" t="n">
        <v>43500</v>
      </c>
      <c r="C235" s="1" t="n">
        <v>45224</v>
      </c>
      <c r="D235" t="inlineStr">
        <is>
          <t>STOCKHOLMS LÄN</t>
        </is>
      </c>
      <c r="E235" t="inlineStr">
        <is>
          <t>NORRTÄLJE</t>
        </is>
      </c>
      <c r="G235" t="n">
        <v>10.7</v>
      </c>
      <c r="H235" t="n">
        <v>0</v>
      </c>
      <c r="I235" t="n">
        <v>0</v>
      </c>
      <c r="J235" t="n">
        <v>1</v>
      </c>
      <c r="K235" t="n">
        <v>0</v>
      </c>
      <c r="L235" t="n">
        <v>0</v>
      </c>
      <c r="M235" t="n">
        <v>0</v>
      </c>
      <c r="N235" t="n">
        <v>0</v>
      </c>
      <c r="O235" t="n">
        <v>1</v>
      </c>
      <c r="P235" t="n">
        <v>0</v>
      </c>
      <c r="Q235" t="n">
        <v>1</v>
      </c>
      <c r="R235" s="2" t="inlineStr">
        <is>
          <t>Brunklöver</t>
        </is>
      </c>
      <c r="S235">
        <f>HYPERLINK("https://klasma.github.io/Logging_0188/artfynd/A 7739-2019 artfynd.xlsx", "A 7739-2019")</f>
        <v/>
      </c>
      <c r="T235">
        <f>HYPERLINK("https://klasma.github.io/Logging_0188/kartor/A 7739-2019 karta.png", "A 7739-2019")</f>
        <v/>
      </c>
      <c r="V235">
        <f>HYPERLINK("https://klasma.github.io/Logging_0188/klagomål/A 7739-2019 FSC-klagomål.docx", "A 7739-2019")</f>
        <v/>
      </c>
      <c r="W235">
        <f>HYPERLINK("https://klasma.github.io/Logging_0188/klagomålsmail/A 7739-2019 FSC-klagomål mail.docx", "A 7739-2019")</f>
        <v/>
      </c>
      <c r="X235">
        <f>HYPERLINK("https://klasma.github.io/Logging_0188/tillsyn/A 7739-2019 tillsynsbegäran.docx", "A 7739-2019")</f>
        <v/>
      </c>
      <c r="Y235">
        <f>HYPERLINK("https://klasma.github.io/Logging_0188/tillsynsmail/A 7739-2019 tillsynsbegäran mail.docx", "A 7739-2019")</f>
        <v/>
      </c>
    </row>
    <row r="236" ht="15" customHeight="1">
      <c r="A236" t="inlineStr">
        <is>
          <t>A 8742-2019</t>
        </is>
      </c>
      <c r="B236" s="1" t="n">
        <v>43503</v>
      </c>
      <c r="C236" s="1" t="n">
        <v>45224</v>
      </c>
      <c r="D236" t="inlineStr">
        <is>
          <t>STOCKHOLMS LÄN</t>
        </is>
      </c>
      <c r="E236" t="inlineStr">
        <is>
          <t>NORRTÄLJE</t>
        </is>
      </c>
      <c r="G236" t="n">
        <v>5.2</v>
      </c>
      <c r="H236" t="n">
        <v>0</v>
      </c>
      <c r="I236" t="n">
        <v>0</v>
      </c>
      <c r="J236" t="n">
        <v>0</v>
      </c>
      <c r="K236" t="n">
        <v>0</v>
      </c>
      <c r="L236" t="n">
        <v>1</v>
      </c>
      <c r="M236" t="n">
        <v>0</v>
      </c>
      <c r="N236" t="n">
        <v>0</v>
      </c>
      <c r="O236" t="n">
        <v>1</v>
      </c>
      <c r="P236" t="n">
        <v>1</v>
      </c>
      <c r="Q236" t="n">
        <v>1</v>
      </c>
      <c r="R236" s="2" t="inlineStr">
        <is>
          <t>Ask</t>
        </is>
      </c>
      <c r="S236">
        <f>HYPERLINK("https://klasma.github.io/Logging_0188/artfynd/A 8742-2019 artfynd.xlsx", "A 8742-2019")</f>
        <v/>
      </c>
      <c r="T236">
        <f>HYPERLINK("https://klasma.github.io/Logging_0188/kartor/A 8742-2019 karta.png", "A 8742-2019")</f>
        <v/>
      </c>
      <c r="V236">
        <f>HYPERLINK("https://klasma.github.io/Logging_0188/klagomål/A 8742-2019 FSC-klagomål.docx", "A 8742-2019")</f>
        <v/>
      </c>
      <c r="W236">
        <f>HYPERLINK("https://klasma.github.io/Logging_0188/klagomålsmail/A 8742-2019 FSC-klagomål mail.docx", "A 8742-2019")</f>
        <v/>
      </c>
      <c r="X236">
        <f>HYPERLINK("https://klasma.github.io/Logging_0188/tillsyn/A 8742-2019 tillsynsbegäran.docx", "A 8742-2019")</f>
        <v/>
      </c>
      <c r="Y236">
        <f>HYPERLINK("https://klasma.github.io/Logging_0188/tillsynsmail/A 8742-2019 tillsynsbegäran mail.docx", "A 8742-2019")</f>
        <v/>
      </c>
    </row>
    <row r="237" ht="15" customHeight="1">
      <c r="A237" t="inlineStr">
        <is>
          <t>A 9041-2019</t>
        </is>
      </c>
      <c r="B237" s="1" t="n">
        <v>43504</v>
      </c>
      <c r="C237" s="1" t="n">
        <v>45224</v>
      </c>
      <c r="D237" t="inlineStr">
        <is>
          <t>STOCKHOLMS LÄN</t>
        </is>
      </c>
      <c r="E237" t="inlineStr">
        <is>
          <t>NORRTÄLJE</t>
        </is>
      </c>
      <c r="F237" t="inlineStr">
        <is>
          <t>Holmen skog AB</t>
        </is>
      </c>
      <c r="G237" t="n">
        <v>3.5</v>
      </c>
      <c r="H237" t="n">
        <v>1</v>
      </c>
      <c r="I237" t="n">
        <v>0</v>
      </c>
      <c r="J237" t="n">
        <v>0</v>
      </c>
      <c r="K237" t="n">
        <v>0</v>
      </c>
      <c r="L237" t="n">
        <v>1</v>
      </c>
      <c r="M237" t="n">
        <v>0</v>
      </c>
      <c r="N237" t="n">
        <v>0</v>
      </c>
      <c r="O237" t="n">
        <v>1</v>
      </c>
      <c r="P237" t="n">
        <v>1</v>
      </c>
      <c r="Q237" t="n">
        <v>1</v>
      </c>
      <c r="R237" s="2" t="inlineStr">
        <is>
          <t>Asknätfjäril</t>
        </is>
      </c>
      <c r="S237">
        <f>HYPERLINK("https://klasma.github.io/Logging_0188/artfynd/A 9041-2019 artfynd.xlsx", "A 9041-2019")</f>
        <v/>
      </c>
      <c r="T237">
        <f>HYPERLINK("https://klasma.github.io/Logging_0188/kartor/A 9041-2019 karta.png", "A 9041-2019")</f>
        <v/>
      </c>
      <c r="V237">
        <f>HYPERLINK("https://klasma.github.io/Logging_0188/klagomål/A 9041-2019 FSC-klagomål.docx", "A 9041-2019")</f>
        <v/>
      </c>
      <c r="W237">
        <f>HYPERLINK("https://klasma.github.io/Logging_0188/klagomålsmail/A 9041-2019 FSC-klagomål mail.docx", "A 9041-2019")</f>
        <v/>
      </c>
      <c r="X237">
        <f>HYPERLINK("https://klasma.github.io/Logging_0188/tillsyn/A 9041-2019 tillsynsbegäran.docx", "A 9041-2019")</f>
        <v/>
      </c>
      <c r="Y237">
        <f>HYPERLINK("https://klasma.github.io/Logging_0188/tillsynsmail/A 9041-2019 tillsynsbegäran mail.docx", "A 9041-2019")</f>
        <v/>
      </c>
    </row>
    <row r="238" ht="15" customHeight="1">
      <c r="A238" t="inlineStr">
        <is>
          <t>A 9689-2019</t>
        </is>
      </c>
      <c r="B238" s="1" t="n">
        <v>43508</v>
      </c>
      <c r="C238" s="1" t="n">
        <v>45224</v>
      </c>
      <c r="D238" t="inlineStr">
        <is>
          <t>STOCKHOLMS LÄN</t>
        </is>
      </c>
      <c r="E238" t="inlineStr">
        <is>
          <t>NORRTÄLJE</t>
        </is>
      </c>
      <c r="F238" t="inlineStr">
        <is>
          <t>Övriga statliga verk och myndigheter</t>
        </is>
      </c>
      <c r="G238" t="n">
        <v>10</v>
      </c>
      <c r="H238" t="n">
        <v>0</v>
      </c>
      <c r="I238" t="n">
        <v>0</v>
      </c>
      <c r="J238" t="n">
        <v>0</v>
      </c>
      <c r="K238" t="n">
        <v>1</v>
      </c>
      <c r="L238" t="n">
        <v>0</v>
      </c>
      <c r="M238" t="n">
        <v>0</v>
      </c>
      <c r="N238" t="n">
        <v>0</v>
      </c>
      <c r="O238" t="n">
        <v>1</v>
      </c>
      <c r="P238" t="n">
        <v>1</v>
      </c>
      <c r="Q238" t="n">
        <v>1</v>
      </c>
      <c r="R238" s="2" t="inlineStr">
        <is>
          <t>Trubbdaggkåpa</t>
        </is>
      </c>
      <c r="S238">
        <f>HYPERLINK("https://klasma.github.io/Logging_0188/artfynd/A 9689-2019 artfynd.xlsx", "A 9689-2019")</f>
        <v/>
      </c>
      <c r="T238">
        <f>HYPERLINK("https://klasma.github.io/Logging_0188/kartor/A 9689-2019 karta.png", "A 9689-2019")</f>
        <v/>
      </c>
      <c r="V238">
        <f>HYPERLINK("https://klasma.github.io/Logging_0188/klagomål/A 9689-2019 FSC-klagomål.docx", "A 9689-2019")</f>
        <v/>
      </c>
      <c r="W238">
        <f>HYPERLINK("https://klasma.github.io/Logging_0188/klagomålsmail/A 9689-2019 FSC-klagomål mail.docx", "A 9689-2019")</f>
        <v/>
      </c>
      <c r="X238">
        <f>HYPERLINK("https://klasma.github.io/Logging_0188/tillsyn/A 9689-2019 tillsynsbegäran.docx", "A 9689-2019")</f>
        <v/>
      </c>
      <c r="Y238">
        <f>HYPERLINK("https://klasma.github.io/Logging_0188/tillsynsmail/A 9689-2019 tillsynsbegäran mail.docx", "A 9689-2019")</f>
        <v/>
      </c>
    </row>
    <row r="239" ht="15" customHeight="1">
      <c r="A239" t="inlineStr">
        <is>
          <t>A 9917-2019</t>
        </is>
      </c>
      <c r="B239" s="1" t="n">
        <v>43509</v>
      </c>
      <c r="C239" s="1" t="n">
        <v>45224</v>
      </c>
      <c r="D239" t="inlineStr">
        <is>
          <t>STOCKHOLMS LÄN</t>
        </is>
      </c>
      <c r="E239" t="inlineStr">
        <is>
          <t>NORRTÄLJE</t>
        </is>
      </c>
      <c r="G239" t="n">
        <v>1.7</v>
      </c>
      <c r="H239" t="n">
        <v>1</v>
      </c>
      <c r="I239" t="n">
        <v>0</v>
      </c>
      <c r="J239" t="n">
        <v>0</v>
      </c>
      <c r="K239" t="n">
        <v>0</v>
      </c>
      <c r="L239" t="n">
        <v>1</v>
      </c>
      <c r="M239" t="n">
        <v>0</v>
      </c>
      <c r="N239" t="n">
        <v>0</v>
      </c>
      <c r="O239" t="n">
        <v>1</v>
      </c>
      <c r="P239" t="n">
        <v>1</v>
      </c>
      <c r="Q239" t="n">
        <v>1</v>
      </c>
      <c r="R239" s="2" t="inlineStr">
        <is>
          <t>Asknätfjäril</t>
        </is>
      </c>
      <c r="S239">
        <f>HYPERLINK("https://klasma.github.io/Logging_0188/artfynd/A 9917-2019 artfynd.xlsx", "A 9917-2019")</f>
        <v/>
      </c>
      <c r="T239">
        <f>HYPERLINK("https://klasma.github.io/Logging_0188/kartor/A 9917-2019 karta.png", "A 9917-2019")</f>
        <v/>
      </c>
      <c r="V239">
        <f>HYPERLINK("https://klasma.github.io/Logging_0188/klagomål/A 9917-2019 FSC-klagomål.docx", "A 9917-2019")</f>
        <v/>
      </c>
      <c r="W239">
        <f>HYPERLINK("https://klasma.github.io/Logging_0188/klagomålsmail/A 9917-2019 FSC-klagomål mail.docx", "A 9917-2019")</f>
        <v/>
      </c>
      <c r="X239">
        <f>HYPERLINK("https://klasma.github.io/Logging_0188/tillsyn/A 9917-2019 tillsynsbegäran.docx", "A 9917-2019")</f>
        <v/>
      </c>
      <c r="Y239">
        <f>HYPERLINK("https://klasma.github.io/Logging_0188/tillsynsmail/A 9917-2019 tillsynsbegäran mail.docx", "A 9917-2019")</f>
        <v/>
      </c>
    </row>
    <row r="240" ht="15" customHeight="1">
      <c r="A240" t="inlineStr">
        <is>
          <t>A 10426-2019</t>
        </is>
      </c>
      <c r="B240" s="1" t="n">
        <v>43511</v>
      </c>
      <c r="C240" s="1" t="n">
        <v>45224</v>
      </c>
      <c r="D240" t="inlineStr">
        <is>
          <t>STOCKHOLMS LÄN</t>
        </is>
      </c>
      <c r="E240" t="inlineStr">
        <is>
          <t>NORRTÄLJE</t>
        </is>
      </c>
      <c r="G240" t="n">
        <v>19</v>
      </c>
      <c r="H240" t="n">
        <v>1</v>
      </c>
      <c r="I240" t="n">
        <v>0</v>
      </c>
      <c r="J240" t="n">
        <v>0</v>
      </c>
      <c r="K240" t="n">
        <v>0</v>
      </c>
      <c r="L240" t="n">
        <v>0</v>
      </c>
      <c r="M240" t="n">
        <v>0</v>
      </c>
      <c r="N240" t="n">
        <v>0</v>
      </c>
      <c r="O240" t="n">
        <v>0</v>
      </c>
      <c r="P240" t="n">
        <v>0</v>
      </c>
      <c r="Q240" t="n">
        <v>1</v>
      </c>
      <c r="R240" s="2" t="inlineStr">
        <is>
          <t>Grönvit nattviol</t>
        </is>
      </c>
      <c r="S240">
        <f>HYPERLINK("https://klasma.github.io/Logging_0188/artfynd/A 10426-2019 artfynd.xlsx", "A 10426-2019")</f>
        <v/>
      </c>
      <c r="T240">
        <f>HYPERLINK("https://klasma.github.io/Logging_0188/kartor/A 10426-2019 karta.png", "A 10426-2019")</f>
        <v/>
      </c>
      <c r="V240">
        <f>HYPERLINK("https://klasma.github.io/Logging_0188/klagomål/A 10426-2019 FSC-klagomål.docx", "A 10426-2019")</f>
        <v/>
      </c>
      <c r="W240">
        <f>HYPERLINK("https://klasma.github.io/Logging_0188/klagomålsmail/A 10426-2019 FSC-klagomål mail.docx", "A 10426-2019")</f>
        <v/>
      </c>
      <c r="X240">
        <f>HYPERLINK("https://klasma.github.io/Logging_0188/tillsyn/A 10426-2019 tillsynsbegäran.docx", "A 10426-2019")</f>
        <v/>
      </c>
      <c r="Y240">
        <f>HYPERLINK("https://klasma.github.io/Logging_0188/tillsynsmail/A 10426-2019 tillsynsbegäran mail.docx", "A 10426-2019")</f>
        <v/>
      </c>
    </row>
    <row r="241" ht="15" customHeight="1">
      <c r="A241" t="inlineStr">
        <is>
          <t>A 10981-2019</t>
        </is>
      </c>
      <c r="B241" s="1" t="n">
        <v>43515</v>
      </c>
      <c r="C241" s="1" t="n">
        <v>45224</v>
      </c>
      <c r="D241" t="inlineStr">
        <is>
          <t>STOCKHOLMS LÄN</t>
        </is>
      </c>
      <c r="E241" t="inlineStr">
        <is>
          <t>NORRTÄLJE</t>
        </is>
      </c>
      <c r="G241" t="n">
        <v>29.6</v>
      </c>
      <c r="H241" t="n">
        <v>1</v>
      </c>
      <c r="I241" t="n">
        <v>0</v>
      </c>
      <c r="J241" t="n">
        <v>1</v>
      </c>
      <c r="K241" t="n">
        <v>0</v>
      </c>
      <c r="L241" t="n">
        <v>0</v>
      </c>
      <c r="M241" t="n">
        <v>0</v>
      </c>
      <c r="N241" t="n">
        <v>0</v>
      </c>
      <c r="O241" t="n">
        <v>1</v>
      </c>
      <c r="P241" t="n">
        <v>0</v>
      </c>
      <c r="Q241" t="n">
        <v>1</v>
      </c>
      <c r="R241" s="2" t="inlineStr">
        <is>
          <t>Talltita</t>
        </is>
      </c>
      <c r="S241">
        <f>HYPERLINK("https://klasma.github.io/Logging_0188/artfynd/A 10981-2019 artfynd.xlsx", "A 10981-2019")</f>
        <v/>
      </c>
      <c r="T241">
        <f>HYPERLINK("https://klasma.github.io/Logging_0188/kartor/A 10981-2019 karta.png", "A 10981-2019")</f>
        <v/>
      </c>
      <c r="V241">
        <f>HYPERLINK("https://klasma.github.io/Logging_0188/klagomål/A 10981-2019 FSC-klagomål.docx", "A 10981-2019")</f>
        <v/>
      </c>
      <c r="W241">
        <f>HYPERLINK("https://klasma.github.io/Logging_0188/klagomålsmail/A 10981-2019 FSC-klagomål mail.docx", "A 10981-2019")</f>
        <v/>
      </c>
      <c r="X241">
        <f>HYPERLINK("https://klasma.github.io/Logging_0188/tillsyn/A 10981-2019 tillsynsbegäran.docx", "A 10981-2019")</f>
        <v/>
      </c>
      <c r="Y241">
        <f>HYPERLINK("https://klasma.github.io/Logging_0188/tillsynsmail/A 10981-2019 tillsynsbegäran mail.docx", "A 10981-2019")</f>
        <v/>
      </c>
    </row>
    <row r="242" ht="15" customHeight="1">
      <c r="A242" t="inlineStr">
        <is>
          <t>A 11462-2019</t>
        </is>
      </c>
      <c r="B242" s="1" t="n">
        <v>43517</v>
      </c>
      <c r="C242" s="1" t="n">
        <v>45224</v>
      </c>
      <c r="D242" t="inlineStr">
        <is>
          <t>STOCKHOLMS LÄN</t>
        </is>
      </c>
      <c r="E242" t="inlineStr">
        <is>
          <t>NORRTÄLJE</t>
        </is>
      </c>
      <c r="G242" t="n">
        <v>3.4</v>
      </c>
      <c r="H242" t="n">
        <v>0</v>
      </c>
      <c r="I242" t="n">
        <v>0</v>
      </c>
      <c r="J242" t="n">
        <v>1</v>
      </c>
      <c r="K242" t="n">
        <v>0</v>
      </c>
      <c r="L242" t="n">
        <v>0</v>
      </c>
      <c r="M242" t="n">
        <v>0</v>
      </c>
      <c r="N242" t="n">
        <v>0</v>
      </c>
      <c r="O242" t="n">
        <v>1</v>
      </c>
      <c r="P242" t="n">
        <v>0</v>
      </c>
      <c r="Q242" t="n">
        <v>1</v>
      </c>
      <c r="R242" s="2" t="inlineStr">
        <is>
          <t>Åkerkulla</t>
        </is>
      </c>
      <c r="S242">
        <f>HYPERLINK("https://klasma.github.io/Logging_0188/artfynd/A 11462-2019 artfynd.xlsx", "A 11462-2019")</f>
        <v/>
      </c>
      <c r="T242">
        <f>HYPERLINK("https://klasma.github.io/Logging_0188/kartor/A 11462-2019 karta.png", "A 11462-2019")</f>
        <v/>
      </c>
      <c r="V242">
        <f>HYPERLINK("https://klasma.github.io/Logging_0188/klagomål/A 11462-2019 FSC-klagomål.docx", "A 11462-2019")</f>
        <v/>
      </c>
      <c r="W242">
        <f>HYPERLINK("https://klasma.github.io/Logging_0188/klagomålsmail/A 11462-2019 FSC-klagomål mail.docx", "A 11462-2019")</f>
        <v/>
      </c>
      <c r="X242">
        <f>HYPERLINK("https://klasma.github.io/Logging_0188/tillsyn/A 11462-2019 tillsynsbegäran.docx", "A 11462-2019")</f>
        <v/>
      </c>
      <c r="Y242">
        <f>HYPERLINK("https://klasma.github.io/Logging_0188/tillsynsmail/A 11462-2019 tillsynsbegäran mail.docx", "A 11462-2019")</f>
        <v/>
      </c>
    </row>
    <row r="243" ht="15" customHeight="1">
      <c r="A243" t="inlineStr">
        <is>
          <t>A 11815-2019</t>
        </is>
      </c>
      <c r="B243" s="1" t="n">
        <v>43521</v>
      </c>
      <c r="C243" s="1" t="n">
        <v>45224</v>
      </c>
      <c r="D243" t="inlineStr">
        <is>
          <t>STOCKHOLMS LÄN</t>
        </is>
      </c>
      <c r="E243" t="inlineStr">
        <is>
          <t>NORRTÄLJE</t>
        </is>
      </c>
      <c r="G243" t="n">
        <v>3</v>
      </c>
      <c r="H243" t="n">
        <v>0</v>
      </c>
      <c r="I243" t="n">
        <v>1</v>
      </c>
      <c r="J243" t="n">
        <v>0</v>
      </c>
      <c r="K243" t="n">
        <v>0</v>
      </c>
      <c r="L243" t="n">
        <v>0</v>
      </c>
      <c r="M243" t="n">
        <v>0</v>
      </c>
      <c r="N243" t="n">
        <v>0</v>
      </c>
      <c r="O243" t="n">
        <v>0</v>
      </c>
      <c r="P243" t="n">
        <v>0</v>
      </c>
      <c r="Q243" t="n">
        <v>1</v>
      </c>
      <c r="R243" s="2" t="inlineStr">
        <is>
          <t>Fjällig taggsvamp s.str.</t>
        </is>
      </c>
      <c r="S243">
        <f>HYPERLINK("https://klasma.github.io/Logging_0188/artfynd/A 11815-2019 artfynd.xlsx", "A 11815-2019")</f>
        <v/>
      </c>
      <c r="T243">
        <f>HYPERLINK("https://klasma.github.io/Logging_0188/kartor/A 11815-2019 karta.png", "A 11815-2019")</f>
        <v/>
      </c>
      <c r="V243">
        <f>HYPERLINK("https://klasma.github.io/Logging_0188/klagomål/A 11815-2019 FSC-klagomål.docx", "A 11815-2019")</f>
        <v/>
      </c>
      <c r="W243">
        <f>HYPERLINK("https://klasma.github.io/Logging_0188/klagomålsmail/A 11815-2019 FSC-klagomål mail.docx", "A 11815-2019")</f>
        <v/>
      </c>
      <c r="X243">
        <f>HYPERLINK("https://klasma.github.io/Logging_0188/tillsyn/A 11815-2019 tillsynsbegäran.docx", "A 11815-2019")</f>
        <v/>
      </c>
      <c r="Y243">
        <f>HYPERLINK("https://klasma.github.io/Logging_0188/tillsynsmail/A 11815-2019 tillsynsbegäran mail.docx", "A 11815-2019")</f>
        <v/>
      </c>
    </row>
    <row r="244" ht="15" customHeight="1">
      <c r="A244" t="inlineStr">
        <is>
          <t>A 13207-2019</t>
        </is>
      </c>
      <c r="B244" s="1" t="n">
        <v>43528</v>
      </c>
      <c r="C244" s="1" t="n">
        <v>45224</v>
      </c>
      <c r="D244" t="inlineStr">
        <is>
          <t>STOCKHOLMS LÄN</t>
        </is>
      </c>
      <c r="E244" t="inlineStr">
        <is>
          <t>NORRTÄLJE</t>
        </is>
      </c>
      <c r="G244" t="n">
        <v>2.5</v>
      </c>
      <c r="H244" t="n">
        <v>1</v>
      </c>
      <c r="I244" t="n">
        <v>0</v>
      </c>
      <c r="J244" t="n">
        <v>0</v>
      </c>
      <c r="K244" t="n">
        <v>1</v>
      </c>
      <c r="L244" t="n">
        <v>0</v>
      </c>
      <c r="M244" t="n">
        <v>0</v>
      </c>
      <c r="N244" t="n">
        <v>0</v>
      </c>
      <c r="O244" t="n">
        <v>1</v>
      </c>
      <c r="P244" t="n">
        <v>1</v>
      </c>
      <c r="Q244" t="n">
        <v>1</v>
      </c>
      <c r="R244" s="2" t="inlineStr">
        <is>
          <t>Hällebräcka</t>
        </is>
      </c>
      <c r="S244">
        <f>HYPERLINK("https://klasma.github.io/Logging_0188/artfynd/A 13207-2019 artfynd.xlsx", "A 13207-2019")</f>
        <v/>
      </c>
      <c r="T244">
        <f>HYPERLINK("https://klasma.github.io/Logging_0188/kartor/A 13207-2019 karta.png", "A 13207-2019")</f>
        <v/>
      </c>
      <c r="V244">
        <f>HYPERLINK("https://klasma.github.io/Logging_0188/klagomål/A 13207-2019 FSC-klagomål.docx", "A 13207-2019")</f>
        <v/>
      </c>
      <c r="W244">
        <f>HYPERLINK("https://klasma.github.io/Logging_0188/klagomålsmail/A 13207-2019 FSC-klagomål mail.docx", "A 13207-2019")</f>
        <v/>
      </c>
      <c r="X244">
        <f>HYPERLINK("https://klasma.github.io/Logging_0188/tillsyn/A 13207-2019 tillsynsbegäran.docx", "A 13207-2019")</f>
        <v/>
      </c>
      <c r="Y244">
        <f>HYPERLINK("https://klasma.github.io/Logging_0188/tillsynsmail/A 13207-2019 tillsynsbegäran mail.docx", "A 13207-2019")</f>
        <v/>
      </c>
    </row>
    <row r="245" ht="15" customHeight="1">
      <c r="A245" t="inlineStr">
        <is>
          <t>A 13444-2019</t>
        </is>
      </c>
      <c r="B245" s="1" t="n">
        <v>43529</v>
      </c>
      <c r="C245" s="1" t="n">
        <v>45224</v>
      </c>
      <c r="D245" t="inlineStr">
        <is>
          <t>STOCKHOLMS LÄN</t>
        </is>
      </c>
      <c r="E245" t="inlineStr">
        <is>
          <t>NORRTÄLJE</t>
        </is>
      </c>
      <c r="F245" t="inlineStr">
        <is>
          <t>Kommuner</t>
        </is>
      </c>
      <c r="G245" t="n">
        <v>1</v>
      </c>
      <c r="H245" t="n">
        <v>0</v>
      </c>
      <c r="I245" t="n">
        <v>0</v>
      </c>
      <c r="J245" t="n">
        <v>1</v>
      </c>
      <c r="K245" t="n">
        <v>0</v>
      </c>
      <c r="L245" t="n">
        <v>0</v>
      </c>
      <c r="M245" t="n">
        <v>0</v>
      </c>
      <c r="N245" t="n">
        <v>0</v>
      </c>
      <c r="O245" t="n">
        <v>1</v>
      </c>
      <c r="P245" t="n">
        <v>0</v>
      </c>
      <c r="Q245" t="n">
        <v>1</v>
      </c>
      <c r="R245" s="2" t="inlineStr">
        <is>
          <t>Ullticka</t>
        </is>
      </c>
      <c r="S245">
        <f>HYPERLINK("https://klasma.github.io/Logging_0188/artfynd/A 13444-2019 artfynd.xlsx", "A 13444-2019")</f>
        <v/>
      </c>
      <c r="T245">
        <f>HYPERLINK("https://klasma.github.io/Logging_0188/kartor/A 13444-2019 karta.png", "A 13444-2019")</f>
        <v/>
      </c>
      <c r="V245">
        <f>HYPERLINK("https://klasma.github.io/Logging_0188/klagomål/A 13444-2019 FSC-klagomål.docx", "A 13444-2019")</f>
        <v/>
      </c>
      <c r="W245">
        <f>HYPERLINK("https://klasma.github.io/Logging_0188/klagomålsmail/A 13444-2019 FSC-klagomål mail.docx", "A 13444-2019")</f>
        <v/>
      </c>
      <c r="X245">
        <f>HYPERLINK("https://klasma.github.io/Logging_0188/tillsyn/A 13444-2019 tillsynsbegäran.docx", "A 13444-2019")</f>
        <v/>
      </c>
      <c r="Y245">
        <f>HYPERLINK("https://klasma.github.io/Logging_0188/tillsynsmail/A 13444-2019 tillsynsbegäran mail.docx", "A 13444-2019")</f>
        <v/>
      </c>
    </row>
    <row r="246" ht="15" customHeight="1">
      <c r="A246" t="inlineStr">
        <is>
          <t>A 15113-2019</t>
        </is>
      </c>
      <c r="B246" s="1" t="n">
        <v>43539</v>
      </c>
      <c r="C246" s="1" t="n">
        <v>45224</v>
      </c>
      <c r="D246" t="inlineStr">
        <is>
          <t>STOCKHOLMS LÄN</t>
        </is>
      </c>
      <c r="E246" t="inlineStr">
        <is>
          <t>NORRTÄLJE</t>
        </is>
      </c>
      <c r="F246" t="inlineStr">
        <is>
          <t>Kommuner</t>
        </is>
      </c>
      <c r="G246" t="n">
        <v>0.7</v>
      </c>
      <c r="H246" t="n">
        <v>0</v>
      </c>
      <c r="I246" t="n">
        <v>0</v>
      </c>
      <c r="J246" t="n">
        <v>1</v>
      </c>
      <c r="K246" t="n">
        <v>0</v>
      </c>
      <c r="L246" t="n">
        <v>0</v>
      </c>
      <c r="M246" t="n">
        <v>0</v>
      </c>
      <c r="N246" t="n">
        <v>0</v>
      </c>
      <c r="O246" t="n">
        <v>1</v>
      </c>
      <c r="P246" t="n">
        <v>0</v>
      </c>
      <c r="Q246" t="n">
        <v>1</v>
      </c>
      <c r="R246" s="2" t="inlineStr">
        <is>
          <t>Blå taggsvamp</t>
        </is>
      </c>
      <c r="S246">
        <f>HYPERLINK("https://klasma.github.io/Logging_0188/artfynd/A 15113-2019 artfynd.xlsx", "A 15113-2019")</f>
        <v/>
      </c>
      <c r="T246">
        <f>HYPERLINK("https://klasma.github.io/Logging_0188/kartor/A 15113-2019 karta.png", "A 15113-2019")</f>
        <v/>
      </c>
      <c r="V246">
        <f>HYPERLINK("https://klasma.github.io/Logging_0188/klagomål/A 15113-2019 FSC-klagomål.docx", "A 15113-2019")</f>
        <v/>
      </c>
      <c r="W246">
        <f>HYPERLINK("https://klasma.github.io/Logging_0188/klagomålsmail/A 15113-2019 FSC-klagomål mail.docx", "A 15113-2019")</f>
        <v/>
      </c>
      <c r="X246">
        <f>HYPERLINK("https://klasma.github.io/Logging_0188/tillsyn/A 15113-2019 tillsynsbegäran.docx", "A 15113-2019")</f>
        <v/>
      </c>
      <c r="Y246">
        <f>HYPERLINK("https://klasma.github.io/Logging_0188/tillsynsmail/A 15113-2019 tillsynsbegäran mail.docx", "A 15113-2019")</f>
        <v/>
      </c>
    </row>
    <row r="247" ht="15" customHeight="1">
      <c r="A247" t="inlineStr">
        <is>
          <t>A 17526-2019</t>
        </is>
      </c>
      <c r="B247" s="1" t="n">
        <v>43553</v>
      </c>
      <c r="C247" s="1" t="n">
        <v>45224</v>
      </c>
      <c r="D247" t="inlineStr">
        <is>
          <t>STOCKHOLMS LÄN</t>
        </is>
      </c>
      <c r="E247" t="inlineStr">
        <is>
          <t>NORRTÄLJE</t>
        </is>
      </c>
      <c r="G247" t="n">
        <v>2.1</v>
      </c>
      <c r="H247" t="n">
        <v>0</v>
      </c>
      <c r="I247" t="n">
        <v>0</v>
      </c>
      <c r="J247" t="n">
        <v>1</v>
      </c>
      <c r="K247" t="n">
        <v>0</v>
      </c>
      <c r="L247" t="n">
        <v>0</v>
      </c>
      <c r="M247" t="n">
        <v>0</v>
      </c>
      <c r="N247" t="n">
        <v>0</v>
      </c>
      <c r="O247" t="n">
        <v>1</v>
      </c>
      <c r="P247" t="n">
        <v>0</v>
      </c>
      <c r="Q247" t="n">
        <v>1</v>
      </c>
      <c r="R247" s="2" t="inlineStr">
        <is>
          <t>Leptoporus erubescens</t>
        </is>
      </c>
      <c r="S247">
        <f>HYPERLINK("https://klasma.github.io/Logging_0188/artfynd/A 17526-2019 artfynd.xlsx", "A 17526-2019")</f>
        <v/>
      </c>
      <c r="T247">
        <f>HYPERLINK("https://klasma.github.io/Logging_0188/kartor/A 17526-2019 karta.png", "A 17526-2019")</f>
        <v/>
      </c>
      <c r="V247">
        <f>HYPERLINK("https://klasma.github.io/Logging_0188/klagomål/A 17526-2019 FSC-klagomål.docx", "A 17526-2019")</f>
        <v/>
      </c>
      <c r="W247">
        <f>HYPERLINK("https://klasma.github.io/Logging_0188/klagomålsmail/A 17526-2019 FSC-klagomål mail.docx", "A 17526-2019")</f>
        <v/>
      </c>
      <c r="X247">
        <f>HYPERLINK("https://klasma.github.io/Logging_0188/tillsyn/A 17526-2019 tillsynsbegäran.docx", "A 17526-2019")</f>
        <v/>
      </c>
      <c r="Y247">
        <f>HYPERLINK("https://klasma.github.io/Logging_0188/tillsynsmail/A 17526-2019 tillsynsbegäran mail.docx", "A 17526-2019")</f>
        <v/>
      </c>
    </row>
    <row r="248" ht="15" customHeight="1">
      <c r="A248" t="inlineStr">
        <is>
          <t>A 20740-2019</t>
        </is>
      </c>
      <c r="B248" s="1" t="n">
        <v>43573</v>
      </c>
      <c r="C248" s="1" t="n">
        <v>45224</v>
      </c>
      <c r="D248" t="inlineStr">
        <is>
          <t>STOCKHOLMS LÄN</t>
        </is>
      </c>
      <c r="E248" t="inlineStr">
        <is>
          <t>NORRTÄLJE</t>
        </is>
      </c>
      <c r="G248" t="n">
        <v>1.6</v>
      </c>
      <c r="H248" t="n">
        <v>0</v>
      </c>
      <c r="I248" t="n">
        <v>0</v>
      </c>
      <c r="J248" t="n">
        <v>1</v>
      </c>
      <c r="K248" t="n">
        <v>0</v>
      </c>
      <c r="L248" t="n">
        <v>0</v>
      </c>
      <c r="M248" t="n">
        <v>0</v>
      </c>
      <c r="N248" t="n">
        <v>0</v>
      </c>
      <c r="O248" t="n">
        <v>1</v>
      </c>
      <c r="P248" t="n">
        <v>0</v>
      </c>
      <c r="Q248" t="n">
        <v>1</v>
      </c>
      <c r="R248" s="2" t="inlineStr">
        <is>
          <t>Slåtterfibbla</t>
        </is>
      </c>
      <c r="S248">
        <f>HYPERLINK("https://klasma.github.io/Logging_0188/artfynd/A 20740-2019 artfynd.xlsx", "A 20740-2019")</f>
        <v/>
      </c>
      <c r="T248">
        <f>HYPERLINK("https://klasma.github.io/Logging_0188/kartor/A 20740-2019 karta.png", "A 20740-2019")</f>
        <v/>
      </c>
      <c r="V248">
        <f>HYPERLINK("https://klasma.github.io/Logging_0188/klagomål/A 20740-2019 FSC-klagomål.docx", "A 20740-2019")</f>
        <v/>
      </c>
      <c r="W248">
        <f>HYPERLINK("https://klasma.github.io/Logging_0188/klagomålsmail/A 20740-2019 FSC-klagomål mail.docx", "A 20740-2019")</f>
        <v/>
      </c>
      <c r="X248">
        <f>HYPERLINK("https://klasma.github.io/Logging_0188/tillsyn/A 20740-2019 tillsynsbegäran.docx", "A 20740-2019")</f>
        <v/>
      </c>
      <c r="Y248">
        <f>HYPERLINK("https://klasma.github.io/Logging_0188/tillsynsmail/A 20740-2019 tillsynsbegäran mail.docx", "A 20740-2019")</f>
        <v/>
      </c>
    </row>
    <row r="249" ht="15" customHeight="1">
      <c r="A249" t="inlineStr">
        <is>
          <t>A 26275-2019</t>
        </is>
      </c>
      <c r="B249" s="1" t="n">
        <v>43611</v>
      </c>
      <c r="C249" s="1" t="n">
        <v>45224</v>
      </c>
      <c r="D249" t="inlineStr">
        <is>
          <t>STOCKHOLMS LÄN</t>
        </is>
      </c>
      <c r="E249" t="inlineStr">
        <is>
          <t>NORRTÄLJE</t>
        </is>
      </c>
      <c r="G249" t="n">
        <v>0.5</v>
      </c>
      <c r="H249" t="n">
        <v>0</v>
      </c>
      <c r="I249" t="n">
        <v>1</v>
      </c>
      <c r="J249" t="n">
        <v>0</v>
      </c>
      <c r="K249" t="n">
        <v>0</v>
      </c>
      <c r="L249" t="n">
        <v>0</v>
      </c>
      <c r="M249" t="n">
        <v>0</v>
      </c>
      <c r="N249" t="n">
        <v>0</v>
      </c>
      <c r="O249" t="n">
        <v>0</v>
      </c>
      <c r="P249" t="n">
        <v>0</v>
      </c>
      <c r="Q249" t="n">
        <v>1</v>
      </c>
      <c r="R249" s="2" t="inlineStr">
        <is>
          <t>Blåmossa</t>
        </is>
      </c>
      <c r="S249">
        <f>HYPERLINK("https://klasma.github.io/Logging_0188/artfynd/A 26275-2019 artfynd.xlsx", "A 26275-2019")</f>
        <v/>
      </c>
      <c r="T249">
        <f>HYPERLINK("https://klasma.github.io/Logging_0188/kartor/A 26275-2019 karta.png", "A 26275-2019")</f>
        <v/>
      </c>
      <c r="V249">
        <f>HYPERLINK("https://klasma.github.io/Logging_0188/klagomål/A 26275-2019 FSC-klagomål.docx", "A 26275-2019")</f>
        <v/>
      </c>
      <c r="W249">
        <f>HYPERLINK("https://klasma.github.io/Logging_0188/klagomålsmail/A 26275-2019 FSC-klagomål mail.docx", "A 26275-2019")</f>
        <v/>
      </c>
      <c r="X249">
        <f>HYPERLINK("https://klasma.github.io/Logging_0188/tillsyn/A 26275-2019 tillsynsbegäran.docx", "A 26275-2019")</f>
        <v/>
      </c>
      <c r="Y249">
        <f>HYPERLINK("https://klasma.github.io/Logging_0188/tillsynsmail/A 26275-2019 tillsynsbegäran mail.docx", "A 26275-2019")</f>
        <v/>
      </c>
    </row>
    <row r="250" ht="15" customHeight="1">
      <c r="A250" t="inlineStr">
        <is>
          <t>A 27513-2019</t>
        </is>
      </c>
      <c r="B250" s="1" t="n">
        <v>43619</v>
      </c>
      <c r="C250" s="1" t="n">
        <v>45224</v>
      </c>
      <c r="D250" t="inlineStr">
        <is>
          <t>STOCKHOLMS LÄN</t>
        </is>
      </c>
      <c r="E250" t="inlineStr">
        <is>
          <t>SÖDERTÄLJE</t>
        </is>
      </c>
      <c r="F250" t="inlineStr">
        <is>
          <t>Sveaskog</t>
        </is>
      </c>
      <c r="G250" t="n">
        <v>2.9</v>
      </c>
      <c r="H250" t="n">
        <v>0</v>
      </c>
      <c r="I250" t="n">
        <v>0</v>
      </c>
      <c r="J250" t="n">
        <v>1</v>
      </c>
      <c r="K250" t="n">
        <v>0</v>
      </c>
      <c r="L250" t="n">
        <v>0</v>
      </c>
      <c r="M250" t="n">
        <v>0</v>
      </c>
      <c r="N250" t="n">
        <v>0</v>
      </c>
      <c r="O250" t="n">
        <v>1</v>
      </c>
      <c r="P250" t="n">
        <v>0</v>
      </c>
      <c r="Q250" t="n">
        <v>1</v>
      </c>
      <c r="R250" s="2" t="inlineStr">
        <is>
          <t>Vedtrappmossa</t>
        </is>
      </c>
      <c r="S250">
        <f>HYPERLINK("https://klasma.github.io/Logging_0181/artfynd/A 27513-2019 artfynd.xlsx", "A 27513-2019")</f>
        <v/>
      </c>
      <c r="T250">
        <f>HYPERLINK("https://klasma.github.io/Logging_0181/kartor/A 27513-2019 karta.png", "A 27513-2019")</f>
        <v/>
      </c>
      <c r="V250">
        <f>HYPERLINK("https://klasma.github.io/Logging_0181/klagomål/A 27513-2019 FSC-klagomål.docx", "A 27513-2019")</f>
        <v/>
      </c>
      <c r="W250">
        <f>HYPERLINK("https://klasma.github.io/Logging_0181/klagomålsmail/A 27513-2019 FSC-klagomål mail.docx", "A 27513-2019")</f>
        <v/>
      </c>
      <c r="X250">
        <f>HYPERLINK("https://klasma.github.io/Logging_0181/tillsyn/A 27513-2019 tillsynsbegäran.docx", "A 27513-2019")</f>
        <v/>
      </c>
      <c r="Y250">
        <f>HYPERLINK("https://klasma.github.io/Logging_0181/tillsynsmail/A 27513-2019 tillsynsbegäran mail.docx", "A 27513-2019")</f>
        <v/>
      </c>
    </row>
    <row r="251" ht="15" customHeight="1">
      <c r="A251" t="inlineStr">
        <is>
          <t>A 29513-2019</t>
        </is>
      </c>
      <c r="B251" s="1" t="n">
        <v>43627</v>
      </c>
      <c r="C251" s="1" t="n">
        <v>45224</v>
      </c>
      <c r="D251" t="inlineStr">
        <is>
          <t>STOCKHOLMS LÄN</t>
        </is>
      </c>
      <c r="E251" t="inlineStr">
        <is>
          <t>HANINGE</t>
        </is>
      </c>
      <c r="G251" t="n">
        <v>2.1</v>
      </c>
      <c r="H251" t="n">
        <v>1</v>
      </c>
      <c r="I251" t="n">
        <v>0</v>
      </c>
      <c r="J251" t="n">
        <v>1</v>
      </c>
      <c r="K251" t="n">
        <v>0</v>
      </c>
      <c r="L251" t="n">
        <v>0</v>
      </c>
      <c r="M251" t="n">
        <v>0</v>
      </c>
      <c r="N251" t="n">
        <v>0</v>
      </c>
      <c r="O251" t="n">
        <v>1</v>
      </c>
      <c r="P251" t="n">
        <v>0</v>
      </c>
      <c r="Q251" t="n">
        <v>1</v>
      </c>
      <c r="R251" s="2" t="inlineStr">
        <is>
          <t>Spillkråka</t>
        </is>
      </c>
      <c r="S251">
        <f>HYPERLINK("https://klasma.github.io/Logging_0136/artfynd/A 29513-2019 artfynd.xlsx", "A 29513-2019")</f>
        <v/>
      </c>
      <c r="T251">
        <f>HYPERLINK("https://klasma.github.io/Logging_0136/kartor/A 29513-2019 karta.png", "A 29513-2019")</f>
        <v/>
      </c>
      <c r="V251">
        <f>HYPERLINK("https://klasma.github.io/Logging_0136/klagomål/A 29513-2019 FSC-klagomål.docx", "A 29513-2019")</f>
        <v/>
      </c>
      <c r="W251">
        <f>HYPERLINK("https://klasma.github.io/Logging_0136/klagomålsmail/A 29513-2019 FSC-klagomål mail.docx", "A 29513-2019")</f>
        <v/>
      </c>
      <c r="X251">
        <f>HYPERLINK("https://klasma.github.io/Logging_0136/tillsyn/A 29513-2019 tillsynsbegäran.docx", "A 29513-2019")</f>
        <v/>
      </c>
      <c r="Y251">
        <f>HYPERLINK("https://klasma.github.io/Logging_0136/tillsynsmail/A 29513-2019 tillsynsbegäran mail.docx", "A 29513-2019")</f>
        <v/>
      </c>
    </row>
    <row r="252" ht="15" customHeight="1">
      <c r="A252" t="inlineStr">
        <is>
          <t>A 31167-2019</t>
        </is>
      </c>
      <c r="B252" s="1" t="n">
        <v>43635</v>
      </c>
      <c r="C252" s="1" t="n">
        <v>45224</v>
      </c>
      <c r="D252" t="inlineStr">
        <is>
          <t>STOCKHOLMS LÄN</t>
        </is>
      </c>
      <c r="E252" t="inlineStr">
        <is>
          <t>EKERÖ</t>
        </is>
      </c>
      <c r="F252" t="inlineStr">
        <is>
          <t>Övriga statliga verk och myndigheter</t>
        </is>
      </c>
      <c r="G252" t="n">
        <v>3.7</v>
      </c>
      <c r="H252" t="n">
        <v>1</v>
      </c>
      <c r="I252" t="n">
        <v>0</v>
      </c>
      <c r="J252" t="n">
        <v>0</v>
      </c>
      <c r="K252" t="n">
        <v>1</v>
      </c>
      <c r="L252" t="n">
        <v>0</v>
      </c>
      <c r="M252" t="n">
        <v>0</v>
      </c>
      <c r="N252" t="n">
        <v>0</v>
      </c>
      <c r="O252" t="n">
        <v>1</v>
      </c>
      <c r="P252" t="n">
        <v>1</v>
      </c>
      <c r="Q252" t="n">
        <v>1</v>
      </c>
      <c r="R252" s="2" t="inlineStr">
        <is>
          <t>Läderbagge</t>
        </is>
      </c>
      <c r="S252">
        <f>HYPERLINK("https://klasma.github.io/Logging_0125/artfynd/A 31167-2019 artfynd.xlsx", "A 31167-2019")</f>
        <v/>
      </c>
      <c r="T252">
        <f>HYPERLINK("https://klasma.github.io/Logging_0125/kartor/A 31167-2019 karta.png", "A 31167-2019")</f>
        <v/>
      </c>
      <c r="V252">
        <f>HYPERLINK("https://klasma.github.io/Logging_0125/klagomål/A 31167-2019 FSC-klagomål.docx", "A 31167-2019")</f>
        <v/>
      </c>
      <c r="W252">
        <f>HYPERLINK("https://klasma.github.io/Logging_0125/klagomålsmail/A 31167-2019 FSC-klagomål mail.docx", "A 31167-2019")</f>
        <v/>
      </c>
      <c r="X252">
        <f>HYPERLINK("https://klasma.github.io/Logging_0125/tillsyn/A 31167-2019 tillsynsbegäran.docx", "A 31167-2019")</f>
        <v/>
      </c>
      <c r="Y252">
        <f>HYPERLINK("https://klasma.github.io/Logging_0125/tillsynsmail/A 31167-2019 tillsynsbegäran mail.docx", "A 31167-2019")</f>
        <v/>
      </c>
    </row>
    <row r="253" ht="15" customHeight="1">
      <c r="A253" t="inlineStr">
        <is>
          <t>A 38137-2019</t>
        </is>
      </c>
      <c r="B253" s="1" t="n">
        <v>43684</v>
      </c>
      <c r="C253" s="1" t="n">
        <v>45224</v>
      </c>
      <c r="D253" t="inlineStr">
        <is>
          <t>STOCKHOLMS LÄN</t>
        </is>
      </c>
      <c r="E253" t="inlineStr">
        <is>
          <t>NORRTÄLJE</t>
        </is>
      </c>
      <c r="G253" t="n">
        <v>12.9</v>
      </c>
      <c r="H253" t="n">
        <v>0</v>
      </c>
      <c r="I253" t="n">
        <v>0</v>
      </c>
      <c r="J253" t="n">
        <v>1</v>
      </c>
      <c r="K253" t="n">
        <v>0</v>
      </c>
      <c r="L253" t="n">
        <v>0</v>
      </c>
      <c r="M253" t="n">
        <v>0</v>
      </c>
      <c r="N253" t="n">
        <v>0</v>
      </c>
      <c r="O253" t="n">
        <v>1</v>
      </c>
      <c r="P253" t="n">
        <v>0</v>
      </c>
      <c r="Q253" t="n">
        <v>1</v>
      </c>
      <c r="R253" s="2" t="inlineStr">
        <is>
          <t>Rutskinn</t>
        </is>
      </c>
      <c r="S253">
        <f>HYPERLINK("https://klasma.github.io/Logging_0188/artfynd/A 38137-2019 artfynd.xlsx", "A 38137-2019")</f>
        <v/>
      </c>
      <c r="T253">
        <f>HYPERLINK("https://klasma.github.io/Logging_0188/kartor/A 38137-2019 karta.png", "A 38137-2019")</f>
        <v/>
      </c>
      <c r="V253">
        <f>HYPERLINK("https://klasma.github.io/Logging_0188/klagomål/A 38137-2019 FSC-klagomål.docx", "A 38137-2019")</f>
        <v/>
      </c>
      <c r="W253">
        <f>HYPERLINK("https://klasma.github.io/Logging_0188/klagomålsmail/A 38137-2019 FSC-klagomål mail.docx", "A 38137-2019")</f>
        <v/>
      </c>
      <c r="X253">
        <f>HYPERLINK("https://klasma.github.io/Logging_0188/tillsyn/A 38137-2019 tillsynsbegäran.docx", "A 38137-2019")</f>
        <v/>
      </c>
      <c r="Y253">
        <f>HYPERLINK("https://klasma.github.io/Logging_0188/tillsynsmail/A 38137-2019 tillsynsbegäran mail.docx", "A 38137-2019")</f>
        <v/>
      </c>
    </row>
    <row r="254" ht="15" customHeight="1">
      <c r="A254" t="inlineStr">
        <is>
          <t>A 52009-2019</t>
        </is>
      </c>
      <c r="B254" s="1" t="n">
        <v>43742</v>
      </c>
      <c r="C254" s="1" t="n">
        <v>45224</v>
      </c>
      <c r="D254" t="inlineStr">
        <is>
          <t>STOCKHOLMS LÄN</t>
        </is>
      </c>
      <c r="E254" t="inlineStr">
        <is>
          <t>SALEM</t>
        </is>
      </c>
      <c r="G254" t="n">
        <v>16.9</v>
      </c>
      <c r="H254" t="n">
        <v>0</v>
      </c>
      <c r="I254" t="n">
        <v>1</v>
      </c>
      <c r="J254" t="n">
        <v>0</v>
      </c>
      <c r="K254" t="n">
        <v>0</v>
      </c>
      <c r="L254" t="n">
        <v>0</v>
      </c>
      <c r="M254" t="n">
        <v>0</v>
      </c>
      <c r="N254" t="n">
        <v>0</v>
      </c>
      <c r="O254" t="n">
        <v>0</v>
      </c>
      <c r="P254" t="n">
        <v>0</v>
      </c>
      <c r="Q254" t="n">
        <v>1</v>
      </c>
      <c r="R254" s="2" t="inlineStr">
        <is>
          <t>Svart trolldruva</t>
        </is>
      </c>
      <c r="S254">
        <f>HYPERLINK("https://klasma.github.io/Logging_0128/artfynd/A 52009-2019 artfynd.xlsx", "A 52009-2019")</f>
        <v/>
      </c>
      <c r="T254">
        <f>HYPERLINK("https://klasma.github.io/Logging_0128/kartor/A 52009-2019 karta.png", "A 52009-2019")</f>
        <v/>
      </c>
      <c r="V254">
        <f>HYPERLINK("https://klasma.github.io/Logging_0128/klagomål/A 52009-2019 FSC-klagomål.docx", "A 52009-2019")</f>
        <v/>
      </c>
      <c r="W254">
        <f>HYPERLINK("https://klasma.github.io/Logging_0128/klagomålsmail/A 52009-2019 FSC-klagomål mail.docx", "A 52009-2019")</f>
        <v/>
      </c>
      <c r="X254">
        <f>HYPERLINK("https://klasma.github.io/Logging_0128/tillsyn/A 52009-2019 tillsynsbegäran.docx", "A 52009-2019")</f>
        <v/>
      </c>
      <c r="Y254">
        <f>HYPERLINK("https://klasma.github.io/Logging_0128/tillsynsmail/A 52009-2019 tillsynsbegäran mail.docx", "A 52009-2019")</f>
        <v/>
      </c>
    </row>
    <row r="255" ht="15" customHeight="1">
      <c r="A255" t="inlineStr">
        <is>
          <t>A 54231-2019</t>
        </is>
      </c>
      <c r="B255" s="1" t="n">
        <v>43753</v>
      </c>
      <c r="C255" s="1" t="n">
        <v>45224</v>
      </c>
      <c r="D255" t="inlineStr">
        <is>
          <t>STOCKHOLMS LÄN</t>
        </is>
      </c>
      <c r="E255" t="inlineStr">
        <is>
          <t>EKERÖ</t>
        </is>
      </c>
      <c r="G255" t="n">
        <v>6.2</v>
      </c>
      <c r="H255" t="n">
        <v>1</v>
      </c>
      <c r="I255" t="n">
        <v>0</v>
      </c>
      <c r="J255" t="n">
        <v>0</v>
      </c>
      <c r="K255" t="n">
        <v>1</v>
      </c>
      <c r="L255" t="n">
        <v>0</v>
      </c>
      <c r="M255" t="n">
        <v>0</v>
      </c>
      <c r="N255" t="n">
        <v>0</v>
      </c>
      <c r="O255" t="n">
        <v>1</v>
      </c>
      <c r="P255" t="n">
        <v>1</v>
      </c>
      <c r="Q255" t="n">
        <v>1</v>
      </c>
      <c r="R255" s="2" t="inlineStr">
        <is>
          <t>Bombmurkla</t>
        </is>
      </c>
      <c r="S255">
        <f>HYPERLINK("https://klasma.github.io/Logging_0125/artfynd/A 54231-2019 artfynd.xlsx", "A 54231-2019")</f>
        <v/>
      </c>
      <c r="T255">
        <f>HYPERLINK("https://klasma.github.io/Logging_0125/kartor/A 54231-2019 karta.png", "A 54231-2019")</f>
        <v/>
      </c>
      <c r="V255">
        <f>HYPERLINK("https://klasma.github.io/Logging_0125/klagomål/A 54231-2019 FSC-klagomål.docx", "A 54231-2019")</f>
        <v/>
      </c>
      <c r="W255">
        <f>HYPERLINK("https://klasma.github.io/Logging_0125/klagomålsmail/A 54231-2019 FSC-klagomål mail.docx", "A 54231-2019")</f>
        <v/>
      </c>
      <c r="X255">
        <f>HYPERLINK("https://klasma.github.io/Logging_0125/tillsyn/A 54231-2019 tillsynsbegäran.docx", "A 54231-2019")</f>
        <v/>
      </c>
      <c r="Y255">
        <f>HYPERLINK("https://klasma.github.io/Logging_0125/tillsynsmail/A 54231-2019 tillsynsbegäran mail.docx", "A 54231-2019")</f>
        <v/>
      </c>
    </row>
    <row r="256" ht="15" customHeight="1">
      <c r="A256" t="inlineStr">
        <is>
          <t>A 59643-2019</t>
        </is>
      </c>
      <c r="B256" s="1" t="n">
        <v>43776</v>
      </c>
      <c r="C256" s="1" t="n">
        <v>45224</v>
      </c>
      <c r="D256" t="inlineStr">
        <is>
          <t>STOCKHOLMS LÄN</t>
        </is>
      </c>
      <c r="E256" t="inlineStr">
        <is>
          <t>SÖDERTÄLJE</t>
        </is>
      </c>
      <c r="G256" t="n">
        <v>2</v>
      </c>
      <c r="H256" t="n">
        <v>1</v>
      </c>
      <c r="I256" t="n">
        <v>0</v>
      </c>
      <c r="J256" t="n">
        <v>0</v>
      </c>
      <c r="K256" t="n">
        <v>1</v>
      </c>
      <c r="L256" t="n">
        <v>0</v>
      </c>
      <c r="M256" t="n">
        <v>0</v>
      </c>
      <c r="N256" t="n">
        <v>0</v>
      </c>
      <c r="O256" t="n">
        <v>1</v>
      </c>
      <c r="P256" t="n">
        <v>1</v>
      </c>
      <c r="Q256" t="n">
        <v>1</v>
      </c>
      <c r="R256" s="2" t="inlineStr">
        <is>
          <t>Knärot</t>
        </is>
      </c>
      <c r="S256">
        <f>HYPERLINK("https://klasma.github.io/Logging_0181/artfynd/A 59643-2019 artfynd.xlsx", "A 59643-2019")</f>
        <v/>
      </c>
      <c r="T256">
        <f>HYPERLINK("https://klasma.github.io/Logging_0181/kartor/A 59643-2019 karta.png", "A 59643-2019")</f>
        <v/>
      </c>
      <c r="U256">
        <f>HYPERLINK("https://klasma.github.io/Logging_0181/knärot/A 59643-2019 karta knärot.png", "A 59643-2019")</f>
        <v/>
      </c>
      <c r="V256">
        <f>HYPERLINK("https://klasma.github.io/Logging_0181/klagomål/A 59643-2019 FSC-klagomål.docx", "A 59643-2019")</f>
        <v/>
      </c>
      <c r="W256">
        <f>HYPERLINK("https://klasma.github.io/Logging_0181/klagomålsmail/A 59643-2019 FSC-klagomål mail.docx", "A 59643-2019")</f>
        <v/>
      </c>
      <c r="X256">
        <f>HYPERLINK("https://klasma.github.io/Logging_0181/tillsyn/A 59643-2019 tillsynsbegäran.docx", "A 59643-2019")</f>
        <v/>
      </c>
      <c r="Y256">
        <f>HYPERLINK("https://klasma.github.io/Logging_0181/tillsynsmail/A 59643-2019 tillsynsbegäran mail.docx", "A 59643-2019")</f>
        <v/>
      </c>
    </row>
    <row r="257" ht="15" customHeight="1">
      <c r="A257" t="inlineStr">
        <is>
          <t>A 64849-2019</t>
        </is>
      </c>
      <c r="B257" s="1" t="n">
        <v>43801</v>
      </c>
      <c r="C257" s="1" t="n">
        <v>45224</v>
      </c>
      <c r="D257" t="inlineStr">
        <is>
          <t>STOCKHOLMS LÄN</t>
        </is>
      </c>
      <c r="E257" t="inlineStr">
        <is>
          <t>NORRTÄLJE</t>
        </is>
      </c>
      <c r="G257" t="n">
        <v>1.6</v>
      </c>
      <c r="H257" t="n">
        <v>0</v>
      </c>
      <c r="I257" t="n">
        <v>0</v>
      </c>
      <c r="J257" t="n">
        <v>1</v>
      </c>
      <c r="K257" t="n">
        <v>0</v>
      </c>
      <c r="L257" t="n">
        <v>0</v>
      </c>
      <c r="M257" t="n">
        <v>0</v>
      </c>
      <c r="N257" t="n">
        <v>0</v>
      </c>
      <c r="O257" t="n">
        <v>1</v>
      </c>
      <c r="P257" t="n">
        <v>0</v>
      </c>
      <c r="Q257" t="n">
        <v>1</v>
      </c>
      <c r="R257" s="2" t="inlineStr">
        <is>
          <t>Skogsklocka</t>
        </is>
      </c>
      <c r="S257">
        <f>HYPERLINK("https://klasma.github.io/Logging_0188/artfynd/A 64849-2019 artfynd.xlsx", "A 64849-2019")</f>
        <v/>
      </c>
      <c r="T257">
        <f>HYPERLINK("https://klasma.github.io/Logging_0188/kartor/A 64849-2019 karta.png", "A 64849-2019")</f>
        <v/>
      </c>
      <c r="V257">
        <f>HYPERLINK("https://klasma.github.io/Logging_0188/klagomål/A 64849-2019 FSC-klagomål.docx", "A 64849-2019")</f>
        <v/>
      </c>
      <c r="W257">
        <f>HYPERLINK("https://klasma.github.io/Logging_0188/klagomålsmail/A 64849-2019 FSC-klagomål mail.docx", "A 64849-2019")</f>
        <v/>
      </c>
      <c r="X257">
        <f>HYPERLINK("https://klasma.github.io/Logging_0188/tillsyn/A 64849-2019 tillsynsbegäran.docx", "A 64849-2019")</f>
        <v/>
      </c>
      <c r="Y257">
        <f>HYPERLINK("https://klasma.github.io/Logging_0188/tillsynsmail/A 64849-2019 tillsynsbegäran mail.docx", "A 64849-2019")</f>
        <v/>
      </c>
    </row>
    <row r="258" ht="15" customHeight="1">
      <c r="A258" t="inlineStr">
        <is>
          <t>A 68107-2019</t>
        </is>
      </c>
      <c r="B258" s="1" t="n">
        <v>43817</v>
      </c>
      <c r="C258" s="1" t="n">
        <v>45224</v>
      </c>
      <c r="D258" t="inlineStr">
        <is>
          <t>STOCKHOLMS LÄN</t>
        </is>
      </c>
      <c r="E258" t="inlineStr">
        <is>
          <t>VALLENTUNA</t>
        </is>
      </c>
      <c r="G258" t="n">
        <v>11.4</v>
      </c>
      <c r="H258" t="n">
        <v>0</v>
      </c>
      <c r="I258" t="n">
        <v>0</v>
      </c>
      <c r="J258" t="n">
        <v>1</v>
      </c>
      <c r="K258" t="n">
        <v>0</v>
      </c>
      <c r="L258" t="n">
        <v>0</v>
      </c>
      <c r="M258" t="n">
        <v>0</v>
      </c>
      <c r="N258" t="n">
        <v>0</v>
      </c>
      <c r="O258" t="n">
        <v>1</v>
      </c>
      <c r="P258" t="n">
        <v>0</v>
      </c>
      <c r="Q258" t="n">
        <v>1</v>
      </c>
      <c r="R258" s="2" t="inlineStr">
        <is>
          <t>Tallticka</t>
        </is>
      </c>
      <c r="S258">
        <f>HYPERLINK("https://klasma.github.io/Logging_0115/artfynd/A 68107-2019 artfynd.xlsx", "A 68107-2019")</f>
        <v/>
      </c>
      <c r="T258">
        <f>HYPERLINK("https://klasma.github.io/Logging_0115/kartor/A 68107-2019 karta.png", "A 68107-2019")</f>
        <v/>
      </c>
      <c r="V258">
        <f>HYPERLINK("https://klasma.github.io/Logging_0115/klagomål/A 68107-2019 FSC-klagomål.docx", "A 68107-2019")</f>
        <v/>
      </c>
      <c r="W258">
        <f>HYPERLINK("https://klasma.github.io/Logging_0115/klagomålsmail/A 68107-2019 FSC-klagomål mail.docx", "A 68107-2019")</f>
        <v/>
      </c>
      <c r="X258">
        <f>HYPERLINK("https://klasma.github.io/Logging_0115/tillsyn/A 68107-2019 tillsynsbegäran.docx", "A 68107-2019")</f>
        <v/>
      </c>
      <c r="Y258">
        <f>HYPERLINK("https://klasma.github.io/Logging_0115/tillsynsmail/A 68107-2019 tillsynsbegäran mail.docx", "A 68107-2019")</f>
        <v/>
      </c>
    </row>
    <row r="259" ht="15" customHeight="1">
      <c r="A259" t="inlineStr">
        <is>
          <t>A 68231-2019</t>
        </is>
      </c>
      <c r="B259" s="1" t="n">
        <v>43817</v>
      </c>
      <c r="C259" s="1" t="n">
        <v>45224</v>
      </c>
      <c r="D259" t="inlineStr">
        <is>
          <t>STOCKHOLMS LÄN</t>
        </is>
      </c>
      <c r="E259" t="inlineStr">
        <is>
          <t>HANINGE</t>
        </is>
      </c>
      <c r="F259" t="inlineStr">
        <is>
          <t>Övriga statliga verk och myndigheter</t>
        </is>
      </c>
      <c r="G259" t="n">
        <v>80.5</v>
      </c>
      <c r="H259" t="n">
        <v>1</v>
      </c>
      <c r="I259" t="n">
        <v>0</v>
      </c>
      <c r="J259" t="n">
        <v>1</v>
      </c>
      <c r="K259" t="n">
        <v>0</v>
      </c>
      <c r="L259" t="n">
        <v>0</v>
      </c>
      <c r="M259" t="n">
        <v>0</v>
      </c>
      <c r="N259" t="n">
        <v>0</v>
      </c>
      <c r="O259" t="n">
        <v>1</v>
      </c>
      <c r="P259" t="n">
        <v>0</v>
      </c>
      <c r="Q259" t="n">
        <v>1</v>
      </c>
      <c r="R259" s="2" t="inlineStr">
        <is>
          <t>Havsörn</t>
        </is>
      </c>
      <c r="S259">
        <f>HYPERLINK("https://klasma.github.io/Logging_0136/artfynd/A 68231-2019 artfynd.xlsx", "A 68231-2019")</f>
        <v/>
      </c>
      <c r="T259">
        <f>HYPERLINK("https://klasma.github.io/Logging_0136/kartor/A 68231-2019 karta.png", "A 68231-2019")</f>
        <v/>
      </c>
      <c r="V259">
        <f>HYPERLINK("https://klasma.github.io/Logging_0136/klagomål/A 68231-2019 FSC-klagomål.docx", "A 68231-2019")</f>
        <v/>
      </c>
      <c r="W259">
        <f>HYPERLINK("https://klasma.github.io/Logging_0136/klagomålsmail/A 68231-2019 FSC-klagomål mail.docx", "A 68231-2019")</f>
        <v/>
      </c>
      <c r="X259">
        <f>HYPERLINK("https://klasma.github.io/Logging_0136/tillsyn/A 68231-2019 tillsynsbegäran.docx", "A 68231-2019")</f>
        <v/>
      </c>
      <c r="Y259">
        <f>HYPERLINK("https://klasma.github.io/Logging_0136/tillsynsmail/A 68231-2019 tillsynsbegäran mail.docx", "A 68231-2019")</f>
        <v/>
      </c>
    </row>
    <row r="260" ht="15" customHeight="1">
      <c r="A260" t="inlineStr">
        <is>
          <t>A 68108-2019</t>
        </is>
      </c>
      <c r="B260" s="1" t="n">
        <v>43817</v>
      </c>
      <c r="C260" s="1" t="n">
        <v>45224</v>
      </c>
      <c r="D260" t="inlineStr">
        <is>
          <t>STOCKHOLMS LÄN</t>
        </is>
      </c>
      <c r="E260" t="inlineStr">
        <is>
          <t>VALLENTUNA</t>
        </is>
      </c>
      <c r="G260" t="n">
        <v>3.2</v>
      </c>
      <c r="H260" t="n">
        <v>0</v>
      </c>
      <c r="I260" t="n">
        <v>1</v>
      </c>
      <c r="J260" t="n">
        <v>0</v>
      </c>
      <c r="K260" t="n">
        <v>0</v>
      </c>
      <c r="L260" t="n">
        <v>0</v>
      </c>
      <c r="M260" t="n">
        <v>0</v>
      </c>
      <c r="N260" t="n">
        <v>0</v>
      </c>
      <c r="O260" t="n">
        <v>0</v>
      </c>
      <c r="P260" t="n">
        <v>0</v>
      </c>
      <c r="Q260" t="n">
        <v>1</v>
      </c>
      <c r="R260" s="2" t="inlineStr">
        <is>
          <t>Skuggblåslav</t>
        </is>
      </c>
      <c r="S260">
        <f>HYPERLINK("https://klasma.github.io/Logging_0115/artfynd/A 68108-2019 artfynd.xlsx", "A 68108-2019")</f>
        <v/>
      </c>
      <c r="T260">
        <f>HYPERLINK("https://klasma.github.io/Logging_0115/kartor/A 68108-2019 karta.png", "A 68108-2019")</f>
        <v/>
      </c>
      <c r="V260">
        <f>HYPERLINK("https://klasma.github.io/Logging_0115/klagomål/A 68108-2019 FSC-klagomål.docx", "A 68108-2019")</f>
        <v/>
      </c>
      <c r="W260">
        <f>HYPERLINK("https://klasma.github.io/Logging_0115/klagomålsmail/A 68108-2019 FSC-klagomål mail.docx", "A 68108-2019")</f>
        <v/>
      </c>
      <c r="X260">
        <f>HYPERLINK("https://klasma.github.io/Logging_0115/tillsyn/A 68108-2019 tillsynsbegäran.docx", "A 68108-2019")</f>
        <v/>
      </c>
      <c r="Y260">
        <f>HYPERLINK("https://klasma.github.io/Logging_0115/tillsynsmail/A 68108-2019 tillsynsbegäran mail.docx", "A 68108-2019")</f>
        <v/>
      </c>
    </row>
    <row r="261" ht="15" customHeight="1">
      <c r="A261" t="inlineStr">
        <is>
          <t>A 2796-2020</t>
        </is>
      </c>
      <c r="B261" s="1" t="n">
        <v>43850</v>
      </c>
      <c r="C261" s="1" t="n">
        <v>45224</v>
      </c>
      <c r="D261" t="inlineStr">
        <is>
          <t>STOCKHOLMS LÄN</t>
        </is>
      </c>
      <c r="E261" t="inlineStr">
        <is>
          <t>NORRTÄLJE</t>
        </is>
      </c>
      <c r="G261" t="n">
        <v>5.6</v>
      </c>
      <c r="H261" t="n">
        <v>1</v>
      </c>
      <c r="I261" t="n">
        <v>1</v>
      </c>
      <c r="J261" t="n">
        <v>0</v>
      </c>
      <c r="K261" t="n">
        <v>0</v>
      </c>
      <c r="L261" t="n">
        <v>0</v>
      </c>
      <c r="M261" t="n">
        <v>0</v>
      </c>
      <c r="N261" t="n">
        <v>0</v>
      </c>
      <c r="O261" t="n">
        <v>0</v>
      </c>
      <c r="P261" t="n">
        <v>0</v>
      </c>
      <c r="Q261" t="n">
        <v>1</v>
      </c>
      <c r="R261" s="2" t="inlineStr">
        <is>
          <t>Spindelblomster</t>
        </is>
      </c>
      <c r="S261">
        <f>HYPERLINK("https://klasma.github.io/Logging_0188/artfynd/A 2796-2020 artfynd.xlsx", "A 2796-2020")</f>
        <v/>
      </c>
      <c r="T261">
        <f>HYPERLINK("https://klasma.github.io/Logging_0188/kartor/A 2796-2020 karta.png", "A 2796-2020")</f>
        <v/>
      </c>
      <c r="V261">
        <f>HYPERLINK("https://klasma.github.io/Logging_0188/klagomål/A 2796-2020 FSC-klagomål.docx", "A 2796-2020")</f>
        <v/>
      </c>
      <c r="W261">
        <f>HYPERLINK("https://klasma.github.io/Logging_0188/klagomålsmail/A 2796-2020 FSC-klagomål mail.docx", "A 2796-2020")</f>
        <v/>
      </c>
      <c r="X261">
        <f>HYPERLINK("https://klasma.github.io/Logging_0188/tillsyn/A 2796-2020 tillsynsbegäran.docx", "A 2796-2020")</f>
        <v/>
      </c>
      <c r="Y261">
        <f>HYPERLINK("https://klasma.github.io/Logging_0188/tillsynsmail/A 2796-2020 tillsynsbegäran mail.docx", "A 2796-2020")</f>
        <v/>
      </c>
    </row>
    <row r="262" ht="15" customHeight="1">
      <c r="A262" t="inlineStr">
        <is>
          <t>A 7032-2020</t>
        </is>
      </c>
      <c r="B262" s="1" t="n">
        <v>43868</v>
      </c>
      <c r="C262" s="1" t="n">
        <v>45224</v>
      </c>
      <c r="D262" t="inlineStr">
        <is>
          <t>STOCKHOLMS LÄN</t>
        </is>
      </c>
      <c r="E262" t="inlineStr">
        <is>
          <t>EKERÖ</t>
        </is>
      </c>
      <c r="G262" t="n">
        <v>3.1</v>
      </c>
      <c r="H262" t="n">
        <v>0</v>
      </c>
      <c r="I262" t="n">
        <v>0</v>
      </c>
      <c r="J262" t="n">
        <v>1</v>
      </c>
      <c r="K262" t="n">
        <v>0</v>
      </c>
      <c r="L262" t="n">
        <v>0</v>
      </c>
      <c r="M262" t="n">
        <v>0</v>
      </c>
      <c r="N262" t="n">
        <v>0</v>
      </c>
      <c r="O262" t="n">
        <v>1</v>
      </c>
      <c r="P262" t="n">
        <v>0</v>
      </c>
      <c r="Q262" t="n">
        <v>1</v>
      </c>
      <c r="R262" s="2" t="inlineStr">
        <is>
          <t>Mindre timmerman</t>
        </is>
      </c>
      <c r="S262">
        <f>HYPERLINK("https://klasma.github.io/Logging_0125/artfynd/A 7032-2020 artfynd.xlsx", "A 7032-2020")</f>
        <v/>
      </c>
      <c r="T262">
        <f>HYPERLINK("https://klasma.github.io/Logging_0125/kartor/A 7032-2020 karta.png", "A 7032-2020")</f>
        <v/>
      </c>
      <c r="V262">
        <f>HYPERLINK("https://klasma.github.io/Logging_0125/klagomål/A 7032-2020 FSC-klagomål.docx", "A 7032-2020")</f>
        <v/>
      </c>
      <c r="W262">
        <f>HYPERLINK("https://klasma.github.io/Logging_0125/klagomålsmail/A 7032-2020 FSC-klagomål mail.docx", "A 7032-2020")</f>
        <v/>
      </c>
      <c r="X262">
        <f>HYPERLINK("https://klasma.github.io/Logging_0125/tillsyn/A 7032-2020 tillsynsbegäran.docx", "A 7032-2020")</f>
        <v/>
      </c>
      <c r="Y262">
        <f>HYPERLINK("https://klasma.github.io/Logging_0125/tillsynsmail/A 7032-2020 tillsynsbegäran mail.docx", "A 7032-2020")</f>
        <v/>
      </c>
    </row>
    <row r="263" ht="15" customHeight="1">
      <c r="A263" t="inlineStr">
        <is>
          <t>A 7152-2020</t>
        </is>
      </c>
      <c r="B263" s="1" t="n">
        <v>43869</v>
      </c>
      <c r="C263" s="1" t="n">
        <v>45224</v>
      </c>
      <c r="D263" t="inlineStr">
        <is>
          <t>STOCKHOLMS LÄN</t>
        </is>
      </c>
      <c r="E263" t="inlineStr">
        <is>
          <t>NYNÄSHAMN</t>
        </is>
      </c>
      <c r="F263" t="inlineStr">
        <is>
          <t>Kommuner</t>
        </is>
      </c>
      <c r="G263" t="n">
        <v>5.8</v>
      </c>
      <c r="H263" t="n">
        <v>1</v>
      </c>
      <c r="I263" t="n">
        <v>1</v>
      </c>
      <c r="J263" t="n">
        <v>0</v>
      </c>
      <c r="K263" t="n">
        <v>0</v>
      </c>
      <c r="L263" t="n">
        <v>0</v>
      </c>
      <c r="M263" t="n">
        <v>0</v>
      </c>
      <c r="N263" t="n">
        <v>0</v>
      </c>
      <c r="O263" t="n">
        <v>0</v>
      </c>
      <c r="P263" t="n">
        <v>0</v>
      </c>
      <c r="Q263" t="n">
        <v>1</v>
      </c>
      <c r="R263" s="2" t="inlineStr">
        <is>
          <t>Grön sköldmossa</t>
        </is>
      </c>
      <c r="S263">
        <f>HYPERLINK("https://klasma.github.io/Logging_0192/artfynd/A 7152-2020 artfynd.xlsx", "A 7152-2020")</f>
        <v/>
      </c>
      <c r="T263">
        <f>HYPERLINK("https://klasma.github.io/Logging_0192/kartor/A 7152-2020 karta.png", "A 7152-2020")</f>
        <v/>
      </c>
      <c r="V263">
        <f>HYPERLINK("https://klasma.github.io/Logging_0192/klagomål/A 7152-2020 FSC-klagomål.docx", "A 7152-2020")</f>
        <v/>
      </c>
      <c r="W263">
        <f>HYPERLINK("https://klasma.github.io/Logging_0192/klagomålsmail/A 7152-2020 FSC-klagomål mail.docx", "A 7152-2020")</f>
        <v/>
      </c>
      <c r="X263">
        <f>HYPERLINK("https://klasma.github.io/Logging_0192/tillsyn/A 7152-2020 tillsynsbegäran.docx", "A 7152-2020")</f>
        <v/>
      </c>
      <c r="Y263">
        <f>HYPERLINK("https://klasma.github.io/Logging_0192/tillsynsmail/A 7152-2020 tillsynsbegäran mail.docx", "A 7152-2020")</f>
        <v/>
      </c>
    </row>
    <row r="264" ht="15" customHeight="1">
      <c r="A264" t="inlineStr">
        <is>
          <t>A 9051-2020</t>
        </is>
      </c>
      <c r="B264" s="1" t="n">
        <v>43879</v>
      </c>
      <c r="C264" s="1" t="n">
        <v>45224</v>
      </c>
      <c r="D264" t="inlineStr">
        <is>
          <t>STOCKHOLMS LÄN</t>
        </is>
      </c>
      <c r="E264" t="inlineStr">
        <is>
          <t>NORRTÄLJE</t>
        </is>
      </c>
      <c r="G264" t="n">
        <v>12.5</v>
      </c>
      <c r="H264" t="n">
        <v>1</v>
      </c>
      <c r="I264" t="n">
        <v>0</v>
      </c>
      <c r="J264" t="n">
        <v>0</v>
      </c>
      <c r="K264" t="n">
        <v>0</v>
      </c>
      <c r="L264" t="n">
        <v>1</v>
      </c>
      <c r="M264" t="n">
        <v>0</v>
      </c>
      <c r="N264" t="n">
        <v>0</v>
      </c>
      <c r="O264" t="n">
        <v>1</v>
      </c>
      <c r="P264" t="n">
        <v>1</v>
      </c>
      <c r="Q264" t="n">
        <v>1</v>
      </c>
      <c r="R264" s="2" t="inlineStr">
        <is>
          <t>Asknätfjäril</t>
        </is>
      </c>
      <c r="S264">
        <f>HYPERLINK("https://klasma.github.io/Logging_0188/artfynd/A 9051-2020 artfynd.xlsx", "A 9051-2020")</f>
        <v/>
      </c>
      <c r="T264">
        <f>HYPERLINK("https://klasma.github.io/Logging_0188/kartor/A 9051-2020 karta.png", "A 9051-2020")</f>
        <v/>
      </c>
      <c r="V264">
        <f>HYPERLINK("https://klasma.github.io/Logging_0188/klagomål/A 9051-2020 FSC-klagomål.docx", "A 9051-2020")</f>
        <v/>
      </c>
      <c r="W264">
        <f>HYPERLINK("https://klasma.github.io/Logging_0188/klagomålsmail/A 9051-2020 FSC-klagomål mail.docx", "A 9051-2020")</f>
        <v/>
      </c>
      <c r="X264">
        <f>HYPERLINK("https://klasma.github.io/Logging_0188/tillsyn/A 9051-2020 tillsynsbegäran.docx", "A 9051-2020")</f>
        <v/>
      </c>
      <c r="Y264">
        <f>HYPERLINK("https://klasma.github.io/Logging_0188/tillsynsmail/A 9051-2020 tillsynsbegäran mail.docx", "A 9051-2020")</f>
        <v/>
      </c>
    </row>
    <row r="265" ht="15" customHeight="1">
      <c r="A265" t="inlineStr">
        <is>
          <t>A 13326-2020</t>
        </is>
      </c>
      <c r="B265" s="1" t="n">
        <v>43894</v>
      </c>
      <c r="C265" s="1" t="n">
        <v>45224</v>
      </c>
      <c r="D265" t="inlineStr">
        <is>
          <t>STOCKHOLMS LÄN</t>
        </is>
      </c>
      <c r="E265" t="inlineStr">
        <is>
          <t>HUDDINGE</t>
        </is>
      </c>
      <c r="F265" t="inlineStr">
        <is>
          <t>Kommuner</t>
        </is>
      </c>
      <c r="G265" t="n">
        <v>2</v>
      </c>
      <c r="H265" t="n">
        <v>0</v>
      </c>
      <c r="I265" t="n">
        <v>0</v>
      </c>
      <c r="J265" t="n">
        <v>1</v>
      </c>
      <c r="K265" t="n">
        <v>0</v>
      </c>
      <c r="L265" t="n">
        <v>0</v>
      </c>
      <c r="M265" t="n">
        <v>0</v>
      </c>
      <c r="N265" t="n">
        <v>0</v>
      </c>
      <c r="O265" t="n">
        <v>1</v>
      </c>
      <c r="P265" t="n">
        <v>0</v>
      </c>
      <c r="Q265" t="n">
        <v>1</v>
      </c>
      <c r="R265" s="2" t="inlineStr">
        <is>
          <t>Tallticka</t>
        </is>
      </c>
      <c r="S265">
        <f>HYPERLINK("https://klasma.github.io/Logging_0126/artfynd/A 13326-2020 artfynd.xlsx", "A 13326-2020")</f>
        <v/>
      </c>
      <c r="T265">
        <f>HYPERLINK("https://klasma.github.io/Logging_0126/kartor/A 13326-2020 karta.png", "A 13326-2020")</f>
        <v/>
      </c>
      <c r="V265">
        <f>HYPERLINK("https://klasma.github.io/Logging_0126/klagomål/A 13326-2020 FSC-klagomål.docx", "A 13326-2020")</f>
        <v/>
      </c>
      <c r="W265">
        <f>HYPERLINK("https://klasma.github.io/Logging_0126/klagomålsmail/A 13326-2020 FSC-klagomål mail.docx", "A 13326-2020")</f>
        <v/>
      </c>
      <c r="X265">
        <f>HYPERLINK("https://klasma.github.io/Logging_0126/tillsyn/A 13326-2020 tillsynsbegäran.docx", "A 13326-2020")</f>
        <v/>
      </c>
      <c r="Y265">
        <f>HYPERLINK("https://klasma.github.io/Logging_0126/tillsynsmail/A 13326-2020 tillsynsbegäran mail.docx", "A 13326-2020")</f>
        <v/>
      </c>
    </row>
    <row r="266" ht="15" customHeight="1">
      <c r="A266" t="inlineStr">
        <is>
          <t>A 12832-2020</t>
        </is>
      </c>
      <c r="B266" s="1" t="n">
        <v>43899</v>
      </c>
      <c r="C266" s="1" t="n">
        <v>45224</v>
      </c>
      <c r="D266" t="inlineStr">
        <is>
          <t>STOCKHOLMS LÄN</t>
        </is>
      </c>
      <c r="E266" t="inlineStr">
        <is>
          <t>SÖDERTÄLJE</t>
        </is>
      </c>
      <c r="G266" t="n">
        <v>3.8</v>
      </c>
      <c r="H266" t="n">
        <v>0</v>
      </c>
      <c r="I266" t="n">
        <v>0</v>
      </c>
      <c r="J266" t="n">
        <v>1</v>
      </c>
      <c r="K266" t="n">
        <v>0</v>
      </c>
      <c r="L266" t="n">
        <v>0</v>
      </c>
      <c r="M266" t="n">
        <v>0</v>
      </c>
      <c r="N266" t="n">
        <v>0</v>
      </c>
      <c r="O266" t="n">
        <v>1</v>
      </c>
      <c r="P266" t="n">
        <v>0</v>
      </c>
      <c r="Q266" t="n">
        <v>1</v>
      </c>
      <c r="R266" s="2" t="inlineStr">
        <is>
          <t>Ängsskära</t>
        </is>
      </c>
      <c r="S266">
        <f>HYPERLINK("https://klasma.github.io/Logging_0181/artfynd/A 12832-2020 artfynd.xlsx", "A 12832-2020")</f>
        <v/>
      </c>
      <c r="T266">
        <f>HYPERLINK("https://klasma.github.io/Logging_0181/kartor/A 12832-2020 karta.png", "A 12832-2020")</f>
        <v/>
      </c>
      <c r="V266">
        <f>HYPERLINK("https://klasma.github.io/Logging_0181/klagomål/A 12832-2020 FSC-klagomål.docx", "A 12832-2020")</f>
        <v/>
      </c>
      <c r="W266">
        <f>HYPERLINK("https://klasma.github.io/Logging_0181/klagomålsmail/A 12832-2020 FSC-klagomål mail.docx", "A 12832-2020")</f>
        <v/>
      </c>
      <c r="X266">
        <f>HYPERLINK("https://klasma.github.io/Logging_0181/tillsyn/A 12832-2020 tillsynsbegäran.docx", "A 12832-2020")</f>
        <v/>
      </c>
      <c r="Y266">
        <f>HYPERLINK("https://klasma.github.io/Logging_0181/tillsynsmail/A 12832-2020 tillsynsbegäran mail.docx", "A 12832-2020")</f>
        <v/>
      </c>
    </row>
    <row r="267" ht="15" customHeight="1">
      <c r="A267" t="inlineStr">
        <is>
          <t>A 13922-2020</t>
        </is>
      </c>
      <c r="B267" s="1" t="n">
        <v>43906</v>
      </c>
      <c r="C267" s="1" t="n">
        <v>45224</v>
      </c>
      <c r="D267" t="inlineStr">
        <is>
          <t>STOCKHOLMS LÄN</t>
        </is>
      </c>
      <c r="E267" t="inlineStr">
        <is>
          <t>NYKVARN</t>
        </is>
      </c>
      <c r="G267" t="n">
        <v>19.8</v>
      </c>
      <c r="H267" t="n">
        <v>0</v>
      </c>
      <c r="I267" t="n">
        <v>0</v>
      </c>
      <c r="J267" t="n">
        <v>1</v>
      </c>
      <c r="K267" t="n">
        <v>0</v>
      </c>
      <c r="L267" t="n">
        <v>0</v>
      </c>
      <c r="M267" t="n">
        <v>0</v>
      </c>
      <c r="N267" t="n">
        <v>0</v>
      </c>
      <c r="O267" t="n">
        <v>1</v>
      </c>
      <c r="P267" t="n">
        <v>0</v>
      </c>
      <c r="Q267" t="n">
        <v>1</v>
      </c>
      <c r="R267" s="2" t="inlineStr">
        <is>
          <t>Svedjenäva</t>
        </is>
      </c>
      <c r="S267">
        <f>HYPERLINK("https://klasma.github.io/Logging_0140/artfynd/A 13922-2020 artfynd.xlsx", "A 13922-2020")</f>
        <v/>
      </c>
      <c r="T267">
        <f>HYPERLINK("https://klasma.github.io/Logging_0140/kartor/A 13922-2020 karta.png", "A 13922-2020")</f>
        <v/>
      </c>
      <c r="V267">
        <f>HYPERLINK("https://klasma.github.io/Logging_0140/klagomål/A 13922-2020 FSC-klagomål.docx", "A 13922-2020")</f>
        <v/>
      </c>
      <c r="W267">
        <f>HYPERLINK("https://klasma.github.io/Logging_0140/klagomålsmail/A 13922-2020 FSC-klagomål mail.docx", "A 13922-2020")</f>
        <v/>
      </c>
      <c r="X267">
        <f>HYPERLINK("https://klasma.github.io/Logging_0140/tillsyn/A 13922-2020 tillsynsbegäran.docx", "A 13922-2020")</f>
        <v/>
      </c>
      <c r="Y267">
        <f>HYPERLINK("https://klasma.github.io/Logging_0140/tillsynsmail/A 13922-2020 tillsynsbegäran mail.docx", "A 13922-2020")</f>
        <v/>
      </c>
    </row>
    <row r="268" ht="15" customHeight="1">
      <c r="A268" t="inlineStr">
        <is>
          <t>A 15312-2020</t>
        </is>
      </c>
      <c r="B268" s="1" t="n">
        <v>43913</v>
      </c>
      <c r="C268" s="1" t="n">
        <v>45224</v>
      </c>
      <c r="D268" t="inlineStr">
        <is>
          <t>STOCKHOLMS LÄN</t>
        </is>
      </c>
      <c r="E268" t="inlineStr">
        <is>
          <t>HANINGE</t>
        </is>
      </c>
      <c r="F268" t="inlineStr">
        <is>
          <t>Övriga statliga verk och myndigheter</t>
        </is>
      </c>
      <c r="G268" t="n">
        <v>2.4</v>
      </c>
      <c r="H268" t="n">
        <v>0</v>
      </c>
      <c r="I268" t="n">
        <v>0</v>
      </c>
      <c r="J268" t="n">
        <v>1</v>
      </c>
      <c r="K268" t="n">
        <v>0</v>
      </c>
      <c r="L268" t="n">
        <v>0</v>
      </c>
      <c r="M268" t="n">
        <v>0</v>
      </c>
      <c r="N268" t="n">
        <v>0</v>
      </c>
      <c r="O268" t="n">
        <v>1</v>
      </c>
      <c r="P268" t="n">
        <v>0</v>
      </c>
      <c r="Q268" t="n">
        <v>1</v>
      </c>
      <c r="R268" s="2" t="inlineStr">
        <is>
          <t>Tallticka</t>
        </is>
      </c>
      <c r="S268">
        <f>HYPERLINK("https://klasma.github.io/Logging_0136/artfynd/A 15312-2020 artfynd.xlsx", "A 15312-2020")</f>
        <v/>
      </c>
      <c r="T268">
        <f>HYPERLINK("https://klasma.github.io/Logging_0136/kartor/A 15312-2020 karta.png", "A 15312-2020")</f>
        <v/>
      </c>
      <c r="V268">
        <f>HYPERLINK("https://klasma.github.io/Logging_0136/klagomål/A 15312-2020 FSC-klagomål.docx", "A 15312-2020")</f>
        <v/>
      </c>
      <c r="W268">
        <f>HYPERLINK("https://klasma.github.io/Logging_0136/klagomålsmail/A 15312-2020 FSC-klagomål mail.docx", "A 15312-2020")</f>
        <v/>
      </c>
      <c r="X268">
        <f>HYPERLINK("https://klasma.github.io/Logging_0136/tillsyn/A 15312-2020 tillsynsbegäran.docx", "A 15312-2020")</f>
        <v/>
      </c>
      <c r="Y268">
        <f>HYPERLINK("https://klasma.github.io/Logging_0136/tillsynsmail/A 15312-2020 tillsynsbegäran mail.docx", "A 15312-2020")</f>
        <v/>
      </c>
    </row>
    <row r="269" ht="15" customHeight="1">
      <c r="A269" t="inlineStr">
        <is>
          <t>A 16236-2020</t>
        </is>
      </c>
      <c r="B269" s="1" t="n">
        <v>43917</v>
      </c>
      <c r="C269" s="1" t="n">
        <v>45224</v>
      </c>
      <c r="D269" t="inlineStr">
        <is>
          <t>STOCKHOLMS LÄN</t>
        </is>
      </c>
      <c r="E269" t="inlineStr">
        <is>
          <t>BOTKYRKA</t>
        </is>
      </c>
      <c r="G269" t="n">
        <v>2.5</v>
      </c>
      <c r="H269" t="n">
        <v>0</v>
      </c>
      <c r="I269" t="n">
        <v>1</v>
      </c>
      <c r="J269" t="n">
        <v>0</v>
      </c>
      <c r="K269" t="n">
        <v>0</v>
      </c>
      <c r="L269" t="n">
        <v>0</v>
      </c>
      <c r="M269" t="n">
        <v>0</v>
      </c>
      <c r="N269" t="n">
        <v>0</v>
      </c>
      <c r="O269" t="n">
        <v>0</v>
      </c>
      <c r="P269" t="n">
        <v>0</v>
      </c>
      <c r="Q269" t="n">
        <v>1</v>
      </c>
      <c r="R269" s="2" t="inlineStr">
        <is>
          <t>Granbarkgnagare</t>
        </is>
      </c>
      <c r="S269">
        <f>HYPERLINK("https://klasma.github.io/Logging_0127/artfynd/A 16236-2020 artfynd.xlsx", "A 16236-2020")</f>
        <v/>
      </c>
      <c r="T269">
        <f>HYPERLINK("https://klasma.github.io/Logging_0127/kartor/A 16236-2020 karta.png", "A 16236-2020")</f>
        <v/>
      </c>
      <c r="V269">
        <f>HYPERLINK("https://klasma.github.io/Logging_0127/klagomål/A 16236-2020 FSC-klagomål.docx", "A 16236-2020")</f>
        <v/>
      </c>
      <c r="W269">
        <f>HYPERLINK("https://klasma.github.io/Logging_0127/klagomålsmail/A 16236-2020 FSC-klagomål mail.docx", "A 16236-2020")</f>
        <v/>
      </c>
      <c r="X269">
        <f>HYPERLINK("https://klasma.github.io/Logging_0127/tillsyn/A 16236-2020 tillsynsbegäran.docx", "A 16236-2020")</f>
        <v/>
      </c>
      <c r="Y269">
        <f>HYPERLINK("https://klasma.github.io/Logging_0127/tillsynsmail/A 16236-2020 tillsynsbegäran mail.docx", "A 16236-2020")</f>
        <v/>
      </c>
    </row>
    <row r="270" ht="15" customHeight="1">
      <c r="A270" t="inlineStr">
        <is>
          <t>A 16917-2020</t>
        </is>
      </c>
      <c r="B270" s="1" t="n">
        <v>43921</v>
      </c>
      <c r="C270" s="1" t="n">
        <v>45224</v>
      </c>
      <c r="D270" t="inlineStr">
        <is>
          <t>STOCKHOLMS LÄN</t>
        </is>
      </c>
      <c r="E270" t="inlineStr">
        <is>
          <t>SALEM</t>
        </is>
      </c>
      <c r="G270" t="n">
        <v>23.8</v>
      </c>
      <c r="H270" t="n">
        <v>1</v>
      </c>
      <c r="I270" t="n">
        <v>0</v>
      </c>
      <c r="J270" t="n">
        <v>1</v>
      </c>
      <c r="K270" t="n">
        <v>0</v>
      </c>
      <c r="L270" t="n">
        <v>0</v>
      </c>
      <c r="M270" t="n">
        <v>0</v>
      </c>
      <c r="N270" t="n">
        <v>0</v>
      </c>
      <c r="O270" t="n">
        <v>1</v>
      </c>
      <c r="P270" t="n">
        <v>0</v>
      </c>
      <c r="Q270" t="n">
        <v>1</v>
      </c>
      <c r="R270" s="2" t="inlineStr">
        <is>
          <t>Talltita</t>
        </is>
      </c>
      <c r="S270">
        <f>HYPERLINK("https://klasma.github.io/Logging_0128/artfynd/A 16917-2020 artfynd.xlsx", "A 16917-2020")</f>
        <v/>
      </c>
      <c r="T270">
        <f>HYPERLINK("https://klasma.github.io/Logging_0128/kartor/A 16917-2020 karta.png", "A 16917-2020")</f>
        <v/>
      </c>
      <c r="V270">
        <f>HYPERLINK("https://klasma.github.io/Logging_0128/klagomål/A 16917-2020 FSC-klagomål.docx", "A 16917-2020")</f>
        <v/>
      </c>
      <c r="W270">
        <f>HYPERLINK("https://klasma.github.io/Logging_0128/klagomålsmail/A 16917-2020 FSC-klagomål mail.docx", "A 16917-2020")</f>
        <v/>
      </c>
      <c r="X270">
        <f>HYPERLINK("https://klasma.github.io/Logging_0128/tillsyn/A 16917-2020 tillsynsbegäran.docx", "A 16917-2020")</f>
        <v/>
      </c>
      <c r="Y270">
        <f>HYPERLINK("https://klasma.github.io/Logging_0128/tillsynsmail/A 16917-2020 tillsynsbegäran mail.docx", "A 16917-2020")</f>
        <v/>
      </c>
    </row>
    <row r="271" ht="15" customHeight="1">
      <c r="A271" t="inlineStr">
        <is>
          <t>A 18965-2020</t>
        </is>
      </c>
      <c r="B271" s="1" t="n">
        <v>43935</v>
      </c>
      <c r="C271" s="1" t="n">
        <v>45224</v>
      </c>
      <c r="D271" t="inlineStr">
        <is>
          <t>STOCKHOLMS LÄN</t>
        </is>
      </c>
      <c r="E271" t="inlineStr">
        <is>
          <t>NYNÄSHAMN</t>
        </is>
      </c>
      <c r="F271" t="inlineStr">
        <is>
          <t>Kommuner</t>
        </is>
      </c>
      <c r="G271" t="n">
        <v>14.3</v>
      </c>
      <c r="H271" t="n">
        <v>1</v>
      </c>
      <c r="I271" t="n">
        <v>0</v>
      </c>
      <c r="J271" t="n">
        <v>0</v>
      </c>
      <c r="K271" t="n">
        <v>1</v>
      </c>
      <c r="L271" t="n">
        <v>0</v>
      </c>
      <c r="M271" t="n">
        <v>0</v>
      </c>
      <c r="N271" t="n">
        <v>0</v>
      </c>
      <c r="O271" t="n">
        <v>1</v>
      </c>
      <c r="P271" t="n">
        <v>1</v>
      </c>
      <c r="Q271" t="n">
        <v>1</v>
      </c>
      <c r="R271" s="2" t="inlineStr">
        <is>
          <t>Hasselsnok</t>
        </is>
      </c>
      <c r="S271">
        <f>HYPERLINK("https://klasma.github.io/Logging_0192/artfynd/A 18965-2020 artfynd.xlsx", "A 18965-2020")</f>
        <v/>
      </c>
      <c r="T271">
        <f>HYPERLINK("https://klasma.github.io/Logging_0192/kartor/A 18965-2020 karta.png", "A 18965-2020")</f>
        <v/>
      </c>
      <c r="V271">
        <f>HYPERLINK("https://klasma.github.io/Logging_0192/klagomål/A 18965-2020 FSC-klagomål.docx", "A 18965-2020")</f>
        <v/>
      </c>
      <c r="W271">
        <f>HYPERLINK("https://klasma.github.io/Logging_0192/klagomålsmail/A 18965-2020 FSC-klagomål mail.docx", "A 18965-2020")</f>
        <v/>
      </c>
      <c r="X271">
        <f>HYPERLINK("https://klasma.github.io/Logging_0192/tillsyn/A 18965-2020 tillsynsbegäran.docx", "A 18965-2020")</f>
        <v/>
      </c>
      <c r="Y271">
        <f>HYPERLINK("https://klasma.github.io/Logging_0192/tillsynsmail/A 18965-2020 tillsynsbegäran mail.docx", "A 18965-2020")</f>
        <v/>
      </c>
    </row>
    <row r="272" ht="15" customHeight="1">
      <c r="A272" t="inlineStr">
        <is>
          <t>A 21187-2020</t>
        </is>
      </c>
      <c r="B272" s="1" t="n">
        <v>43951</v>
      </c>
      <c r="C272" s="1" t="n">
        <v>45224</v>
      </c>
      <c r="D272" t="inlineStr">
        <is>
          <t>STOCKHOLMS LÄN</t>
        </is>
      </c>
      <c r="E272" t="inlineStr">
        <is>
          <t>HANINGE</t>
        </is>
      </c>
      <c r="G272" t="n">
        <v>1.2</v>
      </c>
      <c r="H272" t="n">
        <v>0</v>
      </c>
      <c r="I272" t="n">
        <v>0</v>
      </c>
      <c r="J272" t="n">
        <v>0</v>
      </c>
      <c r="K272" t="n">
        <v>1</v>
      </c>
      <c r="L272" t="n">
        <v>0</v>
      </c>
      <c r="M272" t="n">
        <v>0</v>
      </c>
      <c r="N272" t="n">
        <v>0</v>
      </c>
      <c r="O272" t="n">
        <v>1</v>
      </c>
      <c r="P272" t="n">
        <v>1</v>
      </c>
      <c r="Q272" t="n">
        <v>1</v>
      </c>
      <c r="R272" s="2" t="inlineStr">
        <is>
          <t>Fläckfingersvamp</t>
        </is>
      </c>
      <c r="S272">
        <f>HYPERLINK("https://klasma.github.io/Logging_0136/artfynd/A 21187-2020 artfynd.xlsx", "A 21187-2020")</f>
        <v/>
      </c>
      <c r="T272">
        <f>HYPERLINK("https://klasma.github.io/Logging_0136/kartor/A 21187-2020 karta.png", "A 21187-2020")</f>
        <v/>
      </c>
      <c r="V272">
        <f>HYPERLINK("https://klasma.github.io/Logging_0136/klagomål/A 21187-2020 FSC-klagomål.docx", "A 21187-2020")</f>
        <v/>
      </c>
      <c r="W272">
        <f>HYPERLINK("https://klasma.github.io/Logging_0136/klagomålsmail/A 21187-2020 FSC-klagomål mail.docx", "A 21187-2020")</f>
        <v/>
      </c>
      <c r="X272">
        <f>HYPERLINK("https://klasma.github.io/Logging_0136/tillsyn/A 21187-2020 tillsynsbegäran.docx", "A 21187-2020")</f>
        <v/>
      </c>
      <c r="Y272">
        <f>HYPERLINK("https://klasma.github.io/Logging_0136/tillsynsmail/A 21187-2020 tillsynsbegäran mail.docx", "A 21187-2020")</f>
        <v/>
      </c>
    </row>
    <row r="273" ht="15" customHeight="1">
      <c r="A273" t="inlineStr">
        <is>
          <t>A 28380-2020</t>
        </is>
      </c>
      <c r="B273" s="1" t="n">
        <v>43998</v>
      </c>
      <c r="C273" s="1" t="n">
        <v>45224</v>
      </c>
      <c r="D273" t="inlineStr">
        <is>
          <t>STOCKHOLMS LÄN</t>
        </is>
      </c>
      <c r="E273" t="inlineStr">
        <is>
          <t>NORRTÄLJE</t>
        </is>
      </c>
      <c r="G273" t="n">
        <v>43</v>
      </c>
      <c r="H273" t="n">
        <v>1</v>
      </c>
      <c r="I273" t="n">
        <v>0</v>
      </c>
      <c r="J273" t="n">
        <v>0</v>
      </c>
      <c r="K273" t="n">
        <v>0</v>
      </c>
      <c r="L273" t="n">
        <v>1</v>
      </c>
      <c r="M273" t="n">
        <v>0</v>
      </c>
      <c r="N273" t="n">
        <v>0</v>
      </c>
      <c r="O273" t="n">
        <v>1</v>
      </c>
      <c r="P273" t="n">
        <v>1</v>
      </c>
      <c r="Q273" t="n">
        <v>1</v>
      </c>
      <c r="R273" s="2" t="inlineStr">
        <is>
          <t>Asknätfjäril</t>
        </is>
      </c>
      <c r="S273">
        <f>HYPERLINK("https://klasma.github.io/Logging_0188/artfynd/A 28380-2020 artfynd.xlsx", "A 28380-2020")</f>
        <v/>
      </c>
      <c r="T273">
        <f>HYPERLINK("https://klasma.github.io/Logging_0188/kartor/A 28380-2020 karta.png", "A 28380-2020")</f>
        <v/>
      </c>
      <c r="V273">
        <f>HYPERLINK("https://klasma.github.io/Logging_0188/klagomål/A 28380-2020 FSC-klagomål.docx", "A 28380-2020")</f>
        <v/>
      </c>
      <c r="W273">
        <f>HYPERLINK("https://klasma.github.io/Logging_0188/klagomålsmail/A 28380-2020 FSC-klagomål mail.docx", "A 28380-2020")</f>
        <v/>
      </c>
      <c r="X273">
        <f>HYPERLINK("https://klasma.github.io/Logging_0188/tillsyn/A 28380-2020 tillsynsbegäran.docx", "A 28380-2020")</f>
        <v/>
      </c>
      <c r="Y273">
        <f>HYPERLINK("https://klasma.github.io/Logging_0188/tillsynsmail/A 28380-2020 tillsynsbegäran mail.docx", "A 28380-2020")</f>
        <v/>
      </c>
    </row>
    <row r="274" ht="15" customHeight="1">
      <c r="A274" t="inlineStr">
        <is>
          <t>A 32525-2020</t>
        </is>
      </c>
      <c r="B274" s="1" t="n">
        <v>44018</v>
      </c>
      <c r="C274" s="1" t="n">
        <v>45224</v>
      </c>
      <c r="D274" t="inlineStr">
        <is>
          <t>STOCKHOLMS LÄN</t>
        </is>
      </c>
      <c r="E274" t="inlineStr">
        <is>
          <t>HANINGE</t>
        </is>
      </c>
      <c r="F274" t="inlineStr">
        <is>
          <t>Kommuner</t>
        </is>
      </c>
      <c r="G274" t="n">
        <v>2.3</v>
      </c>
      <c r="H274" t="n">
        <v>0</v>
      </c>
      <c r="I274" t="n">
        <v>1</v>
      </c>
      <c r="J274" t="n">
        <v>0</v>
      </c>
      <c r="K274" t="n">
        <v>0</v>
      </c>
      <c r="L274" t="n">
        <v>0</v>
      </c>
      <c r="M274" t="n">
        <v>0</v>
      </c>
      <c r="N274" t="n">
        <v>0</v>
      </c>
      <c r="O274" t="n">
        <v>0</v>
      </c>
      <c r="P274" t="n">
        <v>0</v>
      </c>
      <c r="Q274" t="n">
        <v>1</v>
      </c>
      <c r="R274" s="2" t="inlineStr">
        <is>
          <t>Vedticka</t>
        </is>
      </c>
      <c r="S274">
        <f>HYPERLINK("https://klasma.github.io/Logging_0136/artfynd/A 32525-2020 artfynd.xlsx", "A 32525-2020")</f>
        <v/>
      </c>
      <c r="T274">
        <f>HYPERLINK("https://klasma.github.io/Logging_0136/kartor/A 32525-2020 karta.png", "A 32525-2020")</f>
        <v/>
      </c>
      <c r="V274">
        <f>HYPERLINK("https://klasma.github.io/Logging_0136/klagomål/A 32525-2020 FSC-klagomål.docx", "A 32525-2020")</f>
        <v/>
      </c>
      <c r="W274">
        <f>HYPERLINK("https://klasma.github.io/Logging_0136/klagomålsmail/A 32525-2020 FSC-klagomål mail.docx", "A 32525-2020")</f>
        <v/>
      </c>
      <c r="X274">
        <f>HYPERLINK("https://klasma.github.io/Logging_0136/tillsyn/A 32525-2020 tillsynsbegäran.docx", "A 32525-2020")</f>
        <v/>
      </c>
      <c r="Y274">
        <f>HYPERLINK("https://klasma.github.io/Logging_0136/tillsynsmail/A 32525-2020 tillsynsbegäran mail.docx", "A 32525-2020")</f>
        <v/>
      </c>
    </row>
    <row r="275" ht="15" customHeight="1">
      <c r="A275" t="inlineStr">
        <is>
          <t>A 34971-2020</t>
        </is>
      </c>
      <c r="B275" s="1" t="n">
        <v>44039</v>
      </c>
      <c r="C275" s="1" t="n">
        <v>45224</v>
      </c>
      <c r="D275" t="inlineStr">
        <is>
          <t>STOCKHOLMS LÄN</t>
        </is>
      </c>
      <c r="E275" t="inlineStr">
        <is>
          <t>BOTKYRKA</t>
        </is>
      </c>
      <c r="G275" t="n">
        <v>4.2</v>
      </c>
      <c r="H275" t="n">
        <v>0</v>
      </c>
      <c r="I275" t="n">
        <v>1</v>
      </c>
      <c r="J275" t="n">
        <v>0</v>
      </c>
      <c r="K275" t="n">
        <v>0</v>
      </c>
      <c r="L275" t="n">
        <v>0</v>
      </c>
      <c r="M275" t="n">
        <v>0</v>
      </c>
      <c r="N275" t="n">
        <v>0</v>
      </c>
      <c r="O275" t="n">
        <v>0</v>
      </c>
      <c r="P275" t="n">
        <v>0</v>
      </c>
      <c r="Q275" t="n">
        <v>1</v>
      </c>
      <c r="R275" s="2" t="inlineStr">
        <is>
          <t>Tibast</t>
        </is>
      </c>
      <c r="S275">
        <f>HYPERLINK("https://klasma.github.io/Logging_0127/artfynd/A 34971-2020 artfynd.xlsx", "A 34971-2020")</f>
        <v/>
      </c>
      <c r="T275">
        <f>HYPERLINK("https://klasma.github.io/Logging_0127/kartor/A 34971-2020 karta.png", "A 34971-2020")</f>
        <v/>
      </c>
      <c r="V275">
        <f>HYPERLINK("https://klasma.github.io/Logging_0127/klagomål/A 34971-2020 FSC-klagomål.docx", "A 34971-2020")</f>
        <v/>
      </c>
      <c r="W275">
        <f>HYPERLINK("https://klasma.github.io/Logging_0127/klagomålsmail/A 34971-2020 FSC-klagomål mail.docx", "A 34971-2020")</f>
        <v/>
      </c>
      <c r="X275">
        <f>HYPERLINK("https://klasma.github.io/Logging_0127/tillsyn/A 34971-2020 tillsynsbegäran.docx", "A 34971-2020")</f>
        <v/>
      </c>
      <c r="Y275">
        <f>HYPERLINK("https://klasma.github.io/Logging_0127/tillsynsmail/A 34971-2020 tillsynsbegäran mail.docx", "A 34971-2020")</f>
        <v/>
      </c>
    </row>
    <row r="276" ht="15" customHeight="1">
      <c r="A276" t="inlineStr">
        <is>
          <t>A 41774-2020</t>
        </is>
      </c>
      <c r="B276" s="1" t="n">
        <v>44074</v>
      </c>
      <c r="C276" s="1" t="n">
        <v>45224</v>
      </c>
      <c r="D276" t="inlineStr">
        <is>
          <t>STOCKHOLMS LÄN</t>
        </is>
      </c>
      <c r="E276" t="inlineStr">
        <is>
          <t>SALEM</t>
        </is>
      </c>
      <c r="F276" t="inlineStr">
        <is>
          <t>Kommuner</t>
        </is>
      </c>
      <c r="G276" t="n">
        <v>3.1</v>
      </c>
      <c r="H276" t="n">
        <v>0</v>
      </c>
      <c r="I276" t="n">
        <v>0</v>
      </c>
      <c r="J276" t="n">
        <v>1</v>
      </c>
      <c r="K276" t="n">
        <v>0</v>
      </c>
      <c r="L276" t="n">
        <v>0</v>
      </c>
      <c r="M276" t="n">
        <v>0</v>
      </c>
      <c r="N276" t="n">
        <v>0</v>
      </c>
      <c r="O276" t="n">
        <v>1</v>
      </c>
      <c r="P276" t="n">
        <v>0</v>
      </c>
      <c r="Q276" t="n">
        <v>1</v>
      </c>
      <c r="R276" s="2" t="inlineStr">
        <is>
          <t>Tallticka</t>
        </is>
      </c>
      <c r="S276">
        <f>HYPERLINK("https://klasma.github.io/Logging_0128/artfynd/A 41774-2020 artfynd.xlsx", "A 41774-2020")</f>
        <v/>
      </c>
      <c r="T276">
        <f>HYPERLINK("https://klasma.github.io/Logging_0128/kartor/A 41774-2020 karta.png", "A 41774-2020")</f>
        <v/>
      </c>
      <c r="V276">
        <f>HYPERLINK("https://klasma.github.io/Logging_0128/klagomål/A 41774-2020 FSC-klagomål.docx", "A 41774-2020")</f>
        <v/>
      </c>
      <c r="W276">
        <f>HYPERLINK("https://klasma.github.io/Logging_0128/klagomålsmail/A 41774-2020 FSC-klagomål mail.docx", "A 41774-2020")</f>
        <v/>
      </c>
      <c r="X276">
        <f>HYPERLINK("https://klasma.github.io/Logging_0128/tillsyn/A 41774-2020 tillsynsbegäran.docx", "A 41774-2020")</f>
        <v/>
      </c>
      <c r="Y276">
        <f>HYPERLINK("https://klasma.github.io/Logging_0128/tillsynsmail/A 41774-2020 tillsynsbegäran mail.docx", "A 41774-2020")</f>
        <v/>
      </c>
    </row>
    <row r="277" ht="15" customHeight="1">
      <c r="A277" t="inlineStr">
        <is>
          <t>A 47329-2020</t>
        </is>
      </c>
      <c r="B277" s="1" t="n">
        <v>44097</v>
      </c>
      <c r="C277" s="1" t="n">
        <v>45224</v>
      </c>
      <c r="D277" t="inlineStr">
        <is>
          <t>STOCKHOLMS LÄN</t>
        </is>
      </c>
      <c r="E277" t="inlineStr">
        <is>
          <t>UPPLANDS-BRO</t>
        </is>
      </c>
      <c r="G277" t="n">
        <v>1.6</v>
      </c>
      <c r="H277" t="n">
        <v>1</v>
      </c>
      <c r="I277" t="n">
        <v>0</v>
      </c>
      <c r="J277" t="n">
        <v>0</v>
      </c>
      <c r="K277" t="n">
        <v>1</v>
      </c>
      <c r="L277" t="n">
        <v>0</v>
      </c>
      <c r="M277" t="n">
        <v>0</v>
      </c>
      <c r="N277" t="n">
        <v>0</v>
      </c>
      <c r="O277" t="n">
        <v>1</v>
      </c>
      <c r="P277" t="n">
        <v>1</v>
      </c>
      <c r="Q277" t="n">
        <v>1</v>
      </c>
      <c r="R277" s="2" t="inlineStr">
        <is>
          <t>Bombmurkla</t>
        </is>
      </c>
      <c r="S277">
        <f>HYPERLINK("https://klasma.github.io/Logging_0139/artfynd/A 47329-2020 artfynd.xlsx", "A 47329-2020")</f>
        <v/>
      </c>
      <c r="T277">
        <f>HYPERLINK("https://klasma.github.io/Logging_0139/kartor/A 47329-2020 karta.png", "A 47329-2020")</f>
        <v/>
      </c>
      <c r="V277">
        <f>HYPERLINK("https://klasma.github.io/Logging_0139/klagomål/A 47329-2020 FSC-klagomål.docx", "A 47329-2020")</f>
        <v/>
      </c>
      <c r="W277">
        <f>HYPERLINK("https://klasma.github.io/Logging_0139/klagomålsmail/A 47329-2020 FSC-klagomål mail.docx", "A 47329-2020")</f>
        <v/>
      </c>
      <c r="X277">
        <f>HYPERLINK("https://klasma.github.io/Logging_0139/tillsyn/A 47329-2020 tillsynsbegäran.docx", "A 47329-2020")</f>
        <v/>
      </c>
      <c r="Y277">
        <f>HYPERLINK("https://klasma.github.io/Logging_0139/tillsynsmail/A 47329-2020 tillsynsbegäran mail.docx", "A 47329-2020")</f>
        <v/>
      </c>
    </row>
    <row r="278" ht="15" customHeight="1">
      <c r="A278" t="inlineStr">
        <is>
          <t>A 48288-2020</t>
        </is>
      </c>
      <c r="B278" s="1" t="n">
        <v>44102</v>
      </c>
      <c r="C278" s="1" t="n">
        <v>45224</v>
      </c>
      <c r="D278" t="inlineStr">
        <is>
          <t>STOCKHOLMS LÄN</t>
        </is>
      </c>
      <c r="E278" t="inlineStr">
        <is>
          <t>NORRTÄLJE</t>
        </is>
      </c>
      <c r="F278" t="inlineStr">
        <is>
          <t>Holmen skog AB</t>
        </is>
      </c>
      <c r="G278" t="n">
        <v>2.9</v>
      </c>
      <c r="H278" t="n">
        <v>1</v>
      </c>
      <c r="I278" t="n">
        <v>0</v>
      </c>
      <c r="J278" t="n">
        <v>0</v>
      </c>
      <c r="K278" t="n">
        <v>0</v>
      </c>
      <c r="L278" t="n">
        <v>1</v>
      </c>
      <c r="M278" t="n">
        <v>0</v>
      </c>
      <c r="N278" t="n">
        <v>0</v>
      </c>
      <c r="O278" t="n">
        <v>1</v>
      </c>
      <c r="P278" t="n">
        <v>1</v>
      </c>
      <c r="Q278" t="n">
        <v>1</v>
      </c>
      <c r="R278" s="2" t="inlineStr">
        <is>
          <t>Asknätfjäril</t>
        </is>
      </c>
      <c r="S278">
        <f>HYPERLINK("https://klasma.github.io/Logging_0188/artfynd/A 48288-2020 artfynd.xlsx", "A 48288-2020")</f>
        <v/>
      </c>
      <c r="T278">
        <f>HYPERLINK("https://klasma.github.io/Logging_0188/kartor/A 48288-2020 karta.png", "A 48288-2020")</f>
        <v/>
      </c>
      <c r="V278">
        <f>HYPERLINK("https://klasma.github.io/Logging_0188/klagomål/A 48288-2020 FSC-klagomål.docx", "A 48288-2020")</f>
        <v/>
      </c>
      <c r="W278">
        <f>HYPERLINK("https://klasma.github.io/Logging_0188/klagomålsmail/A 48288-2020 FSC-klagomål mail.docx", "A 48288-2020")</f>
        <v/>
      </c>
      <c r="X278">
        <f>HYPERLINK("https://klasma.github.io/Logging_0188/tillsyn/A 48288-2020 tillsynsbegäran.docx", "A 48288-2020")</f>
        <v/>
      </c>
      <c r="Y278">
        <f>HYPERLINK("https://klasma.github.io/Logging_0188/tillsynsmail/A 48288-2020 tillsynsbegäran mail.docx", "A 48288-2020")</f>
        <v/>
      </c>
    </row>
    <row r="279" ht="15" customHeight="1">
      <c r="A279" t="inlineStr">
        <is>
          <t>A 62846-2020</t>
        </is>
      </c>
      <c r="B279" s="1" t="n">
        <v>44161</v>
      </c>
      <c r="C279" s="1" t="n">
        <v>45224</v>
      </c>
      <c r="D279" t="inlineStr">
        <is>
          <t>STOCKHOLMS LÄN</t>
        </is>
      </c>
      <c r="E279" t="inlineStr">
        <is>
          <t>NORRTÄLJE</t>
        </is>
      </c>
      <c r="G279" t="n">
        <v>1.4</v>
      </c>
      <c r="H279" t="n">
        <v>1</v>
      </c>
      <c r="I279" t="n">
        <v>0</v>
      </c>
      <c r="J279" t="n">
        <v>0</v>
      </c>
      <c r="K279" t="n">
        <v>0</v>
      </c>
      <c r="L279" t="n">
        <v>0</v>
      </c>
      <c r="M279" t="n">
        <v>0</v>
      </c>
      <c r="N279" t="n">
        <v>0</v>
      </c>
      <c r="O279" t="n">
        <v>0</v>
      </c>
      <c r="P279" t="n">
        <v>0</v>
      </c>
      <c r="Q279" t="n">
        <v>1</v>
      </c>
      <c r="R279" s="2" t="inlineStr">
        <is>
          <t>Fläcknycklar</t>
        </is>
      </c>
      <c r="S279">
        <f>HYPERLINK("https://klasma.github.io/Logging_0188/artfynd/A 62846-2020 artfynd.xlsx", "A 62846-2020")</f>
        <v/>
      </c>
      <c r="T279">
        <f>HYPERLINK("https://klasma.github.io/Logging_0188/kartor/A 62846-2020 karta.png", "A 62846-2020")</f>
        <v/>
      </c>
      <c r="V279">
        <f>HYPERLINK("https://klasma.github.io/Logging_0188/klagomål/A 62846-2020 FSC-klagomål.docx", "A 62846-2020")</f>
        <v/>
      </c>
      <c r="W279">
        <f>HYPERLINK("https://klasma.github.io/Logging_0188/klagomålsmail/A 62846-2020 FSC-klagomål mail.docx", "A 62846-2020")</f>
        <v/>
      </c>
      <c r="X279">
        <f>HYPERLINK("https://klasma.github.io/Logging_0188/tillsyn/A 62846-2020 tillsynsbegäran.docx", "A 62846-2020")</f>
        <v/>
      </c>
      <c r="Y279">
        <f>HYPERLINK("https://klasma.github.io/Logging_0188/tillsynsmail/A 62846-2020 tillsynsbegäran mail.docx", "A 62846-2020")</f>
        <v/>
      </c>
    </row>
    <row r="280" ht="15" customHeight="1">
      <c r="A280" t="inlineStr">
        <is>
          <t>A 1162-2021</t>
        </is>
      </c>
      <c r="B280" s="1" t="n">
        <v>44207</v>
      </c>
      <c r="C280" s="1" t="n">
        <v>45224</v>
      </c>
      <c r="D280" t="inlineStr">
        <is>
          <t>STOCKHOLMS LÄN</t>
        </is>
      </c>
      <c r="E280" t="inlineStr">
        <is>
          <t>NORRTÄLJE</t>
        </is>
      </c>
      <c r="G280" t="n">
        <v>2.2</v>
      </c>
      <c r="H280" t="n">
        <v>1</v>
      </c>
      <c r="I280" t="n">
        <v>0</v>
      </c>
      <c r="J280" t="n">
        <v>0</v>
      </c>
      <c r="K280" t="n">
        <v>1</v>
      </c>
      <c r="L280" t="n">
        <v>0</v>
      </c>
      <c r="M280" t="n">
        <v>0</v>
      </c>
      <c r="N280" t="n">
        <v>0</v>
      </c>
      <c r="O280" t="n">
        <v>1</v>
      </c>
      <c r="P280" t="n">
        <v>1</v>
      </c>
      <c r="Q280" t="n">
        <v>1</v>
      </c>
      <c r="R280" s="2" t="inlineStr">
        <is>
          <t>Hällebräcka</t>
        </is>
      </c>
      <c r="S280">
        <f>HYPERLINK("https://klasma.github.io/Logging_0188/artfynd/A 1162-2021 artfynd.xlsx", "A 1162-2021")</f>
        <v/>
      </c>
      <c r="T280">
        <f>HYPERLINK("https://klasma.github.io/Logging_0188/kartor/A 1162-2021 karta.png", "A 1162-2021")</f>
        <v/>
      </c>
      <c r="V280">
        <f>HYPERLINK("https://klasma.github.io/Logging_0188/klagomål/A 1162-2021 FSC-klagomål.docx", "A 1162-2021")</f>
        <v/>
      </c>
      <c r="W280">
        <f>HYPERLINK("https://klasma.github.io/Logging_0188/klagomålsmail/A 1162-2021 FSC-klagomål mail.docx", "A 1162-2021")</f>
        <v/>
      </c>
      <c r="X280">
        <f>HYPERLINK("https://klasma.github.io/Logging_0188/tillsyn/A 1162-2021 tillsynsbegäran.docx", "A 1162-2021")</f>
        <v/>
      </c>
      <c r="Y280">
        <f>HYPERLINK("https://klasma.github.io/Logging_0188/tillsynsmail/A 1162-2021 tillsynsbegäran mail.docx", "A 1162-2021")</f>
        <v/>
      </c>
    </row>
    <row r="281" ht="15" customHeight="1">
      <c r="A281" t="inlineStr">
        <is>
          <t>A 1424-2021</t>
        </is>
      </c>
      <c r="B281" s="1" t="n">
        <v>44208</v>
      </c>
      <c r="C281" s="1" t="n">
        <v>45224</v>
      </c>
      <c r="D281" t="inlineStr">
        <is>
          <t>STOCKHOLMS LÄN</t>
        </is>
      </c>
      <c r="E281" t="inlineStr">
        <is>
          <t>HANINGE</t>
        </is>
      </c>
      <c r="G281" t="n">
        <v>1.7</v>
      </c>
      <c r="H281" t="n">
        <v>1</v>
      </c>
      <c r="I281" t="n">
        <v>1</v>
      </c>
      <c r="J281" t="n">
        <v>0</v>
      </c>
      <c r="K281" t="n">
        <v>0</v>
      </c>
      <c r="L281" t="n">
        <v>0</v>
      </c>
      <c r="M281" t="n">
        <v>0</v>
      </c>
      <c r="N281" t="n">
        <v>0</v>
      </c>
      <c r="O281" t="n">
        <v>0</v>
      </c>
      <c r="P281" t="n">
        <v>0</v>
      </c>
      <c r="Q281" t="n">
        <v>1</v>
      </c>
      <c r="R281" s="2" t="inlineStr">
        <is>
          <t>Tvåblad</t>
        </is>
      </c>
      <c r="S281">
        <f>HYPERLINK("https://klasma.github.io/Logging_0136/artfynd/A 1424-2021 artfynd.xlsx", "A 1424-2021")</f>
        <v/>
      </c>
      <c r="T281">
        <f>HYPERLINK("https://klasma.github.io/Logging_0136/kartor/A 1424-2021 karta.png", "A 1424-2021")</f>
        <v/>
      </c>
      <c r="U281">
        <f>HYPERLINK("https://klasma.github.io/Logging_0136/knärot/A 1424-2021 karta knärot.png", "A 1424-2021")</f>
        <v/>
      </c>
      <c r="V281">
        <f>HYPERLINK("https://klasma.github.io/Logging_0136/klagomål/A 1424-2021 FSC-klagomål.docx", "A 1424-2021")</f>
        <v/>
      </c>
      <c r="W281">
        <f>HYPERLINK("https://klasma.github.io/Logging_0136/klagomålsmail/A 1424-2021 FSC-klagomål mail.docx", "A 1424-2021")</f>
        <v/>
      </c>
      <c r="X281">
        <f>HYPERLINK("https://klasma.github.io/Logging_0136/tillsyn/A 1424-2021 tillsynsbegäran.docx", "A 1424-2021")</f>
        <v/>
      </c>
      <c r="Y281">
        <f>HYPERLINK("https://klasma.github.io/Logging_0136/tillsynsmail/A 1424-2021 tillsynsbegäran mail.docx", "A 1424-2021")</f>
        <v/>
      </c>
    </row>
    <row r="282" ht="15" customHeight="1">
      <c r="A282" t="inlineStr">
        <is>
          <t>A 12989-2021</t>
        </is>
      </c>
      <c r="B282" s="1" t="n">
        <v>44271</v>
      </c>
      <c r="C282" s="1" t="n">
        <v>45224</v>
      </c>
      <c r="D282" t="inlineStr">
        <is>
          <t>STOCKHOLMS LÄN</t>
        </is>
      </c>
      <c r="E282" t="inlineStr">
        <is>
          <t>NYNÄSHAMN</t>
        </is>
      </c>
      <c r="F282" t="inlineStr">
        <is>
          <t>Kommuner</t>
        </is>
      </c>
      <c r="G282" t="n">
        <v>6.6</v>
      </c>
      <c r="H282" t="n">
        <v>1</v>
      </c>
      <c r="I282" t="n">
        <v>0</v>
      </c>
      <c r="J282" t="n">
        <v>0</v>
      </c>
      <c r="K282" t="n">
        <v>1</v>
      </c>
      <c r="L282" t="n">
        <v>0</v>
      </c>
      <c r="M282" t="n">
        <v>0</v>
      </c>
      <c r="N282" t="n">
        <v>0</v>
      </c>
      <c r="O282" t="n">
        <v>1</v>
      </c>
      <c r="P282" t="n">
        <v>1</v>
      </c>
      <c r="Q282" t="n">
        <v>1</v>
      </c>
      <c r="R282" s="2" t="inlineStr">
        <is>
          <t>Hasselsnok</t>
        </is>
      </c>
      <c r="S282">
        <f>HYPERLINK("https://klasma.github.io/Logging_0192/artfynd/A 12989-2021 artfynd.xlsx", "A 12989-2021")</f>
        <v/>
      </c>
      <c r="T282">
        <f>HYPERLINK("https://klasma.github.io/Logging_0192/kartor/A 12989-2021 karta.png", "A 12989-2021")</f>
        <v/>
      </c>
      <c r="V282">
        <f>HYPERLINK("https://klasma.github.io/Logging_0192/klagomål/A 12989-2021 FSC-klagomål.docx", "A 12989-2021")</f>
        <v/>
      </c>
      <c r="W282">
        <f>HYPERLINK("https://klasma.github.io/Logging_0192/klagomålsmail/A 12989-2021 FSC-klagomål mail.docx", "A 12989-2021")</f>
        <v/>
      </c>
      <c r="X282">
        <f>HYPERLINK("https://klasma.github.io/Logging_0192/tillsyn/A 12989-2021 tillsynsbegäran.docx", "A 12989-2021")</f>
        <v/>
      </c>
      <c r="Y282">
        <f>HYPERLINK("https://klasma.github.io/Logging_0192/tillsynsmail/A 12989-2021 tillsynsbegäran mail.docx", "A 12989-2021")</f>
        <v/>
      </c>
    </row>
    <row r="283" ht="15" customHeight="1">
      <c r="A283" t="inlineStr">
        <is>
          <t>A 13942-2021</t>
        </is>
      </c>
      <c r="B283" s="1" t="n">
        <v>44277</v>
      </c>
      <c r="C283" s="1" t="n">
        <v>45224</v>
      </c>
      <c r="D283" t="inlineStr">
        <is>
          <t>STOCKHOLMS LÄN</t>
        </is>
      </c>
      <c r="E283" t="inlineStr">
        <is>
          <t>ÖSTERÅKER</t>
        </is>
      </c>
      <c r="G283" t="n">
        <v>5.2</v>
      </c>
      <c r="H283" t="n">
        <v>0</v>
      </c>
      <c r="I283" t="n">
        <v>1</v>
      </c>
      <c r="J283" t="n">
        <v>0</v>
      </c>
      <c r="K283" t="n">
        <v>0</v>
      </c>
      <c r="L283" t="n">
        <v>0</v>
      </c>
      <c r="M283" t="n">
        <v>0</v>
      </c>
      <c r="N283" t="n">
        <v>0</v>
      </c>
      <c r="O283" t="n">
        <v>0</v>
      </c>
      <c r="P283" t="n">
        <v>0</v>
      </c>
      <c r="Q283" t="n">
        <v>1</v>
      </c>
      <c r="R283" s="2" t="inlineStr">
        <is>
          <t>Skogsbräsma</t>
        </is>
      </c>
      <c r="S283">
        <f>HYPERLINK("https://klasma.github.io/Logging_0117/artfynd/A 13942-2021 artfynd.xlsx", "A 13942-2021")</f>
        <v/>
      </c>
      <c r="T283">
        <f>HYPERLINK("https://klasma.github.io/Logging_0117/kartor/A 13942-2021 karta.png", "A 13942-2021")</f>
        <v/>
      </c>
      <c r="V283">
        <f>HYPERLINK("https://klasma.github.io/Logging_0117/klagomål/A 13942-2021 FSC-klagomål.docx", "A 13942-2021")</f>
        <v/>
      </c>
      <c r="W283">
        <f>HYPERLINK("https://klasma.github.io/Logging_0117/klagomålsmail/A 13942-2021 FSC-klagomål mail.docx", "A 13942-2021")</f>
        <v/>
      </c>
      <c r="X283">
        <f>HYPERLINK("https://klasma.github.io/Logging_0117/tillsyn/A 13942-2021 tillsynsbegäran.docx", "A 13942-2021")</f>
        <v/>
      </c>
      <c r="Y283">
        <f>HYPERLINK("https://klasma.github.io/Logging_0117/tillsynsmail/A 13942-2021 tillsynsbegäran mail.docx", "A 13942-2021")</f>
        <v/>
      </c>
    </row>
    <row r="284" ht="15" customHeight="1">
      <c r="A284" t="inlineStr">
        <is>
          <t>A 16461-2021</t>
        </is>
      </c>
      <c r="B284" s="1" t="n">
        <v>44293</v>
      </c>
      <c r="C284" s="1" t="n">
        <v>45224</v>
      </c>
      <c r="D284" t="inlineStr">
        <is>
          <t>STOCKHOLMS LÄN</t>
        </is>
      </c>
      <c r="E284" t="inlineStr">
        <is>
          <t>SIGTUNA</t>
        </is>
      </c>
      <c r="G284" t="n">
        <v>8</v>
      </c>
      <c r="H284" t="n">
        <v>1</v>
      </c>
      <c r="I284" t="n">
        <v>0</v>
      </c>
      <c r="J284" t="n">
        <v>0</v>
      </c>
      <c r="K284" t="n">
        <v>0</v>
      </c>
      <c r="L284" t="n">
        <v>0</v>
      </c>
      <c r="M284" t="n">
        <v>0</v>
      </c>
      <c r="N284" t="n">
        <v>0</v>
      </c>
      <c r="O284" t="n">
        <v>0</v>
      </c>
      <c r="P284" t="n">
        <v>0</v>
      </c>
      <c r="Q284" t="n">
        <v>1</v>
      </c>
      <c r="R284" s="2" t="inlineStr">
        <is>
          <t>Större vattensalamander</t>
        </is>
      </c>
      <c r="S284">
        <f>HYPERLINK("https://klasma.github.io/Logging_0191/artfynd/A 16461-2021 artfynd.xlsx", "A 16461-2021")</f>
        <v/>
      </c>
      <c r="T284">
        <f>HYPERLINK("https://klasma.github.io/Logging_0191/kartor/A 16461-2021 karta.png", "A 16461-2021")</f>
        <v/>
      </c>
      <c r="V284">
        <f>HYPERLINK("https://klasma.github.io/Logging_0191/klagomål/A 16461-2021 FSC-klagomål.docx", "A 16461-2021")</f>
        <v/>
      </c>
      <c r="W284">
        <f>HYPERLINK("https://klasma.github.io/Logging_0191/klagomålsmail/A 16461-2021 FSC-klagomål mail.docx", "A 16461-2021")</f>
        <v/>
      </c>
      <c r="X284">
        <f>HYPERLINK("https://klasma.github.io/Logging_0191/tillsyn/A 16461-2021 tillsynsbegäran.docx", "A 16461-2021")</f>
        <v/>
      </c>
      <c r="Y284">
        <f>HYPERLINK("https://klasma.github.io/Logging_0191/tillsynsmail/A 16461-2021 tillsynsbegäran mail.docx", "A 16461-2021")</f>
        <v/>
      </c>
    </row>
    <row r="285" ht="15" customHeight="1">
      <c r="A285" t="inlineStr">
        <is>
          <t>A 27757-2021</t>
        </is>
      </c>
      <c r="B285" s="1" t="n">
        <v>44354</v>
      </c>
      <c r="C285" s="1" t="n">
        <v>45224</v>
      </c>
      <c r="D285" t="inlineStr">
        <is>
          <t>STOCKHOLMS LÄN</t>
        </is>
      </c>
      <c r="E285" t="inlineStr">
        <is>
          <t>SÖDERTÄLJE</t>
        </is>
      </c>
      <c r="F285" t="inlineStr">
        <is>
          <t>Sveaskog</t>
        </is>
      </c>
      <c r="G285" t="n">
        <v>1.7</v>
      </c>
      <c r="H285" t="n">
        <v>0</v>
      </c>
      <c r="I285" t="n">
        <v>0</v>
      </c>
      <c r="J285" t="n">
        <v>0</v>
      </c>
      <c r="K285" t="n">
        <v>0</v>
      </c>
      <c r="L285" t="n">
        <v>1</v>
      </c>
      <c r="M285" t="n">
        <v>0</v>
      </c>
      <c r="N285" t="n">
        <v>0</v>
      </c>
      <c r="O285" t="n">
        <v>1</v>
      </c>
      <c r="P285" t="n">
        <v>1</v>
      </c>
      <c r="Q285" t="n">
        <v>1</v>
      </c>
      <c r="R285" s="2" t="inlineStr">
        <is>
          <t>Ryl</t>
        </is>
      </c>
      <c r="S285">
        <f>HYPERLINK("https://klasma.github.io/Logging_0181/artfynd/A 27757-2021 artfynd.xlsx", "A 27757-2021")</f>
        <v/>
      </c>
      <c r="T285">
        <f>HYPERLINK("https://klasma.github.io/Logging_0181/kartor/A 27757-2021 karta.png", "A 27757-2021")</f>
        <v/>
      </c>
      <c r="V285">
        <f>HYPERLINK("https://klasma.github.io/Logging_0181/klagomål/A 27757-2021 FSC-klagomål.docx", "A 27757-2021")</f>
        <v/>
      </c>
      <c r="W285">
        <f>HYPERLINK("https://klasma.github.io/Logging_0181/klagomålsmail/A 27757-2021 FSC-klagomål mail.docx", "A 27757-2021")</f>
        <v/>
      </c>
      <c r="X285">
        <f>HYPERLINK("https://klasma.github.io/Logging_0181/tillsyn/A 27757-2021 tillsynsbegäran.docx", "A 27757-2021")</f>
        <v/>
      </c>
      <c r="Y285">
        <f>HYPERLINK("https://klasma.github.io/Logging_0181/tillsynsmail/A 27757-2021 tillsynsbegäran mail.docx", "A 27757-2021")</f>
        <v/>
      </c>
    </row>
    <row r="286" ht="15" customHeight="1">
      <c r="A286" t="inlineStr">
        <is>
          <t>A 31980-2021</t>
        </is>
      </c>
      <c r="B286" s="1" t="n">
        <v>44370</v>
      </c>
      <c r="C286" s="1" t="n">
        <v>45224</v>
      </c>
      <c r="D286" t="inlineStr">
        <is>
          <t>STOCKHOLMS LÄN</t>
        </is>
      </c>
      <c r="E286" t="inlineStr">
        <is>
          <t>NYNÄSHAMN</t>
        </is>
      </c>
      <c r="G286" t="n">
        <v>3.3</v>
      </c>
      <c r="H286" t="n">
        <v>0</v>
      </c>
      <c r="I286" t="n">
        <v>0</v>
      </c>
      <c r="J286" t="n">
        <v>1</v>
      </c>
      <c r="K286" t="n">
        <v>0</v>
      </c>
      <c r="L286" t="n">
        <v>0</v>
      </c>
      <c r="M286" t="n">
        <v>0</v>
      </c>
      <c r="N286" t="n">
        <v>0</v>
      </c>
      <c r="O286" t="n">
        <v>1</v>
      </c>
      <c r="P286" t="n">
        <v>0</v>
      </c>
      <c r="Q286" t="n">
        <v>1</v>
      </c>
      <c r="R286" s="2" t="inlineStr">
        <is>
          <t>Liten ekkremla</t>
        </is>
      </c>
      <c r="S286">
        <f>HYPERLINK("https://klasma.github.io/Logging_0192/artfynd/A 31980-2021 artfynd.xlsx", "A 31980-2021")</f>
        <v/>
      </c>
      <c r="T286">
        <f>HYPERLINK("https://klasma.github.io/Logging_0192/kartor/A 31980-2021 karta.png", "A 31980-2021")</f>
        <v/>
      </c>
      <c r="V286">
        <f>HYPERLINK("https://klasma.github.io/Logging_0192/klagomål/A 31980-2021 FSC-klagomål.docx", "A 31980-2021")</f>
        <v/>
      </c>
      <c r="W286">
        <f>HYPERLINK("https://klasma.github.io/Logging_0192/klagomålsmail/A 31980-2021 FSC-klagomål mail.docx", "A 31980-2021")</f>
        <v/>
      </c>
      <c r="X286">
        <f>HYPERLINK("https://klasma.github.io/Logging_0192/tillsyn/A 31980-2021 tillsynsbegäran.docx", "A 31980-2021")</f>
        <v/>
      </c>
      <c r="Y286">
        <f>HYPERLINK("https://klasma.github.io/Logging_0192/tillsynsmail/A 31980-2021 tillsynsbegäran mail.docx", "A 31980-2021")</f>
        <v/>
      </c>
    </row>
    <row r="287" ht="15" customHeight="1">
      <c r="A287" t="inlineStr">
        <is>
          <t>A 33302-2021</t>
        </is>
      </c>
      <c r="B287" s="1" t="n">
        <v>44377</v>
      </c>
      <c r="C287" s="1" t="n">
        <v>45224</v>
      </c>
      <c r="D287" t="inlineStr">
        <is>
          <t>STOCKHOLMS LÄN</t>
        </is>
      </c>
      <c r="E287" t="inlineStr">
        <is>
          <t>NORRTÄLJE</t>
        </is>
      </c>
      <c r="G287" t="n">
        <v>12.5</v>
      </c>
      <c r="H287" t="n">
        <v>1</v>
      </c>
      <c r="I287" t="n">
        <v>0</v>
      </c>
      <c r="J287" t="n">
        <v>1</v>
      </c>
      <c r="K287" t="n">
        <v>0</v>
      </c>
      <c r="L287" t="n">
        <v>0</v>
      </c>
      <c r="M287" t="n">
        <v>0</v>
      </c>
      <c r="N287" t="n">
        <v>0</v>
      </c>
      <c r="O287" t="n">
        <v>1</v>
      </c>
      <c r="P287" t="n">
        <v>0</v>
      </c>
      <c r="Q287" t="n">
        <v>1</v>
      </c>
      <c r="R287" s="2" t="inlineStr">
        <is>
          <t>Spillkråka</t>
        </is>
      </c>
      <c r="S287">
        <f>HYPERLINK("https://klasma.github.io/Logging_0188/artfynd/A 33302-2021 artfynd.xlsx", "A 33302-2021")</f>
        <v/>
      </c>
      <c r="T287">
        <f>HYPERLINK("https://klasma.github.io/Logging_0188/kartor/A 33302-2021 karta.png", "A 33302-2021")</f>
        <v/>
      </c>
      <c r="V287">
        <f>HYPERLINK("https://klasma.github.io/Logging_0188/klagomål/A 33302-2021 FSC-klagomål.docx", "A 33302-2021")</f>
        <v/>
      </c>
      <c r="W287">
        <f>HYPERLINK("https://klasma.github.io/Logging_0188/klagomålsmail/A 33302-2021 FSC-klagomål mail.docx", "A 33302-2021")</f>
        <v/>
      </c>
      <c r="X287">
        <f>HYPERLINK("https://klasma.github.io/Logging_0188/tillsyn/A 33302-2021 tillsynsbegäran.docx", "A 33302-2021")</f>
        <v/>
      </c>
      <c r="Y287">
        <f>HYPERLINK("https://klasma.github.io/Logging_0188/tillsynsmail/A 33302-2021 tillsynsbegäran mail.docx", "A 33302-2021")</f>
        <v/>
      </c>
    </row>
    <row r="288" ht="15" customHeight="1">
      <c r="A288" t="inlineStr">
        <is>
          <t>A 37100-2021</t>
        </is>
      </c>
      <c r="B288" s="1" t="n">
        <v>44396</v>
      </c>
      <c r="C288" s="1" t="n">
        <v>45224</v>
      </c>
      <c r="D288" t="inlineStr">
        <is>
          <t>STOCKHOLMS LÄN</t>
        </is>
      </c>
      <c r="E288" t="inlineStr">
        <is>
          <t>NYNÄSHAMN</t>
        </is>
      </c>
      <c r="G288" t="n">
        <v>1.4</v>
      </c>
      <c r="H288" t="n">
        <v>1</v>
      </c>
      <c r="I288" t="n">
        <v>1</v>
      </c>
      <c r="J288" t="n">
        <v>0</v>
      </c>
      <c r="K288" t="n">
        <v>0</v>
      </c>
      <c r="L288" t="n">
        <v>0</v>
      </c>
      <c r="M288" t="n">
        <v>0</v>
      </c>
      <c r="N288" t="n">
        <v>0</v>
      </c>
      <c r="O288" t="n">
        <v>0</v>
      </c>
      <c r="P288" t="n">
        <v>0</v>
      </c>
      <c r="Q288" t="n">
        <v>1</v>
      </c>
      <c r="R288" s="2" t="inlineStr">
        <is>
          <t>Grön sköldmossa</t>
        </is>
      </c>
      <c r="S288">
        <f>HYPERLINK("https://klasma.github.io/Logging_0192/artfynd/A 37100-2021 artfynd.xlsx", "A 37100-2021")</f>
        <v/>
      </c>
      <c r="T288">
        <f>HYPERLINK("https://klasma.github.io/Logging_0192/kartor/A 37100-2021 karta.png", "A 37100-2021")</f>
        <v/>
      </c>
      <c r="V288">
        <f>HYPERLINK("https://klasma.github.io/Logging_0192/klagomål/A 37100-2021 FSC-klagomål.docx", "A 37100-2021")</f>
        <v/>
      </c>
      <c r="W288">
        <f>HYPERLINK("https://klasma.github.io/Logging_0192/klagomålsmail/A 37100-2021 FSC-klagomål mail.docx", "A 37100-2021")</f>
        <v/>
      </c>
      <c r="X288">
        <f>HYPERLINK("https://klasma.github.io/Logging_0192/tillsyn/A 37100-2021 tillsynsbegäran.docx", "A 37100-2021")</f>
        <v/>
      </c>
      <c r="Y288">
        <f>HYPERLINK("https://klasma.github.io/Logging_0192/tillsynsmail/A 37100-2021 tillsynsbegäran mail.docx", "A 37100-2021")</f>
        <v/>
      </c>
    </row>
    <row r="289" ht="15" customHeight="1">
      <c r="A289" t="inlineStr">
        <is>
          <t>A 37678-2021</t>
        </is>
      </c>
      <c r="B289" s="1" t="n">
        <v>44400</v>
      </c>
      <c r="C289" s="1" t="n">
        <v>45224</v>
      </c>
      <c r="D289" t="inlineStr">
        <is>
          <t>STOCKHOLMS LÄN</t>
        </is>
      </c>
      <c r="E289" t="inlineStr">
        <is>
          <t>SÖDERTÄLJE</t>
        </is>
      </c>
      <c r="F289" t="inlineStr">
        <is>
          <t>Sveaskog</t>
        </is>
      </c>
      <c r="G289" t="n">
        <v>0.8</v>
      </c>
      <c r="H289" t="n">
        <v>0</v>
      </c>
      <c r="I289" t="n">
        <v>0</v>
      </c>
      <c r="J289" t="n">
        <v>1</v>
      </c>
      <c r="K289" t="n">
        <v>0</v>
      </c>
      <c r="L289" t="n">
        <v>0</v>
      </c>
      <c r="M289" t="n">
        <v>0</v>
      </c>
      <c r="N289" t="n">
        <v>0</v>
      </c>
      <c r="O289" t="n">
        <v>1</v>
      </c>
      <c r="P289" t="n">
        <v>0</v>
      </c>
      <c r="Q289" t="n">
        <v>1</v>
      </c>
      <c r="R289" s="2" t="inlineStr">
        <is>
          <t>Motaggsvamp</t>
        </is>
      </c>
      <c r="S289">
        <f>HYPERLINK("https://klasma.github.io/Logging_0181/artfynd/A 37678-2021 artfynd.xlsx", "A 37678-2021")</f>
        <v/>
      </c>
      <c r="T289">
        <f>HYPERLINK("https://klasma.github.io/Logging_0181/kartor/A 37678-2021 karta.png", "A 37678-2021")</f>
        <v/>
      </c>
      <c r="V289">
        <f>HYPERLINK("https://klasma.github.io/Logging_0181/klagomål/A 37678-2021 FSC-klagomål.docx", "A 37678-2021")</f>
        <v/>
      </c>
      <c r="W289">
        <f>HYPERLINK("https://klasma.github.io/Logging_0181/klagomålsmail/A 37678-2021 FSC-klagomål mail.docx", "A 37678-2021")</f>
        <v/>
      </c>
      <c r="X289">
        <f>HYPERLINK("https://klasma.github.io/Logging_0181/tillsyn/A 37678-2021 tillsynsbegäran.docx", "A 37678-2021")</f>
        <v/>
      </c>
      <c r="Y289">
        <f>HYPERLINK("https://klasma.github.io/Logging_0181/tillsynsmail/A 37678-2021 tillsynsbegäran mail.docx", "A 37678-2021")</f>
        <v/>
      </c>
    </row>
    <row r="290" ht="15" customHeight="1">
      <c r="A290" t="inlineStr">
        <is>
          <t>A 41934-2021</t>
        </is>
      </c>
      <c r="B290" s="1" t="n">
        <v>44425</v>
      </c>
      <c r="C290" s="1" t="n">
        <v>45224</v>
      </c>
      <c r="D290" t="inlineStr">
        <is>
          <t>STOCKHOLMS LÄN</t>
        </is>
      </c>
      <c r="E290" t="inlineStr">
        <is>
          <t>VALLENTUNA</t>
        </is>
      </c>
      <c r="F290" t="inlineStr">
        <is>
          <t>Övriga Aktiebolag</t>
        </is>
      </c>
      <c r="G290" t="n">
        <v>7.1</v>
      </c>
      <c r="H290" t="n">
        <v>0</v>
      </c>
      <c r="I290" t="n">
        <v>0</v>
      </c>
      <c r="J290" t="n">
        <v>1</v>
      </c>
      <c r="K290" t="n">
        <v>0</v>
      </c>
      <c r="L290" t="n">
        <v>0</v>
      </c>
      <c r="M290" t="n">
        <v>0</v>
      </c>
      <c r="N290" t="n">
        <v>0</v>
      </c>
      <c r="O290" t="n">
        <v>1</v>
      </c>
      <c r="P290" t="n">
        <v>0</v>
      </c>
      <c r="Q290" t="n">
        <v>1</v>
      </c>
      <c r="R290" s="2" t="inlineStr">
        <is>
          <t>Skogsklocka</t>
        </is>
      </c>
      <c r="S290">
        <f>HYPERLINK("https://klasma.github.io/Logging_0115/artfynd/A 41934-2021 artfynd.xlsx", "A 41934-2021")</f>
        <v/>
      </c>
      <c r="T290">
        <f>HYPERLINK("https://klasma.github.io/Logging_0115/kartor/A 41934-2021 karta.png", "A 41934-2021")</f>
        <v/>
      </c>
      <c r="V290">
        <f>HYPERLINK("https://klasma.github.io/Logging_0115/klagomål/A 41934-2021 FSC-klagomål.docx", "A 41934-2021")</f>
        <v/>
      </c>
      <c r="W290">
        <f>HYPERLINK("https://klasma.github.io/Logging_0115/klagomålsmail/A 41934-2021 FSC-klagomål mail.docx", "A 41934-2021")</f>
        <v/>
      </c>
      <c r="X290">
        <f>HYPERLINK("https://klasma.github.io/Logging_0115/tillsyn/A 41934-2021 tillsynsbegäran.docx", "A 41934-2021")</f>
        <v/>
      </c>
      <c r="Y290">
        <f>HYPERLINK("https://klasma.github.io/Logging_0115/tillsynsmail/A 41934-2021 tillsynsbegäran mail.docx", "A 41934-2021")</f>
        <v/>
      </c>
    </row>
    <row r="291" ht="15" customHeight="1">
      <c r="A291" t="inlineStr">
        <is>
          <t>A 42050-2021</t>
        </is>
      </c>
      <c r="B291" s="1" t="n">
        <v>44426</v>
      </c>
      <c r="C291" s="1" t="n">
        <v>45224</v>
      </c>
      <c r="D291" t="inlineStr">
        <is>
          <t>STOCKHOLMS LÄN</t>
        </is>
      </c>
      <c r="E291" t="inlineStr">
        <is>
          <t>NYNÄSHAMN</t>
        </is>
      </c>
      <c r="G291" t="n">
        <v>2</v>
      </c>
      <c r="H291" t="n">
        <v>0</v>
      </c>
      <c r="I291" t="n">
        <v>0</v>
      </c>
      <c r="J291" t="n">
        <v>1</v>
      </c>
      <c r="K291" t="n">
        <v>0</v>
      </c>
      <c r="L291" t="n">
        <v>0</v>
      </c>
      <c r="M291" t="n">
        <v>0</v>
      </c>
      <c r="N291" t="n">
        <v>0</v>
      </c>
      <c r="O291" t="n">
        <v>1</v>
      </c>
      <c r="P291" t="n">
        <v>0</v>
      </c>
      <c r="Q291" t="n">
        <v>1</v>
      </c>
      <c r="R291" s="2" t="inlineStr">
        <is>
          <t>Kandelabersvamp</t>
        </is>
      </c>
      <c r="S291">
        <f>HYPERLINK("https://klasma.github.io/Logging_0192/artfynd/A 42050-2021 artfynd.xlsx", "A 42050-2021")</f>
        <v/>
      </c>
      <c r="T291">
        <f>HYPERLINK("https://klasma.github.io/Logging_0192/kartor/A 42050-2021 karta.png", "A 42050-2021")</f>
        <v/>
      </c>
      <c r="V291">
        <f>HYPERLINK("https://klasma.github.io/Logging_0192/klagomål/A 42050-2021 FSC-klagomål.docx", "A 42050-2021")</f>
        <v/>
      </c>
      <c r="W291">
        <f>HYPERLINK("https://klasma.github.io/Logging_0192/klagomålsmail/A 42050-2021 FSC-klagomål mail.docx", "A 42050-2021")</f>
        <v/>
      </c>
      <c r="X291">
        <f>HYPERLINK("https://klasma.github.io/Logging_0192/tillsyn/A 42050-2021 tillsynsbegäran.docx", "A 42050-2021")</f>
        <v/>
      </c>
      <c r="Y291">
        <f>HYPERLINK("https://klasma.github.io/Logging_0192/tillsynsmail/A 42050-2021 tillsynsbegäran mail.docx", "A 42050-2021")</f>
        <v/>
      </c>
    </row>
    <row r="292" ht="15" customHeight="1">
      <c r="A292" t="inlineStr">
        <is>
          <t>A 55263-2021</t>
        </is>
      </c>
      <c r="B292" s="1" t="n">
        <v>44475</v>
      </c>
      <c r="C292" s="1" t="n">
        <v>45224</v>
      </c>
      <c r="D292" t="inlineStr">
        <is>
          <t>STOCKHOLMS LÄN</t>
        </is>
      </c>
      <c r="E292" t="inlineStr">
        <is>
          <t>SÖDERTÄLJE</t>
        </is>
      </c>
      <c r="G292" t="n">
        <v>2.3</v>
      </c>
      <c r="H292" t="n">
        <v>0</v>
      </c>
      <c r="I292" t="n">
        <v>0</v>
      </c>
      <c r="J292" t="n">
        <v>1</v>
      </c>
      <c r="K292" t="n">
        <v>0</v>
      </c>
      <c r="L292" t="n">
        <v>0</v>
      </c>
      <c r="M292" t="n">
        <v>0</v>
      </c>
      <c r="N292" t="n">
        <v>0</v>
      </c>
      <c r="O292" t="n">
        <v>1</v>
      </c>
      <c r="P292" t="n">
        <v>0</v>
      </c>
      <c r="Q292" t="n">
        <v>1</v>
      </c>
      <c r="R292" s="2" t="inlineStr">
        <is>
          <t>Backklöver</t>
        </is>
      </c>
      <c r="S292">
        <f>HYPERLINK("https://klasma.github.io/Logging_0181/artfynd/A 55263-2021 artfynd.xlsx", "A 55263-2021")</f>
        <v/>
      </c>
      <c r="T292">
        <f>HYPERLINK("https://klasma.github.io/Logging_0181/kartor/A 55263-2021 karta.png", "A 55263-2021")</f>
        <v/>
      </c>
      <c r="V292">
        <f>HYPERLINK("https://klasma.github.io/Logging_0181/klagomål/A 55263-2021 FSC-klagomål.docx", "A 55263-2021")</f>
        <v/>
      </c>
      <c r="W292">
        <f>HYPERLINK("https://klasma.github.io/Logging_0181/klagomålsmail/A 55263-2021 FSC-klagomål mail.docx", "A 55263-2021")</f>
        <v/>
      </c>
      <c r="X292">
        <f>HYPERLINK("https://klasma.github.io/Logging_0181/tillsyn/A 55263-2021 tillsynsbegäran.docx", "A 55263-2021")</f>
        <v/>
      </c>
      <c r="Y292">
        <f>HYPERLINK("https://klasma.github.io/Logging_0181/tillsynsmail/A 55263-2021 tillsynsbegäran mail.docx", "A 55263-2021")</f>
        <v/>
      </c>
    </row>
    <row r="293" ht="15" customHeight="1">
      <c r="A293" t="inlineStr">
        <is>
          <t>A 58888-2021</t>
        </is>
      </c>
      <c r="B293" s="1" t="n">
        <v>44489</v>
      </c>
      <c r="C293" s="1" t="n">
        <v>45224</v>
      </c>
      <c r="D293" t="inlineStr">
        <is>
          <t>STOCKHOLMS LÄN</t>
        </is>
      </c>
      <c r="E293" t="inlineStr">
        <is>
          <t>NORRTÄLJE</t>
        </is>
      </c>
      <c r="F293" t="inlineStr">
        <is>
          <t>Holmen skog AB</t>
        </is>
      </c>
      <c r="G293" t="n">
        <v>2.5</v>
      </c>
      <c r="H293" t="n">
        <v>1</v>
      </c>
      <c r="I293" t="n">
        <v>0</v>
      </c>
      <c r="J293" t="n">
        <v>0</v>
      </c>
      <c r="K293" t="n">
        <v>0</v>
      </c>
      <c r="L293" t="n">
        <v>1</v>
      </c>
      <c r="M293" t="n">
        <v>0</v>
      </c>
      <c r="N293" t="n">
        <v>0</v>
      </c>
      <c r="O293" t="n">
        <v>1</v>
      </c>
      <c r="P293" t="n">
        <v>1</v>
      </c>
      <c r="Q293" t="n">
        <v>1</v>
      </c>
      <c r="R293" s="2" t="inlineStr">
        <is>
          <t>Asknätfjäril</t>
        </is>
      </c>
      <c r="S293">
        <f>HYPERLINK("https://klasma.github.io/Logging_0188/artfynd/A 58888-2021 artfynd.xlsx", "A 58888-2021")</f>
        <v/>
      </c>
      <c r="T293">
        <f>HYPERLINK("https://klasma.github.io/Logging_0188/kartor/A 58888-2021 karta.png", "A 58888-2021")</f>
        <v/>
      </c>
      <c r="V293">
        <f>HYPERLINK("https://klasma.github.io/Logging_0188/klagomål/A 58888-2021 FSC-klagomål.docx", "A 58888-2021")</f>
        <v/>
      </c>
      <c r="W293">
        <f>HYPERLINK("https://klasma.github.io/Logging_0188/klagomålsmail/A 58888-2021 FSC-klagomål mail.docx", "A 58888-2021")</f>
        <v/>
      </c>
      <c r="X293">
        <f>HYPERLINK("https://klasma.github.io/Logging_0188/tillsyn/A 58888-2021 tillsynsbegäran.docx", "A 58888-2021")</f>
        <v/>
      </c>
      <c r="Y293">
        <f>HYPERLINK("https://klasma.github.io/Logging_0188/tillsynsmail/A 58888-2021 tillsynsbegäran mail.docx", "A 58888-2021")</f>
        <v/>
      </c>
    </row>
    <row r="294" ht="15" customHeight="1">
      <c r="A294" t="inlineStr">
        <is>
          <t>A 67278-2021</t>
        </is>
      </c>
      <c r="B294" s="1" t="n">
        <v>44523</v>
      </c>
      <c r="C294" s="1" t="n">
        <v>45224</v>
      </c>
      <c r="D294" t="inlineStr">
        <is>
          <t>STOCKHOLMS LÄN</t>
        </is>
      </c>
      <c r="E294" t="inlineStr">
        <is>
          <t>ÖSTERÅKER</t>
        </is>
      </c>
      <c r="F294" t="inlineStr">
        <is>
          <t>Kommuner</t>
        </is>
      </c>
      <c r="G294" t="n">
        <v>3</v>
      </c>
      <c r="H294" t="n">
        <v>0</v>
      </c>
      <c r="I294" t="n">
        <v>0</v>
      </c>
      <c r="J294" t="n">
        <v>1</v>
      </c>
      <c r="K294" t="n">
        <v>0</v>
      </c>
      <c r="L294" t="n">
        <v>0</v>
      </c>
      <c r="M294" t="n">
        <v>0</v>
      </c>
      <c r="N294" t="n">
        <v>0</v>
      </c>
      <c r="O294" t="n">
        <v>1</v>
      </c>
      <c r="P294" t="n">
        <v>0</v>
      </c>
      <c r="Q294" t="n">
        <v>1</v>
      </c>
      <c r="R294" s="2" t="inlineStr">
        <is>
          <t>Veckticka</t>
        </is>
      </c>
      <c r="S294">
        <f>HYPERLINK("https://klasma.github.io/Logging_0117/artfynd/A 67278-2021 artfynd.xlsx", "A 67278-2021")</f>
        <v/>
      </c>
      <c r="T294">
        <f>HYPERLINK("https://klasma.github.io/Logging_0117/kartor/A 67278-2021 karta.png", "A 67278-2021")</f>
        <v/>
      </c>
      <c r="V294">
        <f>HYPERLINK("https://klasma.github.io/Logging_0117/klagomål/A 67278-2021 FSC-klagomål.docx", "A 67278-2021")</f>
        <v/>
      </c>
      <c r="W294">
        <f>HYPERLINK("https://klasma.github.io/Logging_0117/klagomålsmail/A 67278-2021 FSC-klagomål mail.docx", "A 67278-2021")</f>
        <v/>
      </c>
      <c r="X294">
        <f>HYPERLINK("https://klasma.github.io/Logging_0117/tillsyn/A 67278-2021 tillsynsbegäran.docx", "A 67278-2021")</f>
        <v/>
      </c>
      <c r="Y294">
        <f>HYPERLINK("https://klasma.github.io/Logging_0117/tillsynsmail/A 67278-2021 tillsynsbegäran mail.docx", "A 67278-2021")</f>
        <v/>
      </c>
    </row>
    <row r="295" ht="15" customHeight="1">
      <c r="A295" t="inlineStr">
        <is>
          <t>A 68883-2021</t>
        </is>
      </c>
      <c r="B295" s="1" t="n">
        <v>44526</v>
      </c>
      <c r="C295" s="1" t="n">
        <v>45224</v>
      </c>
      <c r="D295" t="inlineStr">
        <is>
          <t>STOCKHOLMS LÄN</t>
        </is>
      </c>
      <c r="E295" t="inlineStr">
        <is>
          <t>HANINGE</t>
        </is>
      </c>
      <c r="G295" t="n">
        <v>2.5</v>
      </c>
      <c r="H295" t="n">
        <v>1</v>
      </c>
      <c r="I295" t="n">
        <v>0</v>
      </c>
      <c r="J295" t="n">
        <v>0</v>
      </c>
      <c r="K295" t="n">
        <v>0</v>
      </c>
      <c r="L295" t="n">
        <v>0</v>
      </c>
      <c r="M295" t="n">
        <v>0</v>
      </c>
      <c r="N295" t="n">
        <v>0</v>
      </c>
      <c r="O295" t="n">
        <v>0</v>
      </c>
      <c r="P295" t="n">
        <v>0</v>
      </c>
      <c r="Q295" t="n">
        <v>1</v>
      </c>
      <c r="R295" s="2" t="inlineStr">
        <is>
          <t>Nattviol</t>
        </is>
      </c>
      <c r="S295">
        <f>HYPERLINK("https://klasma.github.io/Logging_0136/artfynd/A 68883-2021 artfynd.xlsx", "A 68883-2021")</f>
        <v/>
      </c>
      <c r="T295">
        <f>HYPERLINK("https://klasma.github.io/Logging_0136/kartor/A 68883-2021 karta.png", "A 68883-2021")</f>
        <v/>
      </c>
      <c r="V295">
        <f>HYPERLINK("https://klasma.github.io/Logging_0136/klagomål/A 68883-2021 FSC-klagomål.docx", "A 68883-2021")</f>
        <v/>
      </c>
      <c r="W295">
        <f>HYPERLINK("https://klasma.github.io/Logging_0136/klagomålsmail/A 68883-2021 FSC-klagomål mail.docx", "A 68883-2021")</f>
        <v/>
      </c>
      <c r="X295">
        <f>HYPERLINK("https://klasma.github.io/Logging_0136/tillsyn/A 68883-2021 tillsynsbegäran.docx", "A 68883-2021")</f>
        <v/>
      </c>
      <c r="Y295">
        <f>HYPERLINK("https://klasma.github.io/Logging_0136/tillsynsmail/A 68883-2021 tillsynsbegäran mail.docx", "A 68883-2021")</f>
        <v/>
      </c>
    </row>
    <row r="296" ht="15" customHeight="1">
      <c r="A296" t="inlineStr">
        <is>
          <t>A 68692-2021</t>
        </is>
      </c>
      <c r="B296" s="1" t="n">
        <v>44529</v>
      </c>
      <c r="C296" s="1" t="n">
        <v>45224</v>
      </c>
      <c r="D296" t="inlineStr">
        <is>
          <t>STOCKHOLMS LÄN</t>
        </is>
      </c>
      <c r="E296" t="inlineStr">
        <is>
          <t>NORRTÄLJE</t>
        </is>
      </c>
      <c r="F296" t="inlineStr">
        <is>
          <t>Holmen skog AB</t>
        </is>
      </c>
      <c r="G296" t="n">
        <v>0.7</v>
      </c>
      <c r="H296" t="n">
        <v>1</v>
      </c>
      <c r="I296" t="n">
        <v>0</v>
      </c>
      <c r="J296" t="n">
        <v>0</v>
      </c>
      <c r="K296" t="n">
        <v>0</v>
      </c>
      <c r="L296" t="n">
        <v>1</v>
      </c>
      <c r="M296" t="n">
        <v>0</v>
      </c>
      <c r="N296" t="n">
        <v>0</v>
      </c>
      <c r="O296" t="n">
        <v>1</v>
      </c>
      <c r="P296" t="n">
        <v>1</v>
      </c>
      <c r="Q296" t="n">
        <v>1</v>
      </c>
      <c r="R296" s="2" t="inlineStr">
        <is>
          <t>Asknätfjäril</t>
        </is>
      </c>
      <c r="S296">
        <f>HYPERLINK("https://klasma.github.io/Logging_0188/artfynd/A 68692-2021 artfynd.xlsx", "A 68692-2021")</f>
        <v/>
      </c>
      <c r="T296">
        <f>HYPERLINK("https://klasma.github.io/Logging_0188/kartor/A 68692-2021 karta.png", "A 68692-2021")</f>
        <v/>
      </c>
      <c r="V296">
        <f>HYPERLINK("https://klasma.github.io/Logging_0188/klagomål/A 68692-2021 FSC-klagomål.docx", "A 68692-2021")</f>
        <v/>
      </c>
      <c r="W296">
        <f>HYPERLINK("https://klasma.github.io/Logging_0188/klagomålsmail/A 68692-2021 FSC-klagomål mail.docx", "A 68692-2021")</f>
        <v/>
      </c>
      <c r="X296">
        <f>HYPERLINK("https://klasma.github.io/Logging_0188/tillsyn/A 68692-2021 tillsynsbegäran.docx", "A 68692-2021")</f>
        <v/>
      </c>
      <c r="Y296">
        <f>HYPERLINK("https://klasma.github.io/Logging_0188/tillsynsmail/A 68692-2021 tillsynsbegäran mail.docx", "A 68692-2021")</f>
        <v/>
      </c>
    </row>
    <row r="297" ht="15" customHeight="1">
      <c r="A297" t="inlineStr">
        <is>
          <t>A 71315-2021</t>
        </is>
      </c>
      <c r="B297" s="1" t="n">
        <v>44539</v>
      </c>
      <c r="C297" s="1" t="n">
        <v>45224</v>
      </c>
      <c r="D297" t="inlineStr">
        <is>
          <t>STOCKHOLMS LÄN</t>
        </is>
      </c>
      <c r="E297" t="inlineStr">
        <is>
          <t>VÄRMDÖ</t>
        </is>
      </c>
      <c r="F297" t="inlineStr">
        <is>
          <t>Övriga Aktiebolag</t>
        </is>
      </c>
      <c r="G297" t="n">
        <v>5.3</v>
      </c>
      <c r="H297" t="n">
        <v>0</v>
      </c>
      <c r="I297" t="n">
        <v>1</v>
      </c>
      <c r="J297" t="n">
        <v>0</v>
      </c>
      <c r="K297" t="n">
        <v>0</v>
      </c>
      <c r="L297" t="n">
        <v>0</v>
      </c>
      <c r="M297" t="n">
        <v>0</v>
      </c>
      <c r="N297" t="n">
        <v>0</v>
      </c>
      <c r="O297" t="n">
        <v>0</v>
      </c>
      <c r="P297" t="n">
        <v>0</v>
      </c>
      <c r="Q297" t="n">
        <v>1</v>
      </c>
      <c r="R297" s="2" t="inlineStr">
        <is>
          <t>Sårläka</t>
        </is>
      </c>
      <c r="S297">
        <f>HYPERLINK("https://klasma.github.io/Logging_0120/artfynd/A 71315-2021 artfynd.xlsx", "A 71315-2021")</f>
        <v/>
      </c>
      <c r="T297">
        <f>HYPERLINK("https://klasma.github.io/Logging_0120/kartor/A 71315-2021 karta.png", "A 71315-2021")</f>
        <v/>
      </c>
      <c r="V297">
        <f>HYPERLINK("https://klasma.github.io/Logging_0120/klagomål/A 71315-2021 FSC-klagomål.docx", "A 71315-2021")</f>
        <v/>
      </c>
      <c r="W297">
        <f>HYPERLINK("https://klasma.github.io/Logging_0120/klagomålsmail/A 71315-2021 FSC-klagomål mail.docx", "A 71315-2021")</f>
        <v/>
      </c>
      <c r="X297">
        <f>HYPERLINK("https://klasma.github.io/Logging_0120/tillsyn/A 71315-2021 tillsynsbegäran.docx", "A 71315-2021")</f>
        <v/>
      </c>
      <c r="Y297">
        <f>HYPERLINK("https://klasma.github.io/Logging_0120/tillsynsmail/A 71315-2021 tillsynsbegäran mail.docx", "A 71315-2021")</f>
        <v/>
      </c>
    </row>
    <row r="298" ht="15" customHeight="1">
      <c r="A298" t="inlineStr">
        <is>
          <t>A 73773-2021</t>
        </is>
      </c>
      <c r="B298" s="1" t="n">
        <v>44552</v>
      </c>
      <c r="C298" s="1" t="n">
        <v>45224</v>
      </c>
      <c r="D298" t="inlineStr">
        <is>
          <t>STOCKHOLMS LÄN</t>
        </is>
      </c>
      <c r="E298" t="inlineStr">
        <is>
          <t>UPPLANDS-BRO</t>
        </is>
      </c>
      <c r="G298" t="n">
        <v>1.9</v>
      </c>
      <c r="H298" t="n">
        <v>1</v>
      </c>
      <c r="I298" t="n">
        <v>0</v>
      </c>
      <c r="J298" t="n">
        <v>0</v>
      </c>
      <c r="K298" t="n">
        <v>0</v>
      </c>
      <c r="L298" t="n">
        <v>0</v>
      </c>
      <c r="M298" t="n">
        <v>0</v>
      </c>
      <c r="N298" t="n">
        <v>0</v>
      </c>
      <c r="O298" t="n">
        <v>0</v>
      </c>
      <c r="P298" t="n">
        <v>0</v>
      </c>
      <c r="Q298" t="n">
        <v>1</v>
      </c>
      <c r="R298" s="2" t="inlineStr">
        <is>
          <t>Kopparödla</t>
        </is>
      </c>
      <c r="S298">
        <f>HYPERLINK("https://klasma.github.io/Logging_0139/artfynd/A 73773-2021 artfynd.xlsx", "A 73773-2021")</f>
        <v/>
      </c>
      <c r="T298">
        <f>HYPERLINK("https://klasma.github.io/Logging_0139/kartor/A 73773-2021 karta.png", "A 73773-2021")</f>
        <v/>
      </c>
      <c r="V298">
        <f>HYPERLINK("https://klasma.github.io/Logging_0139/klagomål/A 73773-2021 FSC-klagomål.docx", "A 73773-2021")</f>
        <v/>
      </c>
      <c r="W298">
        <f>HYPERLINK("https://klasma.github.io/Logging_0139/klagomålsmail/A 73773-2021 FSC-klagomål mail.docx", "A 73773-2021")</f>
        <v/>
      </c>
      <c r="X298">
        <f>HYPERLINK("https://klasma.github.io/Logging_0139/tillsyn/A 73773-2021 tillsynsbegäran.docx", "A 73773-2021")</f>
        <v/>
      </c>
      <c r="Y298">
        <f>HYPERLINK("https://klasma.github.io/Logging_0139/tillsynsmail/A 73773-2021 tillsynsbegäran mail.docx", "A 73773-2021")</f>
        <v/>
      </c>
    </row>
    <row r="299" ht="15" customHeight="1">
      <c r="A299" t="inlineStr">
        <is>
          <t>A 73787-2021</t>
        </is>
      </c>
      <c r="B299" s="1" t="n">
        <v>44552</v>
      </c>
      <c r="C299" s="1" t="n">
        <v>45224</v>
      </c>
      <c r="D299" t="inlineStr">
        <is>
          <t>STOCKHOLMS LÄN</t>
        </is>
      </c>
      <c r="E299" t="inlineStr">
        <is>
          <t>UPPLANDS-BRO</t>
        </is>
      </c>
      <c r="G299" t="n">
        <v>4.6</v>
      </c>
      <c r="H299" t="n">
        <v>0</v>
      </c>
      <c r="I299" t="n">
        <v>0</v>
      </c>
      <c r="J299" t="n">
        <v>1</v>
      </c>
      <c r="K299" t="n">
        <v>0</v>
      </c>
      <c r="L299" t="n">
        <v>0</v>
      </c>
      <c r="M299" t="n">
        <v>0</v>
      </c>
      <c r="N299" t="n">
        <v>0</v>
      </c>
      <c r="O299" t="n">
        <v>1</v>
      </c>
      <c r="P299" t="n">
        <v>0</v>
      </c>
      <c r="Q299" t="n">
        <v>1</v>
      </c>
      <c r="R299" s="2" t="inlineStr">
        <is>
          <t>Dofttaggsvamp</t>
        </is>
      </c>
      <c r="S299">
        <f>HYPERLINK("https://klasma.github.io/Logging_0139/artfynd/A 73787-2021 artfynd.xlsx", "A 73787-2021")</f>
        <v/>
      </c>
      <c r="T299">
        <f>HYPERLINK("https://klasma.github.io/Logging_0139/kartor/A 73787-2021 karta.png", "A 73787-2021")</f>
        <v/>
      </c>
      <c r="V299">
        <f>HYPERLINK("https://klasma.github.io/Logging_0139/klagomål/A 73787-2021 FSC-klagomål.docx", "A 73787-2021")</f>
        <v/>
      </c>
      <c r="W299">
        <f>HYPERLINK("https://klasma.github.io/Logging_0139/klagomålsmail/A 73787-2021 FSC-klagomål mail.docx", "A 73787-2021")</f>
        <v/>
      </c>
      <c r="X299">
        <f>HYPERLINK("https://klasma.github.io/Logging_0139/tillsyn/A 73787-2021 tillsynsbegäran.docx", "A 73787-2021")</f>
        <v/>
      </c>
      <c r="Y299">
        <f>HYPERLINK("https://klasma.github.io/Logging_0139/tillsynsmail/A 73787-2021 tillsynsbegäran mail.docx", "A 73787-2021")</f>
        <v/>
      </c>
    </row>
    <row r="300" ht="15" customHeight="1">
      <c r="A300" t="inlineStr">
        <is>
          <t>A 131-2022</t>
        </is>
      </c>
      <c r="B300" s="1" t="n">
        <v>44560</v>
      </c>
      <c r="C300" s="1" t="n">
        <v>45224</v>
      </c>
      <c r="D300" t="inlineStr">
        <is>
          <t>STOCKHOLMS LÄN</t>
        </is>
      </c>
      <c r="E300" t="inlineStr">
        <is>
          <t>VALLENTUNA</t>
        </is>
      </c>
      <c r="F300" t="inlineStr">
        <is>
          <t>Övriga Aktiebolag</t>
        </is>
      </c>
      <c r="G300" t="n">
        <v>4.6</v>
      </c>
      <c r="H300" t="n">
        <v>0</v>
      </c>
      <c r="I300" t="n">
        <v>1</v>
      </c>
      <c r="J300" t="n">
        <v>0</v>
      </c>
      <c r="K300" t="n">
        <v>0</v>
      </c>
      <c r="L300" t="n">
        <v>0</v>
      </c>
      <c r="M300" t="n">
        <v>0</v>
      </c>
      <c r="N300" t="n">
        <v>0</v>
      </c>
      <c r="O300" t="n">
        <v>0</v>
      </c>
      <c r="P300" t="n">
        <v>0</v>
      </c>
      <c r="Q300" t="n">
        <v>1</v>
      </c>
      <c r="R300" s="2" t="inlineStr">
        <is>
          <t>Tjockfotad fingersvamp</t>
        </is>
      </c>
      <c r="S300">
        <f>HYPERLINK("https://klasma.github.io/Logging_0115/artfynd/A 131-2022 artfynd.xlsx", "A 131-2022")</f>
        <v/>
      </c>
      <c r="T300">
        <f>HYPERLINK("https://klasma.github.io/Logging_0115/kartor/A 131-2022 karta.png", "A 131-2022")</f>
        <v/>
      </c>
      <c r="V300">
        <f>HYPERLINK("https://klasma.github.io/Logging_0115/klagomål/A 131-2022 FSC-klagomål.docx", "A 131-2022")</f>
        <v/>
      </c>
      <c r="W300">
        <f>HYPERLINK("https://klasma.github.io/Logging_0115/klagomålsmail/A 131-2022 FSC-klagomål mail.docx", "A 131-2022")</f>
        <v/>
      </c>
      <c r="X300">
        <f>HYPERLINK("https://klasma.github.io/Logging_0115/tillsyn/A 131-2022 tillsynsbegäran.docx", "A 131-2022")</f>
        <v/>
      </c>
      <c r="Y300">
        <f>HYPERLINK("https://klasma.github.io/Logging_0115/tillsynsmail/A 131-2022 tillsynsbegäran mail.docx", "A 131-2022")</f>
        <v/>
      </c>
    </row>
    <row r="301" ht="15" customHeight="1">
      <c r="A301" t="inlineStr">
        <is>
          <t>A 21-2022</t>
        </is>
      </c>
      <c r="B301" s="1" t="n">
        <v>44560</v>
      </c>
      <c r="C301" s="1" t="n">
        <v>45224</v>
      </c>
      <c r="D301" t="inlineStr">
        <is>
          <t>STOCKHOLMS LÄN</t>
        </is>
      </c>
      <c r="E301" t="inlineStr">
        <is>
          <t>VALLENTUNA</t>
        </is>
      </c>
      <c r="F301" t="inlineStr">
        <is>
          <t>Övriga Aktiebolag</t>
        </is>
      </c>
      <c r="G301" t="n">
        <v>3.5</v>
      </c>
      <c r="H301" t="n">
        <v>1</v>
      </c>
      <c r="I301" t="n">
        <v>0</v>
      </c>
      <c r="J301" t="n">
        <v>0</v>
      </c>
      <c r="K301" t="n">
        <v>0</v>
      </c>
      <c r="L301" t="n">
        <v>0</v>
      </c>
      <c r="M301" t="n">
        <v>0</v>
      </c>
      <c r="N301" t="n">
        <v>0</v>
      </c>
      <c r="O301" t="n">
        <v>0</v>
      </c>
      <c r="P301" t="n">
        <v>0</v>
      </c>
      <c r="Q301" t="n">
        <v>1</v>
      </c>
      <c r="R301" s="2" t="inlineStr">
        <is>
          <t>Nattviol</t>
        </is>
      </c>
      <c r="S301">
        <f>HYPERLINK("https://klasma.github.io/Logging_0115/artfynd/A 21-2022 artfynd.xlsx", "A 21-2022")</f>
        <v/>
      </c>
      <c r="T301">
        <f>HYPERLINK("https://klasma.github.io/Logging_0115/kartor/A 21-2022 karta.png", "A 21-2022")</f>
        <v/>
      </c>
      <c r="V301">
        <f>HYPERLINK("https://klasma.github.io/Logging_0115/klagomål/A 21-2022 FSC-klagomål.docx", "A 21-2022")</f>
        <v/>
      </c>
      <c r="W301">
        <f>HYPERLINK("https://klasma.github.io/Logging_0115/klagomålsmail/A 21-2022 FSC-klagomål mail.docx", "A 21-2022")</f>
        <v/>
      </c>
      <c r="X301">
        <f>HYPERLINK("https://klasma.github.io/Logging_0115/tillsyn/A 21-2022 tillsynsbegäran.docx", "A 21-2022")</f>
        <v/>
      </c>
      <c r="Y301">
        <f>HYPERLINK("https://klasma.github.io/Logging_0115/tillsynsmail/A 21-2022 tillsynsbegäran mail.docx", "A 21-2022")</f>
        <v/>
      </c>
    </row>
    <row r="302" ht="15" customHeight="1">
      <c r="A302" t="inlineStr">
        <is>
          <t>A 1547-2022</t>
        </is>
      </c>
      <c r="B302" s="1" t="n">
        <v>44573</v>
      </c>
      <c r="C302" s="1" t="n">
        <v>45224</v>
      </c>
      <c r="D302" t="inlineStr">
        <is>
          <t>STOCKHOLMS LÄN</t>
        </is>
      </c>
      <c r="E302" t="inlineStr">
        <is>
          <t>NORRTÄLJE</t>
        </is>
      </c>
      <c r="G302" t="n">
        <v>1.8</v>
      </c>
      <c r="H302" t="n">
        <v>1</v>
      </c>
      <c r="I302" t="n">
        <v>0</v>
      </c>
      <c r="J302" t="n">
        <v>0</v>
      </c>
      <c r="K302" t="n">
        <v>1</v>
      </c>
      <c r="L302" t="n">
        <v>0</v>
      </c>
      <c r="M302" t="n">
        <v>0</v>
      </c>
      <c r="N302" t="n">
        <v>0</v>
      </c>
      <c r="O302" t="n">
        <v>1</v>
      </c>
      <c r="P302" t="n">
        <v>1</v>
      </c>
      <c r="Q302" t="n">
        <v>1</v>
      </c>
      <c r="R302" s="2" t="inlineStr">
        <is>
          <t>Hällebräcka</t>
        </is>
      </c>
      <c r="S302">
        <f>HYPERLINK("https://klasma.github.io/Logging_0188/artfynd/A 1547-2022 artfynd.xlsx", "A 1547-2022")</f>
        <v/>
      </c>
      <c r="T302">
        <f>HYPERLINK("https://klasma.github.io/Logging_0188/kartor/A 1547-2022 karta.png", "A 1547-2022")</f>
        <v/>
      </c>
      <c r="V302">
        <f>HYPERLINK("https://klasma.github.io/Logging_0188/klagomål/A 1547-2022 FSC-klagomål.docx", "A 1547-2022")</f>
        <v/>
      </c>
      <c r="W302">
        <f>HYPERLINK("https://klasma.github.io/Logging_0188/klagomålsmail/A 1547-2022 FSC-klagomål mail.docx", "A 1547-2022")</f>
        <v/>
      </c>
      <c r="X302">
        <f>HYPERLINK("https://klasma.github.io/Logging_0188/tillsyn/A 1547-2022 tillsynsbegäran.docx", "A 1547-2022")</f>
        <v/>
      </c>
      <c r="Y302">
        <f>HYPERLINK("https://klasma.github.io/Logging_0188/tillsynsmail/A 1547-2022 tillsynsbegäran mail.docx", "A 1547-2022")</f>
        <v/>
      </c>
    </row>
    <row r="303" ht="15" customHeight="1">
      <c r="A303" t="inlineStr">
        <is>
          <t>A 1946-2022</t>
        </is>
      </c>
      <c r="B303" s="1" t="n">
        <v>44575</v>
      </c>
      <c r="C303" s="1" t="n">
        <v>45224</v>
      </c>
      <c r="D303" t="inlineStr">
        <is>
          <t>STOCKHOLMS LÄN</t>
        </is>
      </c>
      <c r="E303" t="inlineStr">
        <is>
          <t>SÖDERTÄLJE</t>
        </is>
      </c>
      <c r="G303" t="n">
        <v>6.7</v>
      </c>
      <c r="H303" t="n">
        <v>1</v>
      </c>
      <c r="I303" t="n">
        <v>0</v>
      </c>
      <c r="J303" t="n">
        <v>0</v>
      </c>
      <c r="K303" t="n">
        <v>0</v>
      </c>
      <c r="L303" t="n">
        <v>0</v>
      </c>
      <c r="M303" t="n">
        <v>0</v>
      </c>
      <c r="N303" t="n">
        <v>0</v>
      </c>
      <c r="O303" t="n">
        <v>0</v>
      </c>
      <c r="P303" t="n">
        <v>0</v>
      </c>
      <c r="Q303" t="n">
        <v>1</v>
      </c>
      <c r="R303" s="2" t="inlineStr">
        <is>
          <t>Större vattensalamander</t>
        </is>
      </c>
      <c r="S303">
        <f>HYPERLINK("https://klasma.github.io/Logging_0181/artfynd/A 1946-2022 artfynd.xlsx", "A 1946-2022")</f>
        <v/>
      </c>
      <c r="T303">
        <f>HYPERLINK("https://klasma.github.io/Logging_0181/kartor/A 1946-2022 karta.png", "A 1946-2022")</f>
        <v/>
      </c>
      <c r="V303">
        <f>HYPERLINK("https://klasma.github.io/Logging_0181/klagomål/A 1946-2022 FSC-klagomål.docx", "A 1946-2022")</f>
        <v/>
      </c>
      <c r="W303">
        <f>HYPERLINK("https://klasma.github.io/Logging_0181/klagomålsmail/A 1946-2022 FSC-klagomål mail.docx", "A 1946-2022")</f>
        <v/>
      </c>
      <c r="X303">
        <f>HYPERLINK("https://klasma.github.io/Logging_0181/tillsyn/A 1946-2022 tillsynsbegäran.docx", "A 1946-2022")</f>
        <v/>
      </c>
      <c r="Y303">
        <f>HYPERLINK("https://klasma.github.io/Logging_0181/tillsynsmail/A 1946-2022 tillsynsbegäran mail.docx", "A 1946-2022")</f>
        <v/>
      </c>
    </row>
    <row r="304" ht="15" customHeight="1">
      <c r="A304" t="inlineStr">
        <is>
          <t>A 2722-2022</t>
        </is>
      </c>
      <c r="B304" s="1" t="n">
        <v>44580</v>
      </c>
      <c r="C304" s="1" t="n">
        <v>45224</v>
      </c>
      <c r="D304" t="inlineStr">
        <is>
          <t>STOCKHOLMS LÄN</t>
        </is>
      </c>
      <c r="E304" t="inlineStr">
        <is>
          <t>HANINGE</t>
        </is>
      </c>
      <c r="G304" t="n">
        <v>1.5</v>
      </c>
      <c r="H304" t="n">
        <v>1</v>
      </c>
      <c r="I304" t="n">
        <v>1</v>
      </c>
      <c r="J304" t="n">
        <v>0</v>
      </c>
      <c r="K304" t="n">
        <v>0</v>
      </c>
      <c r="L304" t="n">
        <v>0</v>
      </c>
      <c r="M304" t="n">
        <v>0</v>
      </c>
      <c r="N304" t="n">
        <v>0</v>
      </c>
      <c r="O304" t="n">
        <v>0</v>
      </c>
      <c r="P304" t="n">
        <v>0</v>
      </c>
      <c r="Q304" t="n">
        <v>1</v>
      </c>
      <c r="R304" s="2" t="inlineStr">
        <is>
          <t>Grön sköldmossa</t>
        </is>
      </c>
      <c r="S304">
        <f>HYPERLINK("https://klasma.github.io/Logging_0136/artfynd/A 2722-2022 artfynd.xlsx", "A 2722-2022")</f>
        <v/>
      </c>
      <c r="T304">
        <f>HYPERLINK("https://klasma.github.io/Logging_0136/kartor/A 2722-2022 karta.png", "A 2722-2022")</f>
        <v/>
      </c>
      <c r="V304">
        <f>HYPERLINK("https://klasma.github.io/Logging_0136/klagomål/A 2722-2022 FSC-klagomål.docx", "A 2722-2022")</f>
        <v/>
      </c>
      <c r="W304">
        <f>HYPERLINK("https://klasma.github.io/Logging_0136/klagomålsmail/A 2722-2022 FSC-klagomål mail.docx", "A 2722-2022")</f>
        <v/>
      </c>
      <c r="X304">
        <f>HYPERLINK("https://klasma.github.io/Logging_0136/tillsyn/A 2722-2022 tillsynsbegäran.docx", "A 2722-2022")</f>
        <v/>
      </c>
      <c r="Y304">
        <f>HYPERLINK("https://klasma.github.io/Logging_0136/tillsynsmail/A 2722-2022 tillsynsbegäran mail.docx", "A 2722-2022")</f>
        <v/>
      </c>
    </row>
    <row r="305" ht="15" customHeight="1">
      <c r="A305" t="inlineStr">
        <is>
          <t>A 3218-2022</t>
        </is>
      </c>
      <c r="B305" s="1" t="n">
        <v>44582</v>
      </c>
      <c r="C305" s="1" t="n">
        <v>45224</v>
      </c>
      <c r="D305" t="inlineStr">
        <is>
          <t>STOCKHOLMS LÄN</t>
        </is>
      </c>
      <c r="E305" t="inlineStr">
        <is>
          <t>EKERÖ</t>
        </is>
      </c>
      <c r="G305" t="n">
        <v>1.2</v>
      </c>
      <c r="H305" t="n">
        <v>0</v>
      </c>
      <c r="I305" t="n">
        <v>0</v>
      </c>
      <c r="J305" t="n">
        <v>0</v>
      </c>
      <c r="K305" t="n">
        <v>1</v>
      </c>
      <c r="L305" t="n">
        <v>0</v>
      </c>
      <c r="M305" t="n">
        <v>0</v>
      </c>
      <c r="N305" t="n">
        <v>0</v>
      </c>
      <c r="O305" t="n">
        <v>1</v>
      </c>
      <c r="P305" t="n">
        <v>1</v>
      </c>
      <c r="Q305" t="n">
        <v>1</v>
      </c>
      <c r="R305" s="2" t="inlineStr">
        <is>
          <t>Gul lammticka</t>
        </is>
      </c>
      <c r="S305">
        <f>HYPERLINK("https://klasma.github.io/Logging_0125/artfynd/A 3218-2022 artfynd.xlsx", "A 3218-2022")</f>
        <v/>
      </c>
      <c r="T305">
        <f>HYPERLINK("https://klasma.github.io/Logging_0125/kartor/A 3218-2022 karta.png", "A 3218-2022")</f>
        <v/>
      </c>
      <c r="V305">
        <f>HYPERLINK("https://klasma.github.io/Logging_0125/klagomål/A 3218-2022 FSC-klagomål.docx", "A 3218-2022")</f>
        <v/>
      </c>
      <c r="W305">
        <f>HYPERLINK("https://klasma.github.io/Logging_0125/klagomålsmail/A 3218-2022 FSC-klagomål mail.docx", "A 3218-2022")</f>
        <v/>
      </c>
      <c r="X305">
        <f>HYPERLINK("https://klasma.github.io/Logging_0125/tillsyn/A 3218-2022 tillsynsbegäran.docx", "A 3218-2022")</f>
        <v/>
      </c>
      <c r="Y305">
        <f>HYPERLINK("https://klasma.github.io/Logging_0125/tillsynsmail/A 3218-2022 tillsynsbegäran mail.docx", "A 3218-2022")</f>
        <v/>
      </c>
    </row>
    <row r="306" ht="15" customHeight="1">
      <c r="A306" t="inlineStr">
        <is>
          <t>A 7172-2022</t>
        </is>
      </c>
      <c r="B306" s="1" t="n">
        <v>44604</v>
      </c>
      <c r="C306" s="1" t="n">
        <v>45224</v>
      </c>
      <c r="D306" t="inlineStr">
        <is>
          <t>STOCKHOLMS LÄN</t>
        </is>
      </c>
      <c r="E306" t="inlineStr">
        <is>
          <t>NORRTÄLJE</t>
        </is>
      </c>
      <c r="G306" t="n">
        <v>4.8</v>
      </c>
      <c r="H306" t="n">
        <v>0</v>
      </c>
      <c r="I306" t="n">
        <v>1</v>
      </c>
      <c r="J306" t="n">
        <v>0</v>
      </c>
      <c r="K306" t="n">
        <v>0</v>
      </c>
      <c r="L306" t="n">
        <v>0</v>
      </c>
      <c r="M306" t="n">
        <v>0</v>
      </c>
      <c r="N306" t="n">
        <v>0</v>
      </c>
      <c r="O306" t="n">
        <v>0</v>
      </c>
      <c r="P306" t="n">
        <v>0</v>
      </c>
      <c r="Q306" t="n">
        <v>1</v>
      </c>
      <c r="R306" s="2" t="inlineStr">
        <is>
          <t>Trådticka</t>
        </is>
      </c>
      <c r="S306">
        <f>HYPERLINK("https://klasma.github.io/Logging_0188/artfynd/A 7172-2022 artfynd.xlsx", "A 7172-2022")</f>
        <v/>
      </c>
      <c r="T306">
        <f>HYPERLINK("https://klasma.github.io/Logging_0188/kartor/A 7172-2022 karta.png", "A 7172-2022")</f>
        <v/>
      </c>
      <c r="U306">
        <f>HYPERLINK("https://klasma.github.io/Logging_0188/knärot/A 7172-2022 karta knärot.png", "A 7172-2022")</f>
        <v/>
      </c>
      <c r="V306">
        <f>HYPERLINK("https://klasma.github.io/Logging_0188/klagomål/A 7172-2022 FSC-klagomål.docx", "A 7172-2022")</f>
        <v/>
      </c>
      <c r="W306">
        <f>HYPERLINK("https://klasma.github.io/Logging_0188/klagomålsmail/A 7172-2022 FSC-klagomål mail.docx", "A 7172-2022")</f>
        <v/>
      </c>
      <c r="X306">
        <f>HYPERLINK("https://klasma.github.io/Logging_0188/tillsyn/A 7172-2022 tillsynsbegäran.docx", "A 7172-2022")</f>
        <v/>
      </c>
      <c r="Y306">
        <f>HYPERLINK("https://klasma.github.io/Logging_0188/tillsynsmail/A 7172-2022 tillsynsbegäran mail.docx", "A 7172-2022")</f>
        <v/>
      </c>
    </row>
    <row r="307" ht="15" customHeight="1">
      <c r="A307" t="inlineStr">
        <is>
          <t>A 7285-2022</t>
        </is>
      </c>
      <c r="B307" s="1" t="n">
        <v>44606</v>
      </c>
      <c r="C307" s="1" t="n">
        <v>45224</v>
      </c>
      <c r="D307" t="inlineStr">
        <is>
          <t>STOCKHOLMS LÄN</t>
        </is>
      </c>
      <c r="E307" t="inlineStr">
        <is>
          <t>UPPLANDS-BRO</t>
        </is>
      </c>
      <c r="F307" t="inlineStr">
        <is>
          <t>Övriga statliga verk och myndigheter</t>
        </is>
      </c>
      <c r="G307" t="n">
        <v>22.6</v>
      </c>
      <c r="H307" t="n">
        <v>0</v>
      </c>
      <c r="I307" t="n">
        <v>0</v>
      </c>
      <c r="J307" t="n">
        <v>0</v>
      </c>
      <c r="K307" t="n">
        <v>1</v>
      </c>
      <c r="L307" t="n">
        <v>0</v>
      </c>
      <c r="M307" t="n">
        <v>0</v>
      </c>
      <c r="N307" t="n">
        <v>0</v>
      </c>
      <c r="O307" t="n">
        <v>1</v>
      </c>
      <c r="P307" t="n">
        <v>1</v>
      </c>
      <c r="Q307" t="n">
        <v>1</v>
      </c>
      <c r="R307" s="2" t="inlineStr">
        <is>
          <t>Koppartaggsvamp</t>
        </is>
      </c>
      <c r="S307">
        <f>HYPERLINK("https://klasma.github.io/Logging_0139/artfynd/A 7285-2022 artfynd.xlsx", "A 7285-2022")</f>
        <v/>
      </c>
      <c r="T307">
        <f>HYPERLINK("https://klasma.github.io/Logging_0139/kartor/A 7285-2022 karta.png", "A 7285-2022")</f>
        <v/>
      </c>
      <c r="V307">
        <f>HYPERLINK("https://klasma.github.io/Logging_0139/klagomål/A 7285-2022 FSC-klagomål.docx", "A 7285-2022")</f>
        <v/>
      </c>
      <c r="W307">
        <f>HYPERLINK("https://klasma.github.io/Logging_0139/klagomålsmail/A 7285-2022 FSC-klagomål mail.docx", "A 7285-2022")</f>
        <v/>
      </c>
      <c r="X307">
        <f>HYPERLINK("https://klasma.github.io/Logging_0139/tillsyn/A 7285-2022 tillsynsbegäran.docx", "A 7285-2022")</f>
        <v/>
      </c>
      <c r="Y307">
        <f>HYPERLINK("https://klasma.github.io/Logging_0139/tillsynsmail/A 7285-2022 tillsynsbegäran mail.docx", "A 7285-2022")</f>
        <v/>
      </c>
    </row>
    <row r="308" ht="15" customHeight="1">
      <c r="A308" t="inlineStr">
        <is>
          <t>A 8285-2022</t>
        </is>
      </c>
      <c r="B308" s="1" t="n">
        <v>44610</v>
      </c>
      <c r="C308" s="1" t="n">
        <v>45224</v>
      </c>
      <c r="D308" t="inlineStr">
        <is>
          <t>STOCKHOLMS LÄN</t>
        </is>
      </c>
      <c r="E308" t="inlineStr">
        <is>
          <t>NYKVARN</t>
        </is>
      </c>
      <c r="G308" t="n">
        <v>5</v>
      </c>
      <c r="H308" t="n">
        <v>1</v>
      </c>
      <c r="I308" t="n">
        <v>0</v>
      </c>
      <c r="J308" t="n">
        <v>0</v>
      </c>
      <c r="K308" t="n">
        <v>0</v>
      </c>
      <c r="L308" t="n">
        <v>0</v>
      </c>
      <c r="M308" t="n">
        <v>0</v>
      </c>
      <c r="N308" t="n">
        <v>0</v>
      </c>
      <c r="O308" t="n">
        <v>0</v>
      </c>
      <c r="P308" t="n">
        <v>0</v>
      </c>
      <c r="Q308" t="n">
        <v>1</v>
      </c>
      <c r="R308" s="2" t="inlineStr">
        <is>
          <t>Blåsippa</t>
        </is>
      </c>
      <c r="S308">
        <f>HYPERLINK("https://klasma.github.io/Logging_0140/artfynd/A 8285-2022 artfynd.xlsx", "A 8285-2022")</f>
        <v/>
      </c>
      <c r="T308">
        <f>HYPERLINK("https://klasma.github.io/Logging_0140/kartor/A 8285-2022 karta.png", "A 8285-2022")</f>
        <v/>
      </c>
      <c r="V308">
        <f>HYPERLINK("https://klasma.github.io/Logging_0140/klagomål/A 8285-2022 FSC-klagomål.docx", "A 8285-2022")</f>
        <v/>
      </c>
      <c r="W308">
        <f>HYPERLINK("https://klasma.github.io/Logging_0140/klagomålsmail/A 8285-2022 FSC-klagomål mail.docx", "A 8285-2022")</f>
        <v/>
      </c>
      <c r="X308">
        <f>HYPERLINK("https://klasma.github.io/Logging_0140/tillsyn/A 8285-2022 tillsynsbegäran.docx", "A 8285-2022")</f>
        <v/>
      </c>
      <c r="Y308">
        <f>HYPERLINK("https://klasma.github.io/Logging_0140/tillsynsmail/A 8285-2022 tillsynsbegäran mail.docx", "A 8285-2022")</f>
        <v/>
      </c>
    </row>
    <row r="309" ht="15" customHeight="1">
      <c r="A309" t="inlineStr">
        <is>
          <t>A 8500-2022</t>
        </is>
      </c>
      <c r="B309" s="1" t="n">
        <v>44613</v>
      </c>
      <c r="C309" s="1" t="n">
        <v>45224</v>
      </c>
      <c r="D309" t="inlineStr">
        <is>
          <t>STOCKHOLMS LÄN</t>
        </is>
      </c>
      <c r="E309" t="inlineStr">
        <is>
          <t>VALLENTUNA</t>
        </is>
      </c>
      <c r="G309" t="n">
        <v>5</v>
      </c>
      <c r="H309" t="n">
        <v>0</v>
      </c>
      <c r="I309" t="n">
        <v>1</v>
      </c>
      <c r="J309" t="n">
        <v>0</v>
      </c>
      <c r="K309" t="n">
        <v>0</v>
      </c>
      <c r="L309" t="n">
        <v>0</v>
      </c>
      <c r="M309" t="n">
        <v>0</v>
      </c>
      <c r="N309" t="n">
        <v>0</v>
      </c>
      <c r="O309" t="n">
        <v>0</v>
      </c>
      <c r="P309" t="n">
        <v>0</v>
      </c>
      <c r="Q309" t="n">
        <v>1</v>
      </c>
      <c r="R309" s="2" t="inlineStr">
        <is>
          <t>Blåmossa</t>
        </is>
      </c>
      <c r="S309">
        <f>HYPERLINK("https://klasma.github.io/Logging_0115/artfynd/A 8500-2022 artfynd.xlsx", "A 8500-2022")</f>
        <v/>
      </c>
      <c r="T309">
        <f>HYPERLINK("https://klasma.github.io/Logging_0115/kartor/A 8500-2022 karta.png", "A 8500-2022")</f>
        <v/>
      </c>
      <c r="V309">
        <f>HYPERLINK("https://klasma.github.io/Logging_0115/klagomål/A 8500-2022 FSC-klagomål.docx", "A 8500-2022")</f>
        <v/>
      </c>
      <c r="W309">
        <f>HYPERLINK("https://klasma.github.io/Logging_0115/klagomålsmail/A 8500-2022 FSC-klagomål mail.docx", "A 8500-2022")</f>
        <v/>
      </c>
      <c r="X309">
        <f>HYPERLINK("https://klasma.github.io/Logging_0115/tillsyn/A 8500-2022 tillsynsbegäran.docx", "A 8500-2022")</f>
        <v/>
      </c>
      <c r="Y309">
        <f>HYPERLINK("https://klasma.github.io/Logging_0115/tillsynsmail/A 8500-2022 tillsynsbegäran mail.docx", "A 8500-2022")</f>
        <v/>
      </c>
    </row>
    <row r="310" ht="15" customHeight="1">
      <c r="A310" t="inlineStr">
        <is>
          <t>A 9445-2022</t>
        </is>
      </c>
      <c r="B310" s="1" t="n">
        <v>44616</v>
      </c>
      <c r="C310" s="1" t="n">
        <v>45224</v>
      </c>
      <c r="D310" t="inlineStr">
        <is>
          <t>STOCKHOLMS LÄN</t>
        </is>
      </c>
      <c r="E310" t="inlineStr">
        <is>
          <t>VALLENTUNA</t>
        </is>
      </c>
      <c r="G310" t="n">
        <v>10.8</v>
      </c>
      <c r="H310" t="n">
        <v>0</v>
      </c>
      <c r="I310" t="n">
        <v>1</v>
      </c>
      <c r="J310" t="n">
        <v>0</v>
      </c>
      <c r="K310" t="n">
        <v>0</v>
      </c>
      <c r="L310" t="n">
        <v>0</v>
      </c>
      <c r="M310" t="n">
        <v>0</v>
      </c>
      <c r="N310" t="n">
        <v>0</v>
      </c>
      <c r="O310" t="n">
        <v>0</v>
      </c>
      <c r="P310" t="n">
        <v>0</v>
      </c>
      <c r="Q310" t="n">
        <v>1</v>
      </c>
      <c r="R310" s="2" t="inlineStr">
        <is>
          <t>Grönpyrola</t>
        </is>
      </c>
      <c r="S310">
        <f>HYPERLINK("https://klasma.github.io/Logging_0115/artfynd/A 9445-2022 artfynd.xlsx", "A 9445-2022")</f>
        <v/>
      </c>
      <c r="T310">
        <f>HYPERLINK("https://klasma.github.io/Logging_0115/kartor/A 9445-2022 karta.png", "A 9445-2022")</f>
        <v/>
      </c>
      <c r="V310">
        <f>HYPERLINK("https://klasma.github.io/Logging_0115/klagomål/A 9445-2022 FSC-klagomål.docx", "A 9445-2022")</f>
        <v/>
      </c>
      <c r="W310">
        <f>HYPERLINK("https://klasma.github.io/Logging_0115/klagomålsmail/A 9445-2022 FSC-klagomål mail.docx", "A 9445-2022")</f>
        <v/>
      </c>
      <c r="X310">
        <f>HYPERLINK("https://klasma.github.io/Logging_0115/tillsyn/A 9445-2022 tillsynsbegäran.docx", "A 9445-2022")</f>
        <v/>
      </c>
      <c r="Y310">
        <f>HYPERLINK("https://klasma.github.io/Logging_0115/tillsynsmail/A 9445-2022 tillsynsbegäran mail.docx", "A 9445-2022")</f>
        <v/>
      </c>
    </row>
    <row r="311" ht="15" customHeight="1">
      <c r="A311" t="inlineStr">
        <is>
          <t>A 9714-2022</t>
        </is>
      </c>
      <c r="B311" s="1" t="n">
        <v>44617</v>
      </c>
      <c r="C311" s="1" t="n">
        <v>45224</v>
      </c>
      <c r="D311" t="inlineStr">
        <is>
          <t>STOCKHOLMS LÄN</t>
        </is>
      </c>
      <c r="E311" t="inlineStr">
        <is>
          <t>NYKVARN</t>
        </is>
      </c>
      <c r="G311" t="n">
        <v>0.5</v>
      </c>
      <c r="H311" t="n">
        <v>0</v>
      </c>
      <c r="I311" t="n">
        <v>1</v>
      </c>
      <c r="J311" t="n">
        <v>0</v>
      </c>
      <c r="K311" t="n">
        <v>0</v>
      </c>
      <c r="L311" t="n">
        <v>0</v>
      </c>
      <c r="M311" t="n">
        <v>0</v>
      </c>
      <c r="N311" t="n">
        <v>0</v>
      </c>
      <c r="O311" t="n">
        <v>0</v>
      </c>
      <c r="P311" t="n">
        <v>0</v>
      </c>
      <c r="Q311" t="n">
        <v>1</v>
      </c>
      <c r="R311" s="2" t="inlineStr">
        <is>
          <t>Jättesvampmal</t>
        </is>
      </c>
      <c r="S311">
        <f>HYPERLINK("https://klasma.github.io/Logging_0140/artfynd/A 9714-2022 artfynd.xlsx", "A 9714-2022")</f>
        <v/>
      </c>
      <c r="T311">
        <f>HYPERLINK("https://klasma.github.io/Logging_0140/kartor/A 9714-2022 karta.png", "A 9714-2022")</f>
        <v/>
      </c>
      <c r="V311">
        <f>HYPERLINK("https://klasma.github.io/Logging_0140/klagomål/A 9714-2022 FSC-klagomål.docx", "A 9714-2022")</f>
        <v/>
      </c>
      <c r="W311">
        <f>HYPERLINK("https://klasma.github.io/Logging_0140/klagomålsmail/A 9714-2022 FSC-klagomål mail.docx", "A 9714-2022")</f>
        <v/>
      </c>
      <c r="X311">
        <f>HYPERLINK("https://klasma.github.io/Logging_0140/tillsyn/A 9714-2022 tillsynsbegäran.docx", "A 9714-2022")</f>
        <v/>
      </c>
      <c r="Y311">
        <f>HYPERLINK("https://klasma.github.io/Logging_0140/tillsynsmail/A 9714-2022 tillsynsbegäran mail.docx", "A 9714-2022")</f>
        <v/>
      </c>
    </row>
    <row r="312" ht="15" customHeight="1">
      <c r="A312" t="inlineStr">
        <is>
          <t>A 9747-2022</t>
        </is>
      </c>
      <c r="B312" s="1" t="n">
        <v>44618</v>
      </c>
      <c r="C312" s="1" t="n">
        <v>45224</v>
      </c>
      <c r="D312" t="inlineStr">
        <is>
          <t>STOCKHOLMS LÄN</t>
        </is>
      </c>
      <c r="E312" t="inlineStr">
        <is>
          <t>VALLENTUNA</t>
        </is>
      </c>
      <c r="G312" t="n">
        <v>5.7</v>
      </c>
      <c r="H312" t="n">
        <v>0</v>
      </c>
      <c r="I312" t="n">
        <v>0</v>
      </c>
      <c r="J312" t="n">
        <v>0</v>
      </c>
      <c r="K312" t="n">
        <v>1</v>
      </c>
      <c r="L312" t="n">
        <v>0</v>
      </c>
      <c r="M312" t="n">
        <v>0</v>
      </c>
      <c r="N312" t="n">
        <v>0</v>
      </c>
      <c r="O312" t="n">
        <v>1</v>
      </c>
      <c r="P312" t="n">
        <v>1</v>
      </c>
      <c r="Q312" t="n">
        <v>1</v>
      </c>
      <c r="R312" s="2" t="inlineStr">
        <is>
          <t>Violgubbe</t>
        </is>
      </c>
      <c r="S312">
        <f>HYPERLINK("https://klasma.github.io/Logging_0115/artfynd/A 9747-2022 artfynd.xlsx", "A 9747-2022")</f>
        <v/>
      </c>
      <c r="T312">
        <f>HYPERLINK("https://klasma.github.io/Logging_0115/kartor/A 9747-2022 karta.png", "A 9747-2022")</f>
        <v/>
      </c>
      <c r="V312">
        <f>HYPERLINK("https://klasma.github.io/Logging_0115/klagomål/A 9747-2022 FSC-klagomål.docx", "A 9747-2022")</f>
        <v/>
      </c>
      <c r="W312">
        <f>HYPERLINK("https://klasma.github.io/Logging_0115/klagomålsmail/A 9747-2022 FSC-klagomål mail.docx", "A 9747-2022")</f>
        <v/>
      </c>
      <c r="X312">
        <f>HYPERLINK("https://klasma.github.io/Logging_0115/tillsyn/A 9747-2022 tillsynsbegäran.docx", "A 9747-2022")</f>
        <v/>
      </c>
      <c r="Y312">
        <f>HYPERLINK("https://klasma.github.io/Logging_0115/tillsynsmail/A 9747-2022 tillsynsbegäran mail.docx", "A 9747-2022")</f>
        <v/>
      </c>
    </row>
    <row r="313" ht="15" customHeight="1">
      <c r="A313" t="inlineStr">
        <is>
          <t>A 9955-2022</t>
        </is>
      </c>
      <c r="B313" s="1" t="n">
        <v>44620</v>
      </c>
      <c r="C313" s="1" t="n">
        <v>45224</v>
      </c>
      <c r="D313" t="inlineStr">
        <is>
          <t>STOCKHOLMS LÄN</t>
        </is>
      </c>
      <c r="E313" t="inlineStr">
        <is>
          <t>NORRTÄLJE</t>
        </is>
      </c>
      <c r="G313" t="n">
        <v>7.8</v>
      </c>
      <c r="H313" t="n">
        <v>1</v>
      </c>
      <c r="I313" t="n">
        <v>0</v>
      </c>
      <c r="J313" t="n">
        <v>0</v>
      </c>
      <c r="K313" t="n">
        <v>0</v>
      </c>
      <c r="L313" t="n">
        <v>0</v>
      </c>
      <c r="M313" t="n">
        <v>0</v>
      </c>
      <c r="N313" t="n">
        <v>0</v>
      </c>
      <c r="O313" t="n">
        <v>0</v>
      </c>
      <c r="P313" t="n">
        <v>0</v>
      </c>
      <c r="Q313" t="n">
        <v>1</v>
      </c>
      <c r="R313" s="2" t="inlineStr">
        <is>
          <t>Åkergroda</t>
        </is>
      </c>
      <c r="S313">
        <f>HYPERLINK("https://klasma.github.io/Logging_0188/artfynd/A 9955-2022 artfynd.xlsx", "A 9955-2022")</f>
        <v/>
      </c>
      <c r="T313">
        <f>HYPERLINK("https://klasma.github.io/Logging_0188/kartor/A 9955-2022 karta.png", "A 9955-2022")</f>
        <v/>
      </c>
      <c r="V313">
        <f>HYPERLINK("https://klasma.github.io/Logging_0188/klagomål/A 9955-2022 FSC-klagomål.docx", "A 9955-2022")</f>
        <v/>
      </c>
      <c r="W313">
        <f>HYPERLINK("https://klasma.github.io/Logging_0188/klagomålsmail/A 9955-2022 FSC-klagomål mail.docx", "A 9955-2022")</f>
        <v/>
      </c>
      <c r="X313">
        <f>HYPERLINK("https://klasma.github.io/Logging_0188/tillsyn/A 9955-2022 tillsynsbegäran.docx", "A 9955-2022")</f>
        <v/>
      </c>
      <c r="Y313">
        <f>HYPERLINK("https://klasma.github.io/Logging_0188/tillsynsmail/A 9955-2022 tillsynsbegäran mail.docx", "A 9955-2022")</f>
        <v/>
      </c>
    </row>
    <row r="314" ht="15" customHeight="1">
      <c r="A314" t="inlineStr">
        <is>
          <t>A 10469-2022</t>
        </is>
      </c>
      <c r="B314" s="1" t="n">
        <v>44623</v>
      </c>
      <c r="C314" s="1" t="n">
        <v>45224</v>
      </c>
      <c r="D314" t="inlineStr">
        <is>
          <t>STOCKHOLMS LÄN</t>
        </is>
      </c>
      <c r="E314" t="inlineStr">
        <is>
          <t>BOTKYRKA</t>
        </is>
      </c>
      <c r="G314" t="n">
        <v>2.4</v>
      </c>
      <c r="H314" t="n">
        <v>0</v>
      </c>
      <c r="I314" t="n">
        <v>1</v>
      </c>
      <c r="J314" t="n">
        <v>0</v>
      </c>
      <c r="K314" t="n">
        <v>0</v>
      </c>
      <c r="L314" t="n">
        <v>0</v>
      </c>
      <c r="M314" t="n">
        <v>0</v>
      </c>
      <c r="N314" t="n">
        <v>0</v>
      </c>
      <c r="O314" t="n">
        <v>0</v>
      </c>
      <c r="P314" t="n">
        <v>0</v>
      </c>
      <c r="Q314" t="n">
        <v>1</v>
      </c>
      <c r="R314" s="2" t="inlineStr">
        <is>
          <t>Tibast</t>
        </is>
      </c>
      <c r="S314">
        <f>HYPERLINK("https://klasma.github.io/Logging_0127/artfynd/A 10469-2022 artfynd.xlsx", "A 10469-2022")</f>
        <v/>
      </c>
      <c r="T314">
        <f>HYPERLINK("https://klasma.github.io/Logging_0127/kartor/A 10469-2022 karta.png", "A 10469-2022")</f>
        <v/>
      </c>
      <c r="V314">
        <f>HYPERLINK("https://klasma.github.io/Logging_0127/klagomål/A 10469-2022 FSC-klagomål.docx", "A 10469-2022")</f>
        <v/>
      </c>
      <c r="W314">
        <f>HYPERLINK("https://klasma.github.io/Logging_0127/klagomålsmail/A 10469-2022 FSC-klagomål mail.docx", "A 10469-2022")</f>
        <v/>
      </c>
      <c r="X314">
        <f>HYPERLINK("https://klasma.github.io/Logging_0127/tillsyn/A 10469-2022 tillsynsbegäran.docx", "A 10469-2022")</f>
        <v/>
      </c>
      <c r="Y314">
        <f>HYPERLINK("https://klasma.github.io/Logging_0127/tillsynsmail/A 10469-2022 tillsynsbegäran mail.docx", "A 10469-2022")</f>
        <v/>
      </c>
    </row>
    <row r="315" ht="15" customHeight="1">
      <c r="A315" t="inlineStr">
        <is>
          <t>A 10712-2022</t>
        </is>
      </c>
      <c r="B315" s="1" t="n">
        <v>44626</v>
      </c>
      <c r="C315" s="1" t="n">
        <v>45224</v>
      </c>
      <c r="D315" t="inlineStr">
        <is>
          <t>STOCKHOLMS LÄN</t>
        </is>
      </c>
      <c r="E315" t="inlineStr">
        <is>
          <t>NORRTÄLJE</t>
        </is>
      </c>
      <c r="G315" t="n">
        <v>4.5</v>
      </c>
      <c r="H315" t="n">
        <v>1</v>
      </c>
      <c r="I315" t="n">
        <v>0</v>
      </c>
      <c r="J315" t="n">
        <v>0</v>
      </c>
      <c r="K315" t="n">
        <v>0</v>
      </c>
      <c r="L315" t="n">
        <v>0</v>
      </c>
      <c r="M315" t="n">
        <v>0</v>
      </c>
      <c r="N315" t="n">
        <v>0</v>
      </c>
      <c r="O315" t="n">
        <v>0</v>
      </c>
      <c r="P315" t="n">
        <v>0</v>
      </c>
      <c r="Q315" t="n">
        <v>1</v>
      </c>
      <c r="R315" s="2" t="inlineStr">
        <is>
          <t>Åkergroda</t>
        </is>
      </c>
      <c r="S315">
        <f>HYPERLINK("https://klasma.github.io/Logging_0188/artfynd/A 10712-2022 artfynd.xlsx", "A 10712-2022")</f>
        <v/>
      </c>
      <c r="T315">
        <f>HYPERLINK("https://klasma.github.io/Logging_0188/kartor/A 10712-2022 karta.png", "A 10712-2022")</f>
        <v/>
      </c>
      <c r="V315">
        <f>HYPERLINK("https://klasma.github.io/Logging_0188/klagomål/A 10712-2022 FSC-klagomål.docx", "A 10712-2022")</f>
        <v/>
      </c>
      <c r="W315">
        <f>HYPERLINK("https://klasma.github.io/Logging_0188/klagomålsmail/A 10712-2022 FSC-klagomål mail.docx", "A 10712-2022")</f>
        <v/>
      </c>
      <c r="X315">
        <f>HYPERLINK("https://klasma.github.io/Logging_0188/tillsyn/A 10712-2022 tillsynsbegäran.docx", "A 10712-2022")</f>
        <v/>
      </c>
      <c r="Y315">
        <f>HYPERLINK("https://klasma.github.io/Logging_0188/tillsynsmail/A 10712-2022 tillsynsbegäran mail.docx", "A 10712-2022")</f>
        <v/>
      </c>
    </row>
    <row r="316" ht="15" customHeight="1">
      <c r="A316" t="inlineStr">
        <is>
          <t>A 12215-2022</t>
        </is>
      </c>
      <c r="B316" s="1" t="n">
        <v>44637</v>
      </c>
      <c r="C316" s="1" t="n">
        <v>45224</v>
      </c>
      <c r="D316" t="inlineStr">
        <is>
          <t>STOCKHOLMS LÄN</t>
        </is>
      </c>
      <c r="E316" t="inlineStr">
        <is>
          <t>NORRTÄLJE</t>
        </is>
      </c>
      <c r="G316" t="n">
        <v>3.1</v>
      </c>
      <c r="H316" t="n">
        <v>1</v>
      </c>
      <c r="I316" t="n">
        <v>1</v>
      </c>
      <c r="J316" t="n">
        <v>0</v>
      </c>
      <c r="K316" t="n">
        <v>0</v>
      </c>
      <c r="L316" t="n">
        <v>0</v>
      </c>
      <c r="M316" t="n">
        <v>0</v>
      </c>
      <c r="N316" t="n">
        <v>0</v>
      </c>
      <c r="O316" t="n">
        <v>0</v>
      </c>
      <c r="P316" t="n">
        <v>0</v>
      </c>
      <c r="Q316" t="n">
        <v>1</v>
      </c>
      <c r="R316" s="2" t="inlineStr">
        <is>
          <t>Guckusko</t>
        </is>
      </c>
      <c r="S316">
        <f>HYPERLINK("https://klasma.github.io/Logging_0188/artfynd/A 12215-2022 artfynd.xlsx", "A 12215-2022")</f>
        <v/>
      </c>
      <c r="T316">
        <f>HYPERLINK("https://klasma.github.io/Logging_0188/kartor/A 12215-2022 karta.png", "A 12215-2022")</f>
        <v/>
      </c>
      <c r="V316">
        <f>HYPERLINK("https://klasma.github.io/Logging_0188/klagomål/A 12215-2022 FSC-klagomål.docx", "A 12215-2022")</f>
        <v/>
      </c>
      <c r="W316">
        <f>HYPERLINK("https://klasma.github.io/Logging_0188/klagomålsmail/A 12215-2022 FSC-klagomål mail.docx", "A 12215-2022")</f>
        <v/>
      </c>
      <c r="X316">
        <f>HYPERLINK("https://klasma.github.io/Logging_0188/tillsyn/A 12215-2022 tillsynsbegäran.docx", "A 12215-2022")</f>
        <v/>
      </c>
      <c r="Y316">
        <f>HYPERLINK("https://klasma.github.io/Logging_0188/tillsynsmail/A 12215-2022 tillsynsbegäran mail.docx", "A 12215-2022")</f>
        <v/>
      </c>
    </row>
    <row r="317" ht="15" customHeight="1">
      <c r="A317" t="inlineStr">
        <is>
          <t>A 13891-2022</t>
        </is>
      </c>
      <c r="B317" s="1" t="n">
        <v>44646</v>
      </c>
      <c r="C317" s="1" t="n">
        <v>45224</v>
      </c>
      <c r="D317" t="inlineStr">
        <is>
          <t>STOCKHOLMS LÄN</t>
        </is>
      </c>
      <c r="E317" t="inlineStr">
        <is>
          <t>EKERÖ</t>
        </is>
      </c>
      <c r="G317" t="n">
        <v>2.3</v>
      </c>
      <c r="H317" t="n">
        <v>0</v>
      </c>
      <c r="I317" t="n">
        <v>1</v>
      </c>
      <c r="J317" t="n">
        <v>0</v>
      </c>
      <c r="K317" t="n">
        <v>0</v>
      </c>
      <c r="L317" t="n">
        <v>0</v>
      </c>
      <c r="M317" t="n">
        <v>0</v>
      </c>
      <c r="N317" t="n">
        <v>0</v>
      </c>
      <c r="O317" t="n">
        <v>0</v>
      </c>
      <c r="P317" t="n">
        <v>0</v>
      </c>
      <c r="Q317" t="n">
        <v>1</v>
      </c>
      <c r="R317" s="2" t="inlineStr">
        <is>
          <t>Granbarkgnagare</t>
        </is>
      </c>
      <c r="S317">
        <f>HYPERLINK("https://klasma.github.io/Logging_0125/artfynd/A 13891-2022 artfynd.xlsx", "A 13891-2022")</f>
        <v/>
      </c>
      <c r="T317">
        <f>HYPERLINK("https://klasma.github.io/Logging_0125/kartor/A 13891-2022 karta.png", "A 13891-2022")</f>
        <v/>
      </c>
      <c r="V317">
        <f>HYPERLINK("https://klasma.github.io/Logging_0125/klagomål/A 13891-2022 FSC-klagomål.docx", "A 13891-2022")</f>
        <v/>
      </c>
      <c r="W317">
        <f>HYPERLINK("https://klasma.github.io/Logging_0125/klagomålsmail/A 13891-2022 FSC-klagomål mail.docx", "A 13891-2022")</f>
        <v/>
      </c>
      <c r="X317">
        <f>HYPERLINK("https://klasma.github.io/Logging_0125/tillsyn/A 13891-2022 tillsynsbegäran.docx", "A 13891-2022")</f>
        <v/>
      </c>
      <c r="Y317">
        <f>HYPERLINK("https://klasma.github.io/Logging_0125/tillsynsmail/A 13891-2022 tillsynsbegäran mail.docx", "A 13891-2022")</f>
        <v/>
      </c>
    </row>
    <row r="318" ht="15" customHeight="1">
      <c r="A318" t="inlineStr">
        <is>
          <t>A 14720-2022</t>
        </is>
      </c>
      <c r="B318" s="1" t="n">
        <v>44656</v>
      </c>
      <c r="C318" s="1" t="n">
        <v>45224</v>
      </c>
      <c r="D318" t="inlineStr">
        <is>
          <t>STOCKHOLMS LÄN</t>
        </is>
      </c>
      <c r="E318" t="inlineStr">
        <is>
          <t>NORRTÄLJE</t>
        </is>
      </c>
      <c r="F318" t="inlineStr">
        <is>
          <t>Sveaskog</t>
        </is>
      </c>
      <c r="G318" t="n">
        <v>5.1</v>
      </c>
      <c r="H318" t="n">
        <v>0</v>
      </c>
      <c r="I318" t="n">
        <v>0</v>
      </c>
      <c r="J318" t="n">
        <v>1</v>
      </c>
      <c r="K318" t="n">
        <v>0</v>
      </c>
      <c r="L318" t="n">
        <v>0</v>
      </c>
      <c r="M318" t="n">
        <v>0</v>
      </c>
      <c r="N318" t="n">
        <v>0</v>
      </c>
      <c r="O318" t="n">
        <v>1</v>
      </c>
      <c r="P318" t="n">
        <v>0</v>
      </c>
      <c r="Q318" t="n">
        <v>1</v>
      </c>
      <c r="R318" s="2" t="inlineStr">
        <is>
          <t>Loppstarr</t>
        </is>
      </c>
      <c r="S318">
        <f>HYPERLINK("https://klasma.github.io/Logging_0188/artfynd/A 14720-2022 artfynd.xlsx", "A 14720-2022")</f>
        <v/>
      </c>
      <c r="T318">
        <f>HYPERLINK("https://klasma.github.io/Logging_0188/kartor/A 14720-2022 karta.png", "A 14720-2022")</f>
        <v/>
      </c>
      <c r="V318">
        <f>HYPERLINK("https://klasma.github.io/Logging_0188/klagomål/A 14720-2022 FSC-klagomål.docx", "A 14720-2022")</f>
        <v/>
      </c>
      <c r="W318">
        <f>HYPERLINK("https://klasma.github.io/Logging_0188/klagomålsmail/A 14720-2022 FSC-klagomål mail.docx", "A 14720-2022")</f>
        <v/>
      </c>
      <c r="X318">
        <f>HYPERLINK("https://klasma.github.io/Logging_0188/tillsyn/A 14720-2022 tillsynsbegäran.docx", "A 14720-2022")</f>
        <v/>
      </c>
      <c r="Y318">
        <f>HYPERLINK("https://klasma.github.io/Logging_0188/tillsynsmail/A 14720-2022 tillsynsbegäran mail.docx", "A 14720-2022")</f>
        <v/>
      </c>
    </row>
    <row r="319" ht="15" customHeight="1">
      <c r="A319" t="inlineStr">
        <is>
          <t>A 16309-2022</t>
        </is>
      </c>
      <c r="B319" s="1" t="n">
        <v>44670</v>
      </c>
      <c r="C319" s="1" t="n">
        <v>45224</v>
      </c>
      <c r="D319" t="inlineStr">
        <is>
          <t>STOCKHOLMS LÄN</t>
        </is>
      </c>
      <c r="E319" t="inlineStr">
        <is>
          <t>NYNÄSHAMN</t>
        </is>
      </c>
      <c r="G319" t="n">
        <v>7.7</v>
      </c>
      <c r="H319" t="n">
        <v>1</v>
      </c>
      <c r="I319" t="n">
        <v>0</v>
      </c>
      <c r="J319" t="n">
        <v>0</v>
      </c>
      <c r="K319" t="n">
        <v>0</v>
      </c>
      <c r="L319" t="n">
        <v>0</v>
      </c>
      <c r="M319" t="n">
        <v>0</v>
      </c>
      <c r="N319" t="n">
        <v>0</v>
      </c>
      <c r="O319" t="n">
        <v>0</v>
      </c>
      <c r="P319" t="n">
        <v>0</v>
      </c>
      <c r="Q319" t="n">
        <v>1</v>
      </c>
      <c r="R319" s="2" t="inlineStr">
        <is>
          <t>Blåsippa</t>
        </is>
      </c>
      <c r="S319">
        <f>HYPERLINK("https://klasma.github.io/Logging_0192/artfynd/A 16309-2022 artfynd.xlsx", "A 16309-2022")</f>
        <v/>
      </c>
      <c r="T319">
        <f>HYPERLINK("https://klasma.github.io/Logging_0192/kartor/A 16309-2022 karta.png", "A 16309-2022")</f>
        <v/>
      </c>
      <c r="V319">
        <f>HYPERLINK("https://klasma.github.io/Logging_0192/klagomål/A 16309-2022 FSC-klagomål.docx", "A 16309-2022")</f>
        <v/>
      </c>
      <c r="W319">
        <f>HYPERLINK("https://klasma.github.io/Logging_0192/klagomålsmail/A 16309-2022 FSC-klagomål mail.docx", "A 16309-2022")</f>
        <v/>
      </c>
      <c r="X319">
        <f>HYPERLINK("https://klasma.github.io/Logging_0192/tillsyn/A 16309-2022 tillsynsbegäran.docx", "A 16309-2022")</f>
        <v/>
      </c>
      <c r="Y319">
        <f>HYPERLINK("https://klasma.github.io/Logging_0192/tillsynsmail/A 16309-2022 tillsynsbegäran mail.docx", "A 16309-2022")</f>
        <v/>
      </c>
    </row>
    <row r="320" ht="15" customHeight="1">
      <c r="A320" t="inlineStr">
        <is>
          <t>A 16539-2022</t>
        </is>
      </c>
      <c r="B320" s="1" t="n">
        <v>44672</v>
      </c>
      <c r="C320" s="1" t="n">
        <v>45224</v>
      </c>
      <c r="D320" t="inlineStr">
        <is>
          <t>STOCKHOLMS LÄN</t>
        </is>
      </c>
      <c r="E320" t="inlineStr">
        <is>
          <t>NORRTÄLJE</t>
        </is>
      </c>
      <c r="G320" t="n">
        <v>8.6</v>
      </c>
      <c r="H320" t="n">
        <v>1</v>
      </c>
      <c r="I320" t="n">
        <v>1</v>
      </c>
      <c r="J320" t="n">
        <v>0</v>
      </c>
      <c r="K320" t="n">
        <v>0</v>
      </c>
      <c r="L320" t="n">
        <v>0</v>
      </c>
      <c r="M320" t="n">
        <v>0</v>
      </c>
      <c r="N320" t="n">
        <v>0</v>
      </c>
      <c r="O320" t="n">
        <v>0</v>
      </c>
      <c r="P320" t="n">
        <v>0</v>
      </c>
      <c r="Q320" t="n">
        <v>1</v>
      </c>
      <c r="R320" s="2" t="inlineStr">
        <is>
          <t>Nästrot</t>
        </is>
      </c>
      <c r="S320">
        <f>HYPERLINK("https://klasma.github.io/Logging_0188/artfynd/A 16539-2022 artfynd.xlsx", "A 16539-2022")</f>
        <v/>
      </c>
      <c r="T320">
        <f>HYPERLINK("https://klasma.github.io/Logging_0188/kartor/A 16539-2022 karta.png", "A 16539-2022")</f>
        <v/>
      </c>
      <c r="V320">
        <f>HYPERLINK("https://klasma.github.io/Logging_0188/klagomål/A 16539-2022 FSC-klagomål.docx", "A 16539-2022")</f>
        <v/>
      </c>
      <c r="W320">
        <f>HYPERLINK("https://klasma.github.io/Logging_0188/klagomålsmail/A 16539-2022 FSC-klagomål mail.docx", "A 16539-2022")</f>
        <v/>
      </c>
      <c r="X320">
        <f>HYPERLINK("https://klasma.github.io/Logging_0188/tillsyn/A 16539-2022 tillsynsbegäran.docx", "A 16539-2022")</f>
        <v/>
      </c>
      <c r="Y320">
        <f>HYPERLINK("https://klasma.github.io/Logging_0188/tillsynsmail/A 16539-2022 tillsynsbegäran mail.docx", "A 16539-2022")</f>
        <v/>
      </c>
    </row>
    <row r="321" ht="15" customHeight="1">
      <c r="A321" t="inlineStr">
        <is>
          <t>A 18100-2022</t>
        </is>
      </c>
      <c r="B321" s="1" t="n">
        <v>44684</v>
      </c>
      <c r="C321" s="1" t="n">
        <v>45224</v>
      </c>
      <c r="D321" t="inlineStr">
        <is>
          <t>STOCKHOLMS LÄN</t>
        </is>
      </c>
      <c r="E321" t="inlineStr">
        <is>
          <t>BOTKYRKA</t>
        </is>
      </c>
      <c r="G321" t="n">
        <v>3.1</v>
      </c>
      <c r="H321" t="n">
        <v>1</v>
      </c>
      <c r="I321" t="n">
        <v>0</v>
      </c>
      <c r="J321" t="n">
        <v>0</v>
      </c>
      <c r="K321" t="n">
        <v>0</v>
      </c>
      <c r="L321" t="n">
        <v>0</v>
      </c>
      <c r="M321" t="n">
        <v>0</v>
      </c>
      <c r="N321" t="n">
        <v>0</v>
      </c>
      <c r="O321" t="n">
        <v>0</v>
      </c>
      <c r="P321" t="n">
        <v>0</v>
      </c>
      <c r="Q321" t="n">
        <v>1</v>
      </c>
      <c r="R321" s="2" t="inlineStr">
        <is>
          <t>Gullviva</t>
        </is>
      </c>
      <c r="S321">
        <f>HYPERLINK("https://klasma.github.io/Logging_0127/artfynd/A 18100-2022 artfynd.xlsx", "A 18100-2022")</f>
        <v/>
      </c>
      <c r="T321">
        <f>HYPERLINK("https://klasma.github.io/Logging_0127/kartor/A 18100-2022 karta.png", "A 18100-2022")</f>
        <v/>
      </c>
      <c r="V321">
        <f>HYPERLINK("https://klasma.github.io/Logging_0127/klagomål/A 18100-2022 FSC-klagomål.docx", "A 18100-2022")</f>
        <v/>
      </c>
      <c r="W321">
        <f>HYPERLINK("https://klasma.github.io/Logging_0127/klagomålsmail/A 18100-2022 FSC-klagomål mail.docx", "A 18100-2022")</f>
        <v/>
      </c>
      <c r="X321">
        <f>HYPERLINK("https://klasma.github.io/Logging_0127/tillsyn/A 18100-2022 tillsynsbegäran.docx", "A 18100-2022")</f>
        <v/>
      </c>
      <c r="Y321">
        <f>HYPERLINK("https://klasma.github.io/Logging_0127/tillsynsmail/A 18100-2022 tillsynsbegäran mail.docx", "A 18100-2022")</f>
        <v/>
      </c>
    </row>
    <row r="322" ht="15" customHeight="1">
      <c r="A322" t="inlineStr">
        <is>
          <t>A 20456-2022</t>
        </is>
      </c>
      <c r="B322" s="1" t="n">
        <v>44699</v>
      </c>
      <c r="C322" s="1" t="n">
        <v>45224</v>
      </c>
      <c r="D322" t="inlineStr">
        <is>
          <t>STOCKHOLMS LÄN</t>
        </is>
      </c>
      <c r="E322" t="inlineStr">
        <is>
          <t>NYKVARN</t>
        </is>
      </c>
      <c r="F322" t="inlineStr">
        <is>
          <t>Allmännings- och besparingsskogar</t>
        </is>
      </c>
      <c r="G322" t="n">
        <v>15.4</v>
      </c>
      <c r="H322" t="n">
        <v>0</v>
      </c>
      <c r="I322" t="n">
        <v>1</v>
      </c>
      <c r="J322" t="n">
        <v>0</v>
      </c>
      <c r="K322" t="n">
        <v>0</v>
      </c>
      <c r="L322" t="n">
        <v>0</v>
      </c>
      <c r="M322" t="n">
        <v>0</v>
      </c>
      <c r="N322" t="n">
        <v>0</v>
      </c>
      <c r="O322" t="n">
        <v>0</v>
      </c>
      <c r="P322" t="n">
        <v>0</v>
      </c>
      <c r="Q322" t="n">
        <v>1</v>
      </c>
      <c r="R322" s="2" t="inlineStr">
        <is>
          <t>Grönpyrola</t>
        </is>
      </c>
      <c r="S322">
        <f>HYPERLINK("https://klasma.github.io/Logging_0140/artfynd/A 20456-2022 artfynd.xlsx", "A 20456-2022")</f>
        <v/>
      </c>
      <c r="T322">
        <f>HYPERLINK("https://klasma.github.io/Logging_0140/kartor/A 20456-2022 karta.png", "A 20456-2022")</f>
        <v/>
      </c>
      <c r="V322">
        <f>HYPERLINK("https://klasma.github.io/Logging_0140/klagomål/A 20456-2022 FSC-klagomål.docx", "A 20456-2022")</f>
        <v/>
      </c>
      <c r="W322">
        <f>HYPERLINK("https://klasma.github.io/Logging_0140/klagomålsmail/A 20456-2022 FSC-klagomål mail.docx", "A 20456-2022")</f>
        <v/>
      </c>
      <c r="X322">
        <f>HYPERLINK("https://klasma.github.io/Logging_0140/tillsyn/A 20456-2022 tillsynsbegäran.docx", "A 20456-2022")</f>
        <v/>
      </c>
      <c r="Y322">
        <f>HYPERLINK("https://klasma.github.io/Logging_0140/tillsynsmail/A 20456-2022 tillsynsbegäran mail.docx", "A 20456-2022")</f>
        <v/>
      </c>
    </row>
    <row r="323" ht="15" customHeight="1">
      <c r="A323" t="inlineStr">
        <is>
          <t>A 21150-2022</t>
        </is>
      </c>
      <c r="B323" s="1" t="n">
        <v>44704</v>
      </c>
      <c r="C323" s="1" t="n">
        <v>45224</v>
      </c>
      <c r="D323" t="inlineStr">
        <is>
          <t>STOCKHOLMS LÄN</t>
        </is>
      </c>
      <c r="E323" t="inlineStr">
        <is>
          <t>NORRTÄLJE</t>
        </is>
      </c>
      <c r="G323" t="n">
        <v>12.5</v>
      </c>
      <c r="H323" t="n">
        <v>1</v>
      </c>
      <c r="I323" t="n">
        <v>0</v>
      </c>
      <c r="J323" t="n">
        <v>0</v>
      </c>
      <c r="K323" t="n">
        <v>0</v>
      </c>
      <c r="L323" t="n">
        <v>1</v>
      </c>
      <c r="M323" t="n">
        <v>0</v>
      </c>
      <c r="N323" t="n">
        <v>0</v>
      </c>
      <c r="O323" t="n">
        <v>1</v>
      </c>
      <c r="P323" t="n">
        <v>1</v>
      </c>
      <c r="Q323" t="n">
        <v>1</v>
      </c>
      <c r="R323" s="2" t="inlineStr">
        <is>
          <t>Asknätfjäril</t>
        </is>
      </c>
      <c r="S323">
        <f>HYPERLINK("https://klasma.github.io/Logging_0188/artfynd/A 21150-2022 artfynd.xlsx", "A 21150-2022")</f>
        <v/>
      </c>
      <c r="T323">
        <f>HYPERLINK("https://klasma.github.io/Logging_0188/kartor/A 21150-2022 karta.png", "A 21150-2022")</f>
        <v/>
      </c>
      <c r="V323">
        <f>HYPERLINK("https://klasma.github.io/Logging_0188/klagomål/A 21150-2022 FSC-klagomål.docx", "A 21150-2022")</f>
        <v/>
      </c>
      <c r="W323">
        <f>HYPERLINK("https://klasma.github.io/Logging_0188/klagomålsmail/A 21150-2022 FSC-klagomål mail.docx", "A 21150-2022")</f>
        <v/>
      </c>
      <c r="X323">
        <f>HYPERLINK("https://klasma.github.io/Logging_0188/tillsyn/A 21150-2022 tillsynsbegäran.docx", "A 21150-2022")</f>
        <v/>
      </c>
      <c r="Y323">
        <f>HYPERLINK("https://klasma.github.io/Logging_0188/tillsynsmail/A 21150-2022 tillsynsbegäran mail.docx", "A 21150-2022")</f>
        <v/>
      </c>
    </row>
    <row r="324" ht="15" customHeight="1">
      <c r="A324" t="inlineStr">
        <is>
          <t>A 22172-2022</t>
        </is>
      </c>
      <c r="B324" s="1" t="n">
        <v>44712</v>
      </c>
      <c r="C324" s="1" t="n">
        <v>45224</v>
      </c>
      <c r="D324" t="inlineStr">
        <is>
          <t>STOCKHOLMS LÄN</t>
        </is>
      </c>
      <c r="E324" t="inlineStr">
        <is>
          <t>ÖSTERÅKER</t>
        </is>
      </c>
      <c r="G324" t="n">
        <v>3.7</v>
      </c>
      <c r="H324" t="n">
        <v>1</v>
      </c>
      <c r="I324" t="n">
        <v>0</v>
      </c>
      <c r="J324" t="n">
        <v>1</v>
      </c>
      <c r="K324" t="n">
        <v>0</v>
      </c>
      <c r="L324" t="n">
        <v>0</v>
      </c>
      <c r="M324" t="n">
        <v>0</v>
      </c>
      <c r="N324" t="n">
        <v>0</v>
      </c>
      <c r="O324" t="n">
        <v>1</v>
      </c>
      <c r="P324" t="n">
        <v>0</v>
      </c>
      <c r="Q324" t="n">
        <v>1</v>
      </c>
      <c r="R324" s="2" t="inlineStr">
        <is>
          <t>Kråka</t>
        </is>
      </c>
      <c r="S324">
        <f>HYPERLINK("https://klasma.github.io/Logging_0117/artfynd/A 22172-2022 artfynd.xlsx", "A 22172-2022")</f>
        <v/>
      </c>
      <c r="T324">
        <f>HYPERLINK("https://klasma.github.io/Logging_0117/kartor/A 22172-2022 karta.png", "A 22172-2022")</f>
        <v/>
      </c>
      <c r="V324">
        <f>HYPERLINK("https://klasma.github.io/Logging_0117/klagomål/A 22172-2022 FSC-klagomål.docx", "A 22172-2022")</f>
        <v/>
      </c>
      <c r="W324">
        <f>HYPERLINK("https://klasma.github.io/Logging_0117/klagomålsmail/A 22172-2022 FSC-klagomål mail.docx", "A 22172-2022")</f>
        <v/>
      </c>
      <c r="X324">
        <f>HYPERLINK("https://klasma.github.io/Logging_0117/tillsyn/A 22172-2022 tillsynsbegäran.docx", "A 22172-2022")</f>
        <v/>
      </c>
      <c r="Y324">
        <f>HYPERLINK("https://klasma.github.io/Logging_0117/tillsynsmail/A 22172-2022 tillsynsbegäran mail.docx", "A 22172-2022")</f>
        <v/>
      </c>
    </row>
    <row r="325" ht="15" customHeight="1">
      <c r="A325" t="inlineStr">
        <is>
          <t>A 30154-2022</t>
        </is>
      </c>
      <c r="B325" s="1" t="n">
        <v>44757</v>
      </c>
      <c r="C325" s="1" t="n">
        <v>45224</v>
      </c>
      <c r="D325" t="inlineStr">
        <is>
          <t>STOCKHOLMS LÄN</t>
        </is>
      </c>
      <c r="E325" t="inlineStr">
        <is>
          <t>VÄRMDÖ</t>
        </is>
      </c>
      <c r="G325" t="n">
        <v>3.1</v>
      </c>
      <c r="H325" t="n">
        <v>0</v>
      </c>
      <c r="I325" t="n">
        <v>0</v>
      </c>
      <c r="J325" t="n">
        <v>1</v>
      </c>
      <c r="K325" t="n">
        <v>0</v>
      </c>
      <c r="L325" t="n">
        <v>0</v>
      </c>
      <c r="M325" t="n">
        <v>0</v>
      </c>
      <c r="N325" t="n">
        <v>0</v>
      </c>
      <c r="O325" t="n">
        <v>1</v>
      </c>
      <c r="P325" t="n">
        <v>0</v>
      </c>
      <c r="Q325" t="n">
        <v>1</v>
      </c>
      <c r="R325" s="2" t="inlineStr">
        <is>
          <t>Lunglav</t>
        </is>
      </c>
      <c r="S325">
        <f>HYPERLINK("https://klasma.github.io/Logging_0120/artfynd/A 30154-2022 artfynd.xlsx", "A 30154-2022")</f>
        <v/>
      </c>
      <c r="T325">
        <f>HYPERLINK("https://klasma.github.io/Logging_0120/kartor/A 30154-2022 karta.png", "A 30154-2022")</f>
        <v/>
      </c>
      <c r="V325">
        <f>HYPERLINK("https://klasma.github.io/Logging_0120/klagomål/A 30154-2022 FSC-klagomål.docx", "A 30154-2022")</f>
        <v/>
      </c>
      <c r="W325">
        <f>HYPERLINK("https://klasma.github.io/Logging_0120/klagomålsmail/A 30154-2022 FSC-klagomål mail.docx", "A 30154-2022")</f>
        <v/>
      </c>
      <c r="X325">
        <f>HYPERLINK("https://klasma.github.io/Logging_0120/tillsyn/A 30154-2022 tillsynsbegäran.docx", "A 30154-2022")</f>
        <v/>
      </c>
      <c r="Y325">
        <f>HYPERLINK("https://klasma.github.io/Logging_0120/tillsynsmail/A 30154-2022 tillsynsbegäran mail.docx", "A 30154-2022")</f>
        <v/>
      </c>
    </row>
    <row r="326" ht="15" customHeight="1">
      <c r="A326" t="inlineStr">
        <is>
          <t>A 30693-2022</t>
        </is>
      </c>
      <c r="B326" s="1" t="n">
        <v>44763</v>
      </c>
      <c r="C326" s="1" t="n">
        <v>45224</v>
      </c>
      <c r="D326" t="inlineStr">
        <is>
          <t>STOCKHOLMS LÄN</t>
        </is>
      </c>
      <c r="E326" t="inlineStr">
        <is>
          <t>NORRTÄLJE</t>
        </is>
      </c>
      <c r="F326" t="inlineStr">
        <is>
          <t>Sveaskog</t>
        </is>
      </c>
      <c r="G326" t="n">
        <v>3.4</v>
      </c>
      <c r="H326" t="n">
        <v>1</v>
      </c>
      <c r="I326" t="n">
        <v>0</v>
      </c>
      <c r="J326" t="n">
        <v>1</v>
      </c>
      <c r="K326" t="n">
        <v>0</v>
      </c>
      <c r="L326" t="n">
        <v>0</v>
      </c>
      <c r="M326" t="n">
        <v>0</v>
      </c>
      <c r="N326" t="n">
        <v>0</v>
      </c>
      <c r="O326" t="n">
        <v>1</v>
      </c>
      <c r="P326" t="n">
        <v>0</v>
      </c>
      <c r="Q326" t="n">
        <v>1</v>
      </c>
      <c r="R326" s="2" t="inlineStr">
        <is>
          <t>Gulsparv</t>
        </is>
      </c>
      <c r="S326">
        <f>HYPERLINK("https://klasma.github.io/Logging_0188/artfynd/A 30693-2022 artfynd.xlsx", "A 30693-2022")</f>
        <v/>
      </c>
      <c r="T326">
        <f>HYPERLINK("https://klasma.github.io/Logging_0188/kartor/A 30693-2022 karta.png", "A 30693-2022")</f>
        <v/>
      </c>
      <c r="V326">
        <f>HYPERLINK("https://klasma.github.io/Logging_0188/klagomål/A 30693-2022 FSC-klagomål.docx", "A 30693-2022")</f>
        <v/>
      </c>
      <c r="W326">
        <f>HYPERLINK("https://klasma.github.io/Logging_0188/klagomålsmail/A 30693-2022 FSC-klagomål mail.docx", "A 30693-2022")</f>
        <v/>
      </c>
      <c r="X326">
        <f>HYPERLINK("https://klasma.github.io/Logging_0188/tillsyn/A 30693-2022 tillsynsbegäran.docx", "A 30693-2022")</f>
        <v/>
      </c>
      <c r="Y326">
        <f>HYPERLINK("https://klasma.github.io/Logging_0188/tillsynsmail/A 30693-2022 tillsynsbegäran mail.docx", "A 30693-2022")</f>
        <v/>
      </c>
    </row>
    <row r="327" ht="15" customHeight="1">
      <c r="A327" t="inlineStr">
        <is>
          <t>A 31194-2022</t>
        </is>
      </c>
      <c r="B327" s="1" t="n">
        <v>44770</v>
      </c>
      <c r="C327" s="1" t="n">
        <v>45224</v>
      </c>
      <c r="D327" t="inlineStr">
        <is>
          <t>STOCKHOLMS LÄN</t>
        </is>
      </c>
      <c r="E327" t="inlineStr">
        <is>
          <t>NORRTÄLJE</t>
        </is>
      </c>
      <c r="G327" t="n">
        <v>2.7</v>
      </c>
      <c r="H327" t="n">
        <v>1</v>
      </c>
      <c r="I327" t="n">
        <v>0</v>
      </c>
      <c r="J327" t="n">
        <v>0</v>
      </c>
      <c r="K327" t="n">
        <v>0</v>
      </c>
      <c r="L327" t="n">
        <v>1</v>
      </c>
      <c r="M327" t="n">
        <v>0</v>
      </c>
      <c r="N327" t="n">
        <v>0</v>
      </c>
      <c r="O327" t="n">
        <v>1</v>
      </c>
      <c r="P327" t="n">
        <v>1</v>
      </c>
      <c r="Q327" t="n">
        <v>1</v>
      </c>
      <c r="R327" s="2" t="inlineStr">
        <is>
          <t>Asknätfjäril</t>
        </is>
      </c>
      <c r="S327">
        <f>HYPERLINK("https://klasma.github.io/Logging_0188/artfynd/A 31194-2022 artfynd.xlsx", "A 31194-2022")</f>
        <v/>
      </c>
      <c r="T327">
        <f>HYPERLINK("https://klasma.github.io/Logging_0188/kartor/A 31194-2022 karta.png", "A 31194-2022")</f>
        <v/>
      </c>
      <c r="V327">
        <f>HYPERLINK("https://klasma.github.io/Logging_0188/klagomål/A 31194-2022 FSC-klagomål.docx", "A 31194-2022")</f>
        <v/>
      </c>
      <c r="W327">
        <f>HYPERLINK("https://klasma.github.io/Logging_0188/klagomålsmail/A 31194-2022 FSC-klagomål mail.docx", "A 31194-2022")</f>
        <v/>
      </c>
      <c r="X327">
        <f>HYPERLINK("https://klasma.github.io/Logging_0188/tillsyn/A 31194-2022 tillsynsbegäran.docx", "A 31194-2022")</f>
        <v/>
      </c>
      <c r="Y327">
        <f>HYPERLINK("https://klasma.github.io/Logging_0188/tillsynsmail/A 31194-2022 tillsynsbegäran mail.docx", "A 31194-2022")</f>
        <v/>
      </c>
    </row>
    <row r="328" ht="15" customHeight="1">
      <c r="A328" t="inlineStr">
        <is>
          <t>A 34823-2022</t>
        </is>
      </c>
      <c r="B328" s="1" t="n">
        <v>44796</v>
      </c>
      <c r="C328" s="1" t="n">
        <v>45224</v>
      </c>
      <c r="D328" t="inlineStr">
        <is>
          <t>STOCKHOLMS LÄN</t>
        </is>
      </c>
      <c r="E328" t="inlineStr">
        <is>
          <t>HANINGE</t>
        </is>
      </c>
      <c r="G328" t="n">
        <v>12</v>
      </c>
      <c r="H328" t="n">
        <v>0</v>
      </c>
      <c r="I328" t="n">
        <v>0</v>
      </c>
      <c r="J328" t="n">
        <v>0</v>
      </c>
      <c r="K328" t="n">
        <v>1</v>
      </c>
      <c r="L328" t="n">
        <v>0</v>
      </c>
      <c r="M328" t="n">
        <v>0</v>
      </c>
      <c r="N328" t="n">
        <v>0</v>
      </c>
      <c r="O328" t="n">
        <v>1</v>
      </c>
      <c r="P328" t="n">
        <v>1</v>
      </c>
      <c r="Q328" t="n">
        <v>1</v>
      </c>
      <c r="R328" s="2" t="inlineStr">
        <is>
          <t>Mörk kraterlav</t>
        </is>
      </c>
      <c r="S328">
        <f>HYPERLINK("https://klasma.github.io/Logging_0136/artfynd/A 34823-2022 artfynd.xlsx", "A 34823-2022")</f>
        <v/>
      </c>
      <c r="T328">
        <f>HYPERLINK("https://klasma.github.io/Logging_0136/kartor/A 34823-2022 karta.png", "A 34823-2022")</f>
        <v/>
      </c>
      <c r="V328">
        <f>HYPERLINK("https://klasma.github.io/Logging_0136/klagomål/A 34823-2022 FSC-klagomål.docx", "A 34823-2022")</f>
        <v/>
      </c>
      <c r="W328">
        <f>HYPERLINK("https://klasma.github.io/Logging_0136/klagomålsmail/A 34823-2022 FSC-klagomål mail.docx", "A 34823-2022")</f>
        <v/>
      </c>
      <c r="X328">
        <f>HYPERLINK("https://klasma.github.io/Logging_0136/tillsyn/A 34823-2022 tillsynsbegäran.docx", "A 34823-2022")</f>
        <v/>
      </c>
      <c r="Y328">
        <f>HYPERLINK("https://klasma.github.io/Logging_0136/tillsynsmail/A 34823-2022 tillsynsbegäran mail.docx", "A 34823-2022")</f>
        <v/>
      </c>
    </row>
    <row r="329" ht="15" customHeight="1">
      <c r="A329" t="inlineStr">
        <is>
          <t>A 37004-2022</t>
        </is>
      </c>
      <c r="B329" s="1" t="n">
        <v>44806</v>
      </c>
      <c r="C329" s="1" t="n">
        <v>45224</v>
      </c>
      <c r="D329" t="inlineStr">
        <is>
          <t>STOCKHOLMS LÄN</t>
        </is>
      </c>
      <c r="E329" t="inlineStr">
        <is>
          <t>HANINGE</t>
        </is>
      </c>
      <c r="F329" t="inlineStr">
        <is>
          <t>Övriga statliga verk och myndigheter</t>
        </is>
      </c>
      <c r="G329" t="n">
        <v>4.4</v>
      </c>
      <c r="H329" t="n">
        <v>1</v>
      </c>
      <c r="I329" t="n">
        <v>1</v>
      </c>
      <c r="J329" t="n">
        <v>0</v>
      </c>
      <c r="K329" t="n">
        <v>0</v>
      </c>
      <c r="L329" t="n">
        <v>0</v>
      </c>
      <c r="M329" t="n">
        <v>0</v>
      </c>
      <c r="N329" t="n">
        <v>0</v>
      </c>
      <c r="O329" t="n">
        <v>0</v>
      </c>
      <c r="P329" t="n">
        <v>0</v>
      </c>
      <c r="Q329" t="n">
        <v>1</v>
      </c>
      <c r="R329" s="2" t="inlineStr">
        <is>
          <t>Skogsknipprot</t>
        </is>
      </c>
      <c r="S329">
        <f>HYPERLINK("https://klasma.github.io/Logging_0136/artfynd/A 37004-2022 artfynd.xlsx", "A 37004-2022")</f>
        <v/>
      </c>
      <c r="T329">
        <f>HYPERLINK("https://klasma.github.io/Logging_0136/kartor/A 37004-2022 karta.png", "A 37004-2022")</f>
        <v/>
      </c>
      <c r="V329">
        <f>HYPERLINK("https://klasma.github.io/Logging_0136/klagomål/A 37004-2022 FSC-klagomål.docx", "A 37004-2022")</f>
        <v/>
      </c>
      <c r="W329">
        <f>HYPERLINK("https://klasma.github.io/Logging_0136/klagomålsmail/A 37004-2022 FSC-klagomål mail.docx", "A 37004-2022")</f>
        <v/>
      </c>
      <c r="X329">
        <f>HYPERLINK("https://klasma.github.io/Logging_0136/tillsyn/A 37004-2022 tillsynsbegäran.docx", "A 37004-2022")</f>
        <v/>
      </c>
      <c r="Y329">
        <f>HYPERLINK("https://klasma.github.io/Logging_0136/tillsynsmail/A 37004-2022 tillsynsbegäran mail.docx", "A 37004-2022")</f>
        <v/>
      </c>
    </row>
    <row r="330" ht="15" customHeight="1">
      <c r="A330" t="inlineStr">
        <is>
          <t>A 37522-2022</t>
        </is>
      </c>
      <c r="B330" s="1" t="n">
        <v>44809</v>
      </c>
      <c r="C330" s="1" t="n">
        <v>45224</v>
      </c>
      <c r="D330" t="inlineStr">
        <is>
          <t>STOCKHOLMS LÄN</t>
        </is>
      </c>
      <c r="E330" t="inlineStr">
        <is>
          <t>NORRTÄLJE</t>
        </is>
      </c>
      <c r="G330" t="n">
        <v>2.4</v>
      </c>
      <c r="H330" t="n">
        <v>1</v>
      </c>
      <c r="I330" t="n">
        <v>0</v>
      </c>
      <c r="J330" t="n">
        <v>0</v>
      </c>
      <c r="K330" t="n">
        <v>0</v>
      </c>
      <c r="L330" t="n">
        <v>0</v>
      </c>
      <c r="M330" t="n">
        <v>0</v>
      </c>
      <c r="N330" t="n">
        <v>0</v>
      </c>
      <c r="O330" t="n">
        <v>0</v>
      </c>
      <c r="P330" t="n">
        <v>0</v>
      </c>
      <c r="Q330" t="n">
        <v>1</v>
      </c>
      <c r="R330" s="2" t="inlineStr">
        <is>
          <t>Blåsippa</t>
        </is>
      </c>
      <c r="S330">
        <f>HYPERLINK("https://klasma.github.io/Logging_0188/artfynd/A 37522-2022 artfynd.xlsx", "A 37522-2022")</f>
        <v/>
      </c>
      <c r="T330">
        <f>HYPERLINK("https://klasma.github.io/Logging_0188/kartor/A 37522-2022 karta.png", "A 37522-2022")</f>
        <v/>
      </c>
      <c r="V330">
        <f>HYPERLINK("https://klasma.github.io/Logging_0188/klagomål/A 37522-2022 FSC-klagomål.docx", "A 37522-2022")</f>
        <v/>
      </c>
      <c r="W330">
        <f>HYPERLINK("https://klasma.github.io/Logging_0188/klagomålsmail/A 37522-2022 FSC-klagomål mail.docx", "A 37522-2022")</f>
        <v/>
      </c>
      <c r="X330">
        <f>HYPERLINK("https://klasma.github.io/Logging_0188/tillsyn/A 37522-2022 tillsynsbegäran.docx", "A 37522-2022")</f>
        <v/>
      </c>
      <c r="Y330">
        <f>HYPERLINK("https://klasma.github.io/Logging_0188/tillsynsmail/A 37522-2022 tillsynsbegäran mail.docx", "A 37522-2022")</f>
        <v/>
      </c>
    </row>
    <row r="331" ht="15" customHeight="1">
      <c r="A331" t="inlineStr">
        <is>
          <t>A 38452-2022</t>
        </is>
      </c>
      <c r="B331" s="1" t="n">
        <v>44813</v>
      </c>
      <c r="C331" s="1" t="n">
        <v>45224</v>
      </c>
      <c r="D331" t="inlineStr">
        <is>
          <t>STOCKHOLMS LÄN</t>
        </is>
      </c>
      <c r="E331" t="inlineStr">
        <is>
          <t>SÖDERTÄLJE</t>
        </is>
      </c>
      <c r="F331" t="inlineStr">
        <is>
          <t>Kommuner</t>
        </is>
      </c>
      <c r="G331" t="n">
        <v>25</v>
      </c>
      <c r="H331" t="n">
        <v>0</v>
      </c>
      <c r="I331" t="n">
        <v>1</v>
      </c>
      <c r="J331" t="n">
        <v>0</v>
      </c>
      <c r="K331" t="n">
        <v>0</v>
      </c>
      <c r="L331" t="n">
        <v>0</v>
      </c>
      <c r="M331" t="n">
        <v>0</v>
      </c>
      <c r="N331" t="n">
        <v>0</v>
      </c>
      <c r="O331" t="n">
        <v>0</v>
      </c>
      <c r="P331" t="n">
        <v>0</v>
      </c>
      <c r="Q331" t="n">
        <v>1</v>
      </c>
      <c r="R331" s="2" t="inlineStr">
        <is>
          <t>Rödgul trumpetsvamp</t>
        </is>
      </c>
      <c r="S331">
        <f>HYPERLINK("https://klasma.github.io/Logging_0181/artfynd/A 38452-2022 artfynd.xlsx", "A 38452-2022")</f>
        <v/>
      </c>
      <c r="T331">
        <f>HYPERLINK("https://klasma.github.io/Logging_0181/kartor/A 38452-2022 karta.png", "A 38452-2022")</f>
        <v/>
      </c>
      <c r="V331">
        <f>HYPERLINK("https://klasma.github.io/Logging_0181/klagomål/A 38452-2022 FSC-klagomål.docx", "A 38452-2022")</f>
        <v/>
      </c>
      <c r="W331">
        <f>HYPERLINK("https://klasma.github.io/Logging_0181/klagomålsmail/A 38452-2022 FSC-klagomål mail.docx", "A 38452-2022")</f>
        <v/>
      </c>
      <c r="X331">
        <f>HYPERLINK("https://klasma.github.io/Logging_0181/tillsyn/A 38452-2022 tillsynsbegäran.docx", "A 38452-2022")</f>
        <v/>
      </c>
      <c r="Y331">
        <f>HYPERLINK("https://klasma.github.io/Logging_0181/tillsynsmail/A 38452-2022 tillsynsbegäran mail.docx", "A 38452-2022")</f>
        <v/>
      </c>
    </row>
    <row r="332" ht="15" customHeight="1">
      <c r="A332" t="inlineStr">
        <is>
          <t>A 38597-2022</t>
        </is>
      </c>
      <c r="B332" s="1" t="n">
        <v>44813</v>
      </c>
      <c r="C332" s="1" t="n">
        <v>45224</v>
      </c>
      <c r="D332" t="inlineStr">
        <is>
          <t>STOCKHOLMS LÄN</t>
        </is>
      </c>
      <c r="E332" t="inlineStr">
        <is>
          <t>NORRTÄLJE</t>
        </is>
      </c>
      <c r="G332" t="n">
        <v>13.2</v>
      </c>
      <c r="H332" t="n">
        <v>1</v>
      </c>
      <c r="I332" t="n">
        <v>0</v>
      </c>
      <c r="J332" t="n">
        <v>0</v>
      </c>
      <c r="K332" t="n">
        <v>0</v>
      </c>
      <c r="L332" t="n">
        <v>1</v>
      </c>
      <c r="M332" t="n">
        <v>0</v>
      </c>
      <c r="N332" t="n">
        <v>0</v>
      </c>
      <c r="O332" t="n">
        <v>1</v>
      </c>
      <c r="P332" t="n">
        <v>1</v>
      </c>
      <c r="Q332" t="n">
        <v>1</v>
      </c>
      <c r="R332" s="2" t="inlineStr">
        <is>
          <t>Asknätfjäril</t>
        </is>
      </c>
      <c r="S332">
        <f>HYPERLINK("https://klasma.github.io/Logging_0188/artfynd/A 38597-2022 artfynd.xlsx", "A 38597-2022")</f>
        <v/>
      </c>
      <c r="T332">
        <f>HYPERLINK("https://klasma.github.io/Logging_0188/kartor/A 38597-2022 karta.png", "A 38597-2022")</f>
        <v/>
      </c>
      <c r="V332">
        <f>HYPERLINK("https://klasma.github.io/Logging_0188/klagomål/A 38597-2022 FSC-klagomål.docx", "A 38597-2022")</f>
        <v/>
      </c>
      <c r="W332">
        <f>HYPERLINK("https://klasma.github.io/Logging_0188/klagomålsmail/A 38597-2022 FSC-klagomål mail.docx", "A 38597-2022")</f>
        <v/>
      </c>
      <c r="X332">
        <f>HYPERLINK("https://klasma.github.io/Logging_0188/tillsyn/A 38597-2022 tillsynsbegäran.docx", "A 38597-2022")</f>
        <v/>
      </c>
      <c r="Y332">
        <f>HYPERLINK("https://klasma.github.io/Logging_0188/tillsynsmail/A 38597-2022 tillsynsbegäran mail.docx", "A 38597-2022")</f>
        <v/>
      </c>
    </row>
    <row r="333" ht="15" customHeight="1">
      <c r="A333" t="inlineStr">
        <is>
          <t>A 39636-2022</t>
        </is>
      </c>
      <c r="B333" s="1" t="n">
        <v>44818</v>
      </c>
      <c r="C333" s="1" t="n">
        <v>45224</v>
      </c>
      <c r="D333" t="inlineStr">
        <is>
          <t>STOCKHOLMS LÄN</t>
        </is>
      </c>
      <c r="E333" t="inlineStr">
        <is>
          <t>HANINGE</t>
        </is>
      </c>
      <c r="G333" t="n">
        <v>2</v>
      </c>
      <c r="H333" t="n">
        <v>0</v>
      </c>
      <c r="I333" t="n">
        <v>0</v>
      </c>
      <c r="J333" t="n">
        <v>0</v>
      </c>
      <c r="K333" t="n">
        <v>1</v>
      </c>
      <c r="L333" t="n">
        <v>0</v>
      </c>
      <c r="M333" t="n">
        <v>0</v>
      </c>
      <c r="N333" t="n">
        <v>0</v>
      </c>
      <c r="O333" t="n">
        <v>1</v>
      </c>
      <c r="P333" t="n">
        <v>1</v>
      </c>
      <c r="Q333" t="n">
        <v>1</v>
      </c>
      <c r="R333" s="2" t="inlineStr">
        <is>
          <t>Koppartaggsvamp</t>
        </is>
      </c>
      <c r="S333">
        <f>HYPERLINK("https://klasma.github.io/Logging_0136/artfynd/A 39636-2022 artfynd.xlsx", "A 39636-2022")</f>
        <v/>
      </c>
      <c r="T333">
        <f>HYPERLINK("https://klasma.github.io/Logging_0136/kartor/A 39636-2022 karta.png", "A 39636-2022")</f>
        <v/>
      </c>
      <c r="V333">
        <f>HYPERLINK("https://klasma.github.io/Logging_0136/klagomål/A 39636-2022 FSC-klagomål.docx", "A 39636-2022")</f>
        <v/>
      </c>
      <c r="W333">
        <f>HYPERLINK("https://klasma.github.io/Logging_0136/klagomålsmail/A 39636-2022 FSC-klagomål mail.docx", "A 39636-2022")</f>
        <v/>
      </c>
      <c r="X333">
        <f>HYPERLINK("https://klasma.github.io/Logging_0136/tillsyn/A 39636-2022 tillsynsbegäran.docx", "A 39636-2022")</f>
        <v/>
      </c>
      <c r="Y333">
        <f>HYPERLINK("https://klasma.github.io/Logging_0136/tillsynsmail/A 39636-2022 tillsynsbegäran mail.docx", "A 39636-2022")</f>
        <v/>
      </c>
    </row>
    <row r="334" ht="15" customHeight="1">
      <c r="A334" t="inlineStr">
        <is>
          <t>A 40672-2022</t>
        </is>
      </c>
      <c r="B334" s="1" t="n">
        <v>44824</v>
      </c>
      <c r="C334" s="1" t="n">
        <v>45224</v>
      </c>
      <c r="D334" t="inlineStr">
        <is>
          <t>STOCKHOLMS LÄN</t>
        </is>
      </c>
      <c r="E334" t="inlineStr">
        <is>
          <t>NORRTÄLJE</t>
        </is>
      </c>
      <c r="F334" t="inlineStr">
        <is>
          <t>Övriga Aktiebolag</t>
        </is>
      </c>
      <c r="G334" t="n">
        <v>1.3</v>
      </c>
      <c r="H334" t="n">
        <v>0</v>
      </c>
      <c r="I334" t="n">
        <v>0</v>
      </c>
      <c r="J334" t="n">
        <v>1</v>
      </c>
      <c r="K334" t="n">
        <v>0</v>
      </c>
      <c r="L334" t="n">
        <v>0</v>
      </c>
      <c r="M334" t="n">
        <v>0</v>
      </c>
      <c r="N334" t="n">
        <v>0</v>
      </c>
      <c r="O334" t="n">
        <v>1</v>
      </c>
      <c r="P334" t="n">
        <v>0</v>
      </c>
      <c r="Q334" t="n">
        <v>1</v>
      </c>
      <c r="R334" s="2" t="inlineStr">
        <is>
          <t>Månlåsbräken</t>
        </is>
      </c>
      <c r="S334">
        <f>HYPERLINK("https://klasma.github.io/Logging_0188/artfynd/A 40672-2022 artfynd.xlsx", "A 40672-2022")</f>
        <v/>
      </c>
      <c r="T334">
        <f>HYPERLINK("https://klasma.github.io/Logging_0188/kartor/A 40672-2022 karta.png", "A 40672-2022")</f>
        <v/>
      </c>
      <c r="V334">
        <f>HYPERLINK("https://klasma.github.io/Logging_0188/klagomål/A 40672-2022 FSC-klagomål.docx", "A 40672-2022")</f>
        <v/>
      </c>
      <c r="W334">
        <f>HYPERLINK("https://klasma.github.io/Logging_0188/klagomålsmail/A 40672-2022 FSC-klagomål mail.docx", "A 40672-2022")</f>
        <v/>
      </c>
      <c r="X334">
        <f>HYPERLINK("https://klasma.github.io/Logging_0188/tillsyn/A 40672-2022 tillsynsbegäran.docx", "A 40672-2022")</f>
        <v/>
      </c>
      <c r="Y334">
        <f>HYPERLINK("https://klasma.github.io/Logging_0188/tillsynsmail/A 40672-2022 tillsynsbegäran mail.docx", "A 40672-2022")</f>
        <v/>
      </c>
    </row>
    <row r="335" ht="15" customHeight="1">
      <c r="A335" t="inlineStr">
        <is>
          <t>A 44709-2022</t>
        </is>
      </c>
      <c r="B335" s="1" t="n">
        <v>44839</v>
      </c>
      <c r="C335" s="1" t="n">
        <v>45224</v>
      </c>
      <c r="D335" t="inlineStr">
        <is>
          <t>STOCKHOLMS LÄN</t>
        </is>
      </c>
      <c r="E335" t="inlineStr">
        <is>
          <t>NORRTÄLJE</t>
        </is>
      </c>
      <c r="G335" t="n">
        <v>16.3</v>
      </c>
      <c r="H335" t="n">
        <v>0</v>
      </c>
      <c r="I335" t="n">
        <v>0</v>
      </c>
      <c r="J335" t="n">
        <v>1</v>
      </c>
      <c r="K335" t="n">
        <v>0</v>
      </c>
      <c r="L335" t="n">
        <v>0</v>
      </c>
      <c r="M335" t="n">
        <v>0</v>
      </c>
      <c r="N335" t="n">
        <v>0</v>
      </c>
      <c r="O335" t="n">
        <v>1</v>
      </c>
      <c r="P335" t="n">
        <v>0</v>
      </c>
      <c r="Q335" t="n">
        <v>1</v>
      </c>
      <c r="R335" s="2" t="inlineStr">
        <is>
          <t>Asppraktbagge</t>
        </is>
      </c>
      <c r="S335">
        <f>HYPERLINK("https://klasma.github.io/Logging_0188/artfynd/A 44709-2022 artfynd.xlsx", "A 44709-2022")</f>
        <v/>
      </c>
      <c r="T335">
        <f>HYPERLINK("https://klasma.github.io/Logging_0188/kartor/A 44709-2022 karta.png", "A 44709-2022")</f>
        <v/>
      </c>
      <c r="V335">
        <f>HYPERLINK("https://klasma.github.io/Logging_0188/klagomål/A 44709-2022 FSC-klagomål.docx", "A 44709-2022")</f>
        <v/>
      </c>
      <c r="W335">
        <f>HYPERLINK("https://klasma.github.io/Logging_0188/klagomålsmail/A 44709-2022 FSC-klagomål mail.docx", "A 44709-2022")</f>
        <v/>
      </c>
      <c r="X335">
        <f>HYPERLINK("https://klasma.github.io/Logging_0188/tillsyn/A 44709-2022 tillsynsbegäran.docx", "A 44709-2022")</f>
        <v/>
      </c>
      <c r="Y335">
        <f>HYPERLINK("https://klasma.github.io/Logging_0188/tillsynsmail/A 44709-2022 tillsynsbegäran mail.docx", "A 44709-2022")</f>
        <v/>
      </c>
    </row>
    <row r="336" ht="15" customHeight="1">
      <c r="A336" t="inlineStr">
        <is>
          <t>A 44958-2022</t>
        </is>
      </c>
      <c r="B336" s="1" t="n">
        <v>44841</v>
      </c>
      <c r="C336" s="1" t="n">
        <v>45224</v>
      </c>
      <c r="D336" t="inlineStr">
        <is>
          <t>STOCKHOLMS LÄN</t>
        </is>
      </c>
      <c r="E336" t="inlineStr">
        <is>
          <t>SÖDERTÄLJE</t>
        </is>
      </c>
      <c r="F336" t="inlineStr">
        <is>
          <t>Sveaskog</t>
        </is>
      </c>
      <c r="G336" t="n">
        <v>0.5</v>
      </c>
      <c r="H336" t="n">
        <v>0</v>
      </c>
      <c r="I336" t="n">
        <v>0</v>
      </c>
      <c r="J336" t="n">
        <v>1</v>
      </c>
      <c r="K336" t="n">
        <v>0</v>
      </c>
      <c r="L336" t="n">
        <v>0</v>
      </c>
      <c r="M336" t="n">
        <v>0</v>
      </c>
      <c r="N336" t="n">
        <v>0</v>
      </c>
      <c r="O336" t="n">
        <v>1</v>
      </c>
      <c r="P336" t="n">
        <v>0</v>
      </c>
      <c r="Q336" t="n">
        <v>1</v>
      </c>
      <c r="R336" s="2" t="inlineStr">
        <is>
          <t>Slåtterfibbla</t>
        </is>
      </c>
      <c r="S336">
        <f>HYPERLINK("https://klasma.github.io/Logging_0181/artfynd/A 44958-2022 artfynd.xlsx", "A 44958-2022")</f>
        <v/>
      </c>
      <c r="T336">
        <f>HYPERLINK("https://klasma.github.io/Logging_0181/kartor/A 44958-2022 karta.png", "A 44958-2022")</f>
        <v/>
      </c>
      <c r="V336">
        <f>HYPERLINK("https://klasma.github.io/Logging_0181/klagomål/A 44958-2022 FSC-klagomål.docx", "A 44958-2022")</f>
        <v/>
      </c>
      <c r="W336">
        <f>HYPERLINK("https://klasma.github.io/Logging_0181/klagomålsmail/A 44958-2022 FSC-klagomål mail.docx", "A 44958-2022")</f>
        <v/>
      </c>
      <c r="X336">
        <f>HYPERLINK("https://klasma.github.io/Logging_0181/tillsyn/A 44958-2022 tillsynsbegäran.docx", "A 44958-2022")</f>
        <v/>
      </c>
      <c r="Y336">
        <f>HYPERLINK("https://klasma.github.io/Logging_0181/tillsynsmail/A 44958-2022 tillsynsbegäran mail.docx", "A 44958-2022")</f>
        <v/>
      </c>
    </row>
    <row r="337" ht="15" customHeight="1">
      <c r="A337" t="inlineStr">
        <is>
          <t>A 47898-2022</t>
        </is>
      </c>
      <c r="B337" s="1" t="n">
        <v>44855</v>
      </c>
      <c r="C337" s="1" t="n">
        <v>45224</v>
      </c>
      <c r="D337" t="inlineStr">
        <is>
          <t>STOCKHOLMS LÄN</t>
        </is>
      </c>
      <c r="E337" t="inlineStr">
        <is>
          <t>NORRTÄLJE</t>
        </is>
      </c>
      <c r="G337" t="n">
        <v>6.7</v>
      </c>
      <c r="H337" t="n">
        <v>1</v>
      </c>
      <c r="I337" t="n">
        <v>1</v>
      </c>
      <c r="J337" t="n">
        <v>0</v>
      </c>
      <c r="K337" t="n">
        <v>0</v>
      </c>
      <c r="L337" t="n">
        <v>0</v>
      </c>
      <c r="M337" t="n">
        <v>0</v>
      </c>
      <c r="N337" t="n">
        <v>0</v>
      </c>
      <c r="O337" t="n">
        <v>0</v>
      </c>
      <c r="P337" t="n">
        <v>0</v>
      </c>
      <c r="Q337" t="n">
        <v>1</v>
      </c>
      <c r="R337" s="2" t="inlineStr">
        <is>
          <t>Guckusko</t>
        </is>
      </c>
      <c r="S337">
        <f>HYPERLINK("https://klasma.github.io/Logging_0188/artfynd/A 47898-2022 artfynd.xlsx", "A 47898-2022")</f>
        <v/>
      </c>
      <c r="T337">
        <f>HYPERLINK("https://klasma.github.io/Logging_0188/kartor/A 47898-2022 karta.png", "A 47898-2022")</f>
        <v/>
      </c>
      <c r="V337">
        <f>HYPERLINK("https://klasma.github.io/Logging_0188/klagomål/A 47898-2022 FSC-klagomål.docx", "A 47898-2022")</f>
        <v/>
      </c>
      <c r="W337">
        <f>HYPERLINK("https://klasma.github.io/Logging_0188/klagomålsmail/A 47898-2022 FSC-klagomål mail.docx", "A 47898-2022")</f>
        <v/>
      </c>
      <c r="X337">
        <f>HYPERLINK("https://klasma.github.io/Logging_0188/tillsyn/A 47898-2022 tillsynsbegäran.docx", "A 47898-2022")</f>
        <v/>
      </c>
      <c r="Y337">
        <f>HYPERLINK("https://klasma.github.io/Logging_0188/tillsynsmail/A 47898-2022 tillsynsbegäran mail.docx", "A 47898-2022")</f>
        <v/>
      </c>
    </row>
    <row r="338" ht="15" customHeight="1">
      <c r="A338" t="inlineStr">
        <is>
          <t>A 50854-2022</t>
        </is>
      </c>
      <c r="B338" s="1" t="n">
        <v>44863</v>
      </c>
      <c r="C338" s="1" t="n">
        <v>45224</v>
      </c>
      <c r="D338" t="inlineStr">
        <is>
          <t>STOCKHOLMS LÄN</t>
        </is>
      </c>
      <c r="E338" t="inlineStr">
        <is>
          <t>NORRTÄLJE</t>
        </is>
      </c>
      <c r="G338" t="n">
        <v>2.9</v>
      </c>
      <c r="H338" t="n">
        <v>0</v>
      </c>
      <c r="I338" t="n">
        <v>1</v>
      </c>
      <c r="J338" t="n">
        <v>0</v>
      </c>
      <c r="K338" t="n">
        <v>0</v>
      </c>
      <c r="L338" t="n">
        <v>0</v>
      </c>
      <c r="M338" t="n">
        <v>0</v>
      </c>
      <c r="N338" t="n">
        <v>0</v>
      </c>
      <c r="O338" t="n">
        <v>0</v>
      </c>
      <c r="P338" t="n">
        <v>0</v>
      </c>
      <c r="Q338" t="n">
        <v>1</v>
      </c>
      <c r="R338" s="2" t="inlineStr">
        <is>
          <t>Tibast</t>
        </is>
      </c>
      <c r="S338">
        <f>HYPERLINK("https://klasma.github.io/Logging_0188/artfynd/A 50854-2022 artfynd.xlsx", "A 50854-2022")</f>
        <v/>
      </c>
      <c r="T338">
        <f>HYPERLINK("https://klasma.github.io/Logging_0188/kartor/A 50854-2022 karta.png", "A 50854-2022")</f>
        <v/>
      </c>
      <c r="V338">
        <f>HYPERLINK("https://klasma.github.io/Logging_0188/klagomål/A 50854-2022 FSC-klagomål.docx", "A 50854-2022")</f>
        <v/>
      </c>
      <c r="W338">
        <f>HYPERLINK("https://klasma.github.io/Logging_0188/klagomålsmail/A 50854-2022 FSC-klagomål mail.docx", "A 50854-2022")</f>
        <v/>
      </c>
      <c r="X338">
        <f>HYPERLINK("https://klasma.github.io/Logging_0188/tillsyn/A 50854-2022 tillsynsbegäran.docx", "A 50854-2022")</f>
        <v/>
      </c>
      <c r="Y338">
        <f>HYPERLINK("https://klasma.github.io/Logging_0188/tillsynsmail/A 50854-2022 tillsynsbegäran mail.docx", "A 50854-2022")</f>
        <v/>
      </c>
    </row>
    <row r="339" ht="15" customHeight="1">
      <c r="A339" t="inlineStr">
        <is>
          <t>A 51189-2022</t>
        </is>
      </c>
      <c r="B339" s="1" t="n">
        <v>44865</v>
      </c>
      <c r="C339" s="1" t="n">
        <v>45224</v>
      </c>
      <c r="D339" t="inlineStr">
        <is>
          <t>STOCKHOLMS LÄN</t>
        </is>
      </c>
      <c r="E339" t="inlineStr">
        <is>
          <t>SIGTUNA</t>
        </is>
      </c>
      <c r="G339" t="n">
        <v>32.8</v>
      </c>
      <c r="H339" t="n">
        <v>0</v>
      </c>
      <c r="I339" t="n">
        <v>0</v>
      </c>
      <c r="J339" t="n">
        <v>1</v>
      </c>
      <c r="K339" t="n">
        <v>0</v>
      </c>
      <c r="L339" t="n">
        <v>0</v>
      </c>
      <c r="M339" t="n">
        <v>0</v>
      </c>
      <c r="N339" t="n">
        <v>0</v>
      </c>
      <c r="O339" t="n">
        <v>1</v>
      </c>
      <c r="P339" t="n">
        <v>0</v>
      </c>
      <c r="Q339" t="n">
        <v>1</v>
      </c>
      <c r="R339" s="2" t="inlineStr">
        <is>
          <t>Vedskivlav</t>
        </is>
      </c>
      <c r="S339">
        <f>HYPERLINK("https://klasma.github.io/Logging_0191/artfynd/A 51189-2022 artfynd.xlsx", "A 51189-2022")</f>
        <v/>
      </c>
      <c r="T339">
        <f>HYPERLINK("https://klasma.github.io/Logging_0191/kartor/A 51189-2022 karta.png", "A 51189-2022")</f>
        <v/>
      </c>
      <c r="V339">
        <f>HYPERLINK("https://klasma.github.io/Logging_0191/klagomål/A 51189-2022 FSC-klagomål.docx", "A 51189-2022")</f>
        <v/>
      </c>
      <c r="W339">
        <f>HYPERLINK("https://klasma.github.io/Logging_0191/klagomålsmail/A 51189-2022 FSC-klagomål mail.docx", "A 51189-2022")</f>
        <v/>
      </c>
      <c r="X339">
        <f>HYPERLINK("https://klasma.github.io/Logging_0191/tillsyn/A 51189-2022 tillsynsbegäran.docx", "A 51189-2022")</f>
        <v/>
      </c>
      <c r="Y339">
        <f>HYPERLINK("https://klasma.github.io/Logging_0191/tillsynsmail/A 51189-2022 tillsynsbegäran mail.docx", "A 51189-2022")</f>
        <v/>
      </c>
    </row>
    <row r="340" ht="15" customHeight="1">
      <c r="A340" t="inlineStr">
        <is>
          <t>A 57943-2022</t>
        </is>
      </c>
      <c r="B340" s="1" t="n">
        <v>44900</v>
      </c>
      <c r="C340" s="1" t="n">
        <v>45224</v>
      </c>
      <c r="D340" t="inlineStr">
        <is>
          <t>STOCKHOLMS LÄN</t>
        </is>
      </c>
      <c r="E340" t="inlineStr">
        <is>
          <t>SIGTUNA</t>
        </is>
      </c>
      <c r="G340" t="n">
        <v>15</v>
      </c>
      <c r="H340" t="n">
        <v>0</v>
      </c>
      <c r="I340" t="n">
        <v>1</v>
      </c>
      <c r="J340" t="n">
        <v>0</v>
      </c>
      <c r="K340" t="n">
        <v>0</v>
      </c>
      <c r="L340" t="n">
        <v>0</v>
      </c>
      <c r="M340" t="n">
        <v>0</v>
      </c>
      <c r="N340" t="n">
        <v>0</v>
      </c>
      <c r="O340" t="n">
        <v>0</v>
      </c>
      <c r="P340" t="n">
        <v>0</v>
      </c>
      <c r="Q340" t="n">
        <v>1</v>
      </c>
      <c r="R340" s="2" t="inlineStr">
        <is>
          <t>Vanlig flatbagge</t>
        </is>
      </c>
      <c r="S340">
        <f>HYPERLINK("https://klasma.github.io/Logging_0191/artfynd/A 57943-2022 artfynd.xlsx", "A 57943-2022")</f>
        <v/>
      </c>
      <c r="T340">
        <f>HYPERLINK("https://klasma.github.io/Logging_0191/kartor/A 57943-2022 karta.png", "A 57943-2022")</f>
        <v/>
      </c>
      <c r="V340">
        <f>HYPERLINK("https://klasma.github.io/Logging_0191/klagomål/A 57943-2022 FSC-klagomål.docx", "A 57943-2022")</f>
        <v/>
      </c>
      <c r="W340">
        <f>HYPERLINK("https://klasma.github.io/Logging_0191/klagomålsmail/A 57943-2022 FSC-klagomål mail.docx", "A 57943-2022")</f>
        <v/>
      </c>
      <c r="X340">
        <f>HYPERLINK("https://klasma.github.io/Logging_0191/tillsyn/A 57943-2022 tillsynsbegäran.docx", "A 57943-2022")</f>
        <v/>
      </c>
      <c r="Y340">
        <f>HYPERLINK("https://klasma.github.io/Logging_0191/tillsynsmail/A 57943-2022 tillsynsbegäran mail.docx", "A 57943-2022")</f>
        <v/>
      </c>
    </row>
    <row r="341" ht="15" customHeight="1">
      <c r="A341" t="inlineStr">
        <is>
          <t>A 61732-2022</t>
        </is>
      </c>
      <c r="B341" s="1" t="n">
        <v>44917</v>
      </c>
      <c r="C341" s="1" t="n">
        <v>45224</v>
      </c>
      <c r="D341" t="inlineStr">
        <is>
          <t>STOCKHOLMS LÄN</t>
        </is>
      </c>
      <c r="E341" t="inlineStr">
        <is>
          <t>ÖSTERÅKER</t>
        </is>
      </c>
      <c r="G341" t="n">
        <v>2.2</v>
      </c>
      <c r="H341" t="n">
        <v>0</v>
      </c>
      <c r="I341" t="n">
        <v>0</v>
      </c>
      <c r="J341" t="n">
        <v>1</v>
      </c>
      <c r="K341" t="n">
        <v>0</v>
      </c>
      <c r="L341" t="n">
        <v>0</v>
      </c>
      <c r="M341" t="n">
        <v>0</v>
      </c>
      <c r="N341" t="n">
        <v>0</v>
      </c>
      <c r="O341" t="n">
        <v>1</v>
      </c>
      <c r="P341" t="n">
        <v>0</v>
      </c>
      <c r="Q341" t="n">
        <v>1</v>
      </c>
      <c r="R341" s="2" t="inlineStr">
        <is>
          <t>Ullticka</t>
        </is>
      </c>
      <c r="S341">
        <f>HYPERLINK("https://klasma.github.io/Logging_0117/artfynd/A 61732-2022 artfynd.xlsx", "A 61732-2022")</f>
        <v/>
      </c>
      <c r="T341">
        <f>HYPERLINK("https://klasma.github.io/Logging_0117/kartor/A 61732-2022 karta.png", "A 61732-2022")</f>
        <v/>
      </c>
      <c r="V341">
        <f>HYPERLINK("https://klasma.github.io/Logging_0117/klagomål/A 61732-2022 FSC-klagomål.docx", "A 61732-2022")</f>
        <v/>
      </c>
      <c r="W341">
        <f>HYPERLINK("https://klasma.github.io/Logging_0117/klagomålsmail/A 61732-2022 FSC-klagomål mail.docx", "A 61732-2022")</f>
        <v/>
      </c>
      <c r="X341">
        <f>HYPERLINK("https://klasma.github.io/Logging_0117/tillsyn/A 61732-2022 tillsynsbegäran.docx", "A 61732-2022")</f>
        <v/>
      </c>
      <c r="Y341">
        <f>HYPERLINK("https://klasma.github.io/Logging_0117/tillsynsmail/A 61732-2022 tillsynsbegäran mail.docx", "A 61732-2022")</f>
        <v/>
      </c>
    </row>
    <row r="342" ht="15" customHeight="1">
      <c r="A342" t="inlineStr">
        <is>
          <t>A 1691-2023</t>
        </is>
      </c>
      <c r="B342" s="1" t="n">
        <v>44938</v>
      </c>
      <c r="C342" s="1" t="n">
        <v>45224</v>
      </c>
      <c r="D342" t="inlineStr">
        <is>
          <t>STOCKHOLMS LÄN</t>
        </is>
      </c>
      <c r="E342" t="inlineStr">
        <is>
          <t>BOTKYRKA</t>
        </is>
      </c>
      <c r="G342" t="n">
        <v>1.7</v>
      </c>
      <c r="H342" t="n">
        <v>0</v>
      </c>
      <c r="I342" t="n">
        <v>1</v>
      </c>
      <c r="J342" t="n">
        <v>0</v>
      </c>
      <c r="K342" t="n">
        <v>0</v>
      </c>
      <c r="L342" t="n">
        <v>0</v>
      </c>
      <c r="M342" t="n">
        <v>0</v>
      </c>
      <c r="N342" t="n">
        <v>0</v>
      </c>
      <c r="O342" t="n">
        <v>0</v>
      </c>
      <c r="P342" t="n">
        <v>0</v>
      </c>
      <c r="Q342" t="n">
        <v>1</v>
      </c>
      <c r="R342" s="2" t="inlineStr">
        <is>
          <t>Tibast</t>
        </is>
      </c>
      <c r="S342">
        <f>HYPERLINK("https://klasma.github.io/Logging_0127/artfynd/A 1691-2023 artfynd.xlsx", "A 1691-2023")</f>
        <v/>
      </c>
      <c r="T342">
        <f>HYPERLINK("https://klasma.github.io/Logging_0127/kartor/A 1691-2023 karta.png", "A 1691-2023")</f>
        <v/>
      </c>
      <c r="V342">
        <f>HYPERLINK("https://klasma.github.io/Logging_0127/klagomål/A 1691-2023 FSC-klagomål.docx", "A 1691-2023")</f>
        <v/>
      </c>
      <c r="W342">
        <f>HYPERLINK("https://klasma.github.io/Logging_0127/klagomålsmail/A 1691-2023 FSC-klagomål mail.docx", "A 1691-2023")</f>
        <v/>
      </c>
      <c r="X342">
        <f>HYPERLINK("https://klasma.github.io/Logging_0127/tillsyn/A 1691-2023 tillsynsbegäran.docx", "A 1691-2023")</f>
        <v/>
      </c>
      <c r="Y342">
        <f>HYPERLINK("https://klasma.github.io/Logging_0127/tillsynsmail/A 1691-2023 tillsynsbegäran mail.docx", "A 1691-2023")</f>
        <v/>
      </c>
    </row>
    <row r="343" ht="15" customHeight="1">
      <c r="A343" t="inlineStr">
        <is>
          <t>A 2987-2023</t>
        </is>
      </c>
      <c r="B343" s="1" t="n">
        <v>44945</v>
      </c>
      <c r="C343" s="1" t="n">
        <v>45224</v>
      </c>
      <c r="D343" t="inlineStr">
        <is>
          <t>STOCKHOLMS LÄN</t>
        </is>
      </c>
      <c r="E343" t="inlineStr">
        <is>
          <t>SALEM</t>
        </is>
      </c>
      <c r="F343" t="inlineStr">
        <is>
          <t>Kommuner</t>
        </is>
      </c>
      <c r="G343" t="n">
        <v>6.2</v>
      </c>
      <c r="H343" t="n">
        <v>0</v>
      </c>
      <c r="I343" t="n">
        <v>0</v>
      </c>
      <c r="J343" t="n">
        <v>1</v>
      </c>
      <c r="K343" t="n">
        <v>0</v>
      </c>
      <c r="L343" t="n">
        <v>0</v>
      </c>
      <c r="M343" t="n">
        <v>0</v>
      </c>
      <c r="N343" t="n">
        <v>0</v>
      </c>
      <c r="O343" t="n">
        <v>1</v>
      </c>
      <c r="P343" t="n">
        <v>0</v>
      </c>
      <c r="Q343" t="n">
        <v>1</v>
      </c>
      <c r="R343" s="2" t="inlineStr">
        <is>
          <t>Tallticka</t>
        </is>
      </c>
      <c r="S343">
        <f>HYPERLINK("https://klasma.github.io/Logging_0128/artfynd/A 2987-2023 artfynd.xlsx", "A 2987-2023")</f>
        <v/>
      </c>
      <c r="T343">
        <f>HYPERLINK("https://klasma.github.io/Logging_0128/kartor/A 2987-2023 karta.png", "A 2987-2023")</f>
        <v/>
      </c>
      <c r="V343">
        <f>HYPERLINK("https://klasma.github.io/Logging_0128/klagomål/A 2987-2023 FSC-klagomål.docx", "A 2987-2023")</f>
        <v/>
      </c>
      <c r="W343">
        <f>HYPERLINK("https://klasma.github.io/Logging_0128/klagomålsmail/A 2987-2023 FSC-klagomål mail.docx", "A 2987-2023")</f>
        <v/>
      </c>
      <c r="X343">
        <f>HYPERLINK("https://klasma.github.io/Logging_0128/tillsyn/A 2987-2023 tillsynsbegäran.docx", "A 2987-2023")</f>
        <v/>
      </c>
      <c r="Y343">
        <f>HYPERLINK("https://klasma.github.io/Logging_0128/tillsynsmail/A 2987-2023 tillsynsbegäran mail.docx", "A 2987-2023")</f>
        <v/>
      </c>
    </row>
    <row r="344" ht="15" customHeight="1">
      <c r="A344" t="inlineStr">
        <is>
          <t>A 3919-2023</t>
        </is>
      </c>
      <c r="B344" s="1" t="n">
        <v>44952</v>
      </c>
      <c r="C344" s="1" t="n">
        <v>45224</v>
      </c>
      <c r="D344" t="inlineStr">
        <is>
          <t>STOCKHOLMS LÄN</t>
        </is>
      </c>
      <c r="E344" t="inlineStr">
        <is>
          <t>ÖSTERÅKER</t>
        </is>
      </c>
      <c r="F344" t="inlineStr">
        <is>
          <t>Kommuner</t>
        </is>
      </c>
      <c r="G344" t="n">
        <v>4.9</v>
      </c>
      <c r="H344" t="n">
        <v>0</v>
      </c>
      <c r="I344" t="n">
        <v>0</v>
      </c>
      <c r="J344" t="n">
        <v>1</v>
      </c>
      <c r="K344" t="n">
        <v>0</v>
      </c>
      <c r="L344" t="n">
        <v>0</v>
      </c>
      <c r="M344" t="n">
        <v>0</v>
      </c>
      <c r="N344" t="n">
        <v>0</v>
      </c>
      <c r="O344" t="n">
        <v>1</v>
      </c>
      <c r="P344" t="n">
        <v>0</v>
      </c>
      <c r="Q344" t="n">
        <v>1</v>
      </c>
      <c r="R344" s="2" t="inlineStr">
        <is>
          <t>Tallticka</t>
        </is>
      </c>
      <c r="S344">
        <f>HYPERLINK("https://klasma.github.io/Logging_0117/artfynd/A 3919-2023 artfynd.xlsx", "A 3919-2023")</f>
        <v/>
      </c>
      <c r="T344">
        <f>HYPERLINK("https://klasma.github.io/Logging_0117/kartor/A 3919-2023 karta.png", "A 3919-2023")</f>
        <v/>
      </c>
      <c r="V344">
        <f>HYPERLINK("https://klasma.github.io/Logging_0117/klagomål/A 3919-2023 FSC-klagomål.docx", "A 3919-2023")</f>
        <v/>
      </c>
      <c r="W344">
        <f>HYPERLINK("https://klasma.github.io/Logging_0117/klagomålsmail/A 3919-2023 FSC-klagomål mail.docx", "A 3919-2023")</f>
        <v/>
      </c>
      <c r="X344">
        <f>HYPERLINK("https://klasma.github.io/Logging_0117/tillsyn/A 3919-2023 tillsynsbegäran.docx", "A 3919-2023")</f>
        <v/>
      </c>
      <c r="Y344">
        <f>HYPERLINK("https://klasma.github.io/Logging_0117/tillsynsmail/A 3919-2023 tillsynsbegäran mail.docx", "A 3919-2023")</f>
        <v/>
      </c>
    </row>
    <row r="345" ht="15" customHeight="1">
      <c r="A345" t="inlineStr">
        <is>
          <t>A 4595-2023</t>
        </is>
      </c>
      <c r="B345" s="1" t="n">
        <v>44956</v>
      </c>
      <c r="C345" s="1" t="n">
        <v>45224</v>
      </c>
      <c r="D345" t="inlineStr">
        <is>
          <t>STOCKHOLMS LÄN</t>
        </is>
      </c>
      <c r="E345" t="inlineStr">
        <is>
          <t>NORRTÄLJE</t>
        </is>
      </c>
      <c r="G345" t="n">
        <v>0.6</v>
      </c>
      <c r="H345" t="n">
        <v>1</v>
      </c>
      <c r="I345" t="n">
        <v>0</v>
      </c>
      <c r="J345" t="n">
        <v>0</v>
      </c>
      <c r="K345" t="n">
        <v>0</v>
      </c>
      <c r="L345" t="n">
        <v>0</v>
      </c>
      <c r="M345" t="n">
        <v>0</v>
      </c>
      <c r="N345" t="n">
        <v>0</v>
      </c>
      <c r="O345" t="n">
        <v>0</v>
      </c>
      <c r="P345" t="n">
        <v>0</v>
      </c>
      <c r="Q345" t="n">
        <v>1</v>
      </c>
      <c r="R345" s="2" t="inlineStr">
        <is>
          <t>Blåsippa</t>
        </is>
      </c>
      <c r="S345">
        <f>HYPERLINK("https://klasma.github.io/Logging_0188/artfynd/A 4595-2023 artfynd.xlsx", "A 4595-2023")</f>
        <v/>
      </c>
      <c r="T345">
        <f>HYPERLINK("https://klasma.github.io/Logging_0188/kartor/A 4595-2023 karta.png", "A 4595-2023")</f>
        <v/>
      </c>
      <c r="V345">
        <f>HYPERLINK("https://klasma.github.io/Logging_0188/klagomål/A 4595-2023 FSC-klagomål.docx", "A 4595-2023")</f>
        <v/>
      </c>
      <c r="W345">
        <f>HYPERLINK("https://klasma.github.io/Logging_0188/klagomålsmail/A 4595-2023 FSC-klagomål mail.docx", "A 4595-2023")</f>
        <v/>
      </c>
      <c r="X345">
        <f>HYPERLINK("https://klasma.github.io/Logging_0188/tillsyn/A 4595-2023 tillsynsbegäran.docx", "A 4595-2023")</f>
        <v/>
      </c>
      <c r="Y345">
        <f>HYPERLINK("https://klasma.github.io/Logging_0188/tillsynsmail/A 4595-2023 tillsynsbegäran mail.docx", "A 4595-2023")</f>
        <v/>
      </c>
    </row>
    <row r="346" ht="15" customHeight="1">
      <c r="A346" t="inlineStr">
        <is>
          <t>A 5574-2023</t>
        </is>
      </c>
      <c r="B346" s="1" t="n">
        <v>44960</v>
      </c>
      <c r="C346" s="1" t="n">
        <v>45224</v>
      </c>
      <c r="D346" t="inlineStr">
        <is>
          <t>STOCKHOLMS LÄN</t>
        </is>
      </c>
      <c r="E346" t="inlineStr">
        <is>
          <t>BOTKYRKA</t>
        </is>
      </c>
      <c r="G346" t="n">
        <v>1.7</v>
      </c>
      <c r="H346" t="n">
        <v>0</v>
      </c>
      <c r="I346" t="n">
        <v>1</v>
      </c>
      <c r="J346" t="n">
        <v>0</v>
      </c>
      <c r="K346" t="n">
        <v>0</v>
      </c>
      <c r="L346" t="n">
        <v>0</v>
      </c>
      <c r="M346" t="n">
        <v>0</v>
      </c>
      <c r="N346" t="n">
        <v>0</v>
      </c>
      <c r="O346" t="n">
        <v>0</v>
      </c>
      <c r="P346" t="n">
        <v>0</v>
      </c>
      <c r="Q346" t="n">
        <v>1</v>
      </c>
      <c r="R346" s="2" t="inlineStr">
        <is>
          <t>Tibast</t>
        </is>
      </c>
      <c r="S346">
        <f>HYPERLINK("https://klasma.github.io/Logging_0127/artfynd/A 5574-2023 artfynd.xlsx", "A 5574-2023")</f>
        <v/>
      </c>
      <c r="T346">
        <f>HYPERLINK("https://klasma.github.io/Logging_0127/kartor/A 5574-2023 karta.png", "A 5574-2023")</f>
        <v/>
      </c>
      <c r="V346">
        <f>HYPERLINK("https://klasma.github.io/Logging_0127/klagomål/A 5574-2023 FSC-klagomål.docx", "A 5574-2023")</f>
        <v/>
      </c>
      <c r="W346">
        <f>HYPERLINK("https://klasma.github.io/Logging_0127/klagomålsmail/A 5574-2023 FSC-klagomål mail.docx", "A 5574-2023")</f>
        <v/>
      </c>
      <c r="X346">
        <f>HYPERLINK("https://klasma.github.io/Logging_0127/tillsyn/A 5574-2023 tillsynsbegäran.docx", "A 5574-2023")</f>
        <v/>
      </c>
      <c r="Y346">
        <f>HYPERLINK("https://klasma.github.io/Logging_0127/tillsynsmail/A 5574-2023 tillsynsbegäran mail.docx", "A 5574-2023")</f>
        <v/>
      </c>
    </row>
    <row r="347" ht="15" customHeight="1">
      <c r="A347" t="inlineStr">
        <is>
          <t>A 6435-2023</t>
        </is>
      </c>
      <c r="B347" s="1" t="n">
        <v>44965</v>
      </c>
      <c r="C347" s="1" t="n">
        <v>45224</v>
      </c>
      <c r="D347" t="inlineStr">
        <is>
          <t>STOCKHOLMS LÄN</t>
        </is>
      </c>
      <c r="E347" t="inlineStr">
        <is>
          <t>NYNÄSHAMN</t>
        </is>
      </c>
      <c r="G347" t="n">
        <v>1.8</v>
      </c>
      <c r="H347" t="n">
        <v>0</v>
      </c>
      <c r="I347" t="n">
        <v>0</v>
      </c>
      <c r="J347" t="n">
        <v>1</v>
      </c>
      <c r="K347" t="n">
        <v>0</v>
      </c>
      <c r="L347" t="n">
        <v>0</v>
      </c>
      <c r="M347" t="n">
        <v>0</v>
      </c>
      <c r="N347" t="n">
        <v>0</v>
      </c>
      <c r="O347" t="n">
        <v>1</v>
      </c>
      <c r="P347" t="n">
        <v>0</v>
      </c>
      <c r="Q347" t="n">
        <v>1</v>
      </c>
      <c r="R347" s="2" t="inlineStr">
        <is>
          <t>Tallticka</t>
        </is>
      </c>
      <c r="S347">
        <f>HYPERLINK("https://klasma.github.io/Logging_0192/artfynd/A 6435-2023 artfynd.xlsx", "A 6435-2023")</f>
        <v/>
      </c>
      <c r="T347">
        <f>HYPERLINK("https://klasma.github.io/Logging_0192/kartor/A 6435-2023 karta.png", "A 6435-2023")</f>
        <v/>
      </c>
      <c r="V347">
        <f>HYPERLINK("https://klasma.github.io/Logging_0192/klagomål/A 6435-2023 FSC-klagomål.docx", "A 6435-2023")</f>
        <v/>
      </c>
      <c r="W347">
        <f>HYPERLINK("https://klasma.github.io/Logging_0192/klagomålsmail/A 6435-2023 FSC-klagomål mail.docx", "A 6435-2023")</f>
        <v/>
      </c>
      <c r="X347">
        <f>HYPERLINK("https://klasma.github.io/Logging_0192/tillsyn/A 6435-2023 tillsynsbegäran.docx", "A 6435-2023")</f>
        <v/>
      </c>
      <c r="Y347">
        <f>HYPERLINK("https://klasma.github.io/Logging_0192/tillsynsmail/A 6435-2023 tillsynsbegäran mail.docx", "A 6435-2023")</f>
        <v/>
      </c>
    </row>
    <row r="348" ht="15" customHeight="1">
      <c r="A348" t="inlineStr">
        <is>
          <t>A 6381-2023</t>
        </is>
      </c>
      <c r="B348" s="1" t="n">
        <v>44965</v>
      </c>
      <c r="C348" s="1" t="n">
        <v>45224</v>
      </c>
      <c r="D348" t="inlineStr">
        <is>
          <t>STOCKHOLMS LÄN</t>
        </is>
      </c>
      <c r="E348" t="inlineStr">
        <is>
          <t>NORRTÄLJE</t>
        </is>
      </c>
      <c r="G348" t="n">
        <v>3.5</v>
      </c>
      <c r="H348" t="n">
        <v>1</v>
      </c>
      <c r="I348" t="n">
        <v>1</v>
      </c>
      <c r="J348" t="n">
        <v>0</v>
      </c>
      <c r="K348" t="n">
        <v>0</v>
      </c>
      <c r="L348" t="n">
        <v>0</v>
      </c>
      <c r="M348" t="n">
        <v>0</v>
      </c>
      <c r="N348" t="n">
        <v>0</v>
      </c>
      <c r="O348" t="n">
        <v>0</v>
      </c>
      <c r="P348" t="n">
        <v>0</v>
      </c>
      <c r="Q348" t="n">
        <v>1</v>
      </c>
      <c r="R348" s="2" t="inlineStr">
        <is>
          <t>Guckusko</t>
        </is>
      </c>
      <c r="S348">
        <f>HYPERLINK("https://klasma.github.io/Logging_0188/artfynd/A 6381-2023 artfynd.xlsx", "A 6381-2023")</f>
        <v/>
      </c>
      <c r="T348">
        <f>HYPERLINK("https://klasma.github.io/Logging_0188/kartor/A 6381-2023 karta.png", "A 6381-2023")</f>
        <v/>
      </c>
      <c r="V348">
        <f>HYPERLINK("https://klasma.github.io/Logging_0188/klagomål/A 6381-2023 FSC-klagomål.docx", "A 6381-2023")</f>
        <v/>
      </c>
      <c r="W348">
        <f>HYPERLINK("https://klasma.github.io/Logging_0188/klagomålsmail/A 6381-2023 FSC-klagomål mail.docx", "A 6381-2023")</f>
        <v/>
      </c>
      <c r="X348">
        <f>HYPERLINK("https://klasma.github.io/Logging_0188/tillsyn/A 6381-2023 tillsynsbegäran.docx", "A 6381-2023")</f>
        <v/>
      </c>
      <c r="Y348">
        <f>HYPERLINK("https://klasma.github.io/Logging_0188/tillsynsmail/A 6381-2023 tillsynsbegäran mail.docx", "A 6381-2023")</f>
        <v/>
      </c>
    </row>
    <row r="349" ht="15" customHeight="1">
      <c r="A349" t="inlineStr">
        <is>
          <t>A 7540-2023</t>
        </is>
      </c>
      <c r="B349" s="1" t="n">
        <v>44972</v>
      </c>
      <c r="C349" s="1" t="n">
        <v>45224</v>
      </c>
      <c r="D349" t="inlineStr">
        <is>
          <t>STOCKHOLMS LÄN</t>
        </is>
      </c>
      <c r="E349" t="inlineStr">
        <is>
          <t>NYNÄSHAMN</t>
        </is>
      </c>
      <c r="G349" t="n">
        <v>3.4</v>
      </c>
      <c r="H349" t="n">
        <v>1</v>
      </c>
      <c r="I349" t="n">
        <v>0</v>
      </c>
      <c r="J349" t="n">
        <v>1</v>
      </c>
      <c r="K349" t="n">
        <v>0</v>
      </c>
      <c r="L349" t="n">
        <v>0</v>
      </c>
      <c r="M349" t="n">
        <v>0</v>
      </c>
      <c r="N349" t="n">
        <v>0</v>
      </c>
      <c r="O349" t="n">
        <v>1</v>
      </c>
      <c r="P349" t="n">
        <v>0</v>
      </c>
      <c r="Q349" t="n">
        <v>1</v>
      </c>
      <c r="R349" s="2" t="inlineStr">
        <is>
          <t>Fjällvråk</t>
        </is>
      </c>
      <c r="S349">
        <f>HYPERLINK("https://klasma.github.io/Logging_0192/artfynd/A 7540-2023 artfynd.xlsx", "A 7540-2023")</f>
        <v/>
      </c>
      <c r="T349">
        <f>HYPERLINK("https://klasma.github.io/Logging_0192/kartor/A 7540-2023 karta.png", "A 7540-2023")</f>
        <v/>
      </c>
      <c r="V349">
        <f>HYPERLINK("https://klasma.github.io/Logging_0192/klagomål/A 7540-2023 FSC-klagomål.docx", "A 7540-2023")</f>
        <v/>
      </c>
      <c r="W349">
        <f>HYPERLINK("https://klasma.github.io/Logging_0192/klagomålsmail/A 7540-2023 FSC-klagomål mail.docx", "A 7540-2023")</f>
        <v/>
      </c>
      <c r="X349">
        <f>HYPERLINK("https://klasma.github.io/Logging_0192/tillsyn/A 7540-2023 tillsynsbegäran.docx", "A 7540-2023")</f>
        <v/>
      </c>
      <c r="Y349">
        <f>HYPERLINK("https://klasma.github.io/Logging_0192/tillsynsmail/A 7540-2023 tillsynsbegäran mail.docx", "A 7540-2023")</f>
        <v/>
      </c>
    </row>
    <row r="350" ht="15" customHeight="1">
      <c r="A350" t="inlineStr">
        <is>
          <t>A 7890-2023</t>
        </is>
      </c>
      <c r="B350" s="1" t="n">
        <v>44973</v>
      </c>
      <c r="C350" s="1" t="n">
        <v>45224</v>
      </c>
      <c r="D350" t="inlineStr">
        <is>
          <t>STOCKHOLMS LÄN</t>
        </is>
      </c>
      <c r="E350" t="inlineStr">
        <is>
          <t>VALLENTUNA</t>
        </is>
      </c>
      <c r="G350" t="n">
        <v>0.5</v>
      </c>
      <c r="H350" t="n">
        <v>0</v>
      </c>
      <c r="I350" t="n">
        <v>0</v>
      </c>
      <c r="J350" t="n">
        <v>1</v>
      </c>
      <c r="K350" t="n">
        <v>0</v>
      </c>
      <c r="L350" t="n">
        <v>0</v>
      </c>
      <c r="M350" t="n">
        <v>0</v>
      </c>
      <c r="N350" t="n">
        <v>0</v>
      </c>
      <c r="O350" t="n">
        <v>1</v>
      </c>
      <c r="P350" t="n">
        <v>0</v>
      </c>
      <c r="Q350" t="n">
        <v>1</v>
      </c>
      <c r="R350" s="2" t="inlineStr">
        <is>
          <t>Ullticka</t>
        </is>
      </c>
      <c r="S350">
        <f>HYPERLINK("https://klasma.github.io/Logging_0115/artfynd/A 7890-2023 artfynd.xlsx", "A 7890-2023")</f>
        <v/>
      </c>
      <c r="T350">
        <f>HYPERLINK("https://klasma.github.io/Logging_0115/kartor/A 7890-2023 karta.png", "A 7890-2023")</f>
        <v/>
      </c>
      <c r="V350">
        <f>HYPERLINK("https://klasma.github.io/Logging_0115/klagomål/A 7890-2023 FSC-klagomål.docx", "A 7890-2023")</f>
        <v/>
      </c>
      <c r="W350">
        <f>HYPERLINK("https://klasma.github.io/Logging_0115/klagomålsmail/A 7890-2023 FSC-klagomål mail.docx", "A 7890-2023")</f>
        <v/>
      </c>
      <c r="X350">
        <f>HYPERLINK("https://klasma.github.io/Logging_0115/tillsyn/A 7890-2023 tillsynsbegäran.docx", "A 7890-2023")</f>
        <v/>
      </c>
      <c r="Y350">
        <f>HYPERLINK("https://klasma.github.io/Logging_0115/tillsynsmail/A 7890-2023 tillsynsbegäran mail.docx", "A 7890-2023")</f>
        <v/>
      </c>
    </row>
    <row r="351" ht="15" customHeight="1">
      <c r="A351" t="inlineStr">
        <is>
          <t>A 7955-2023</t>
        </is>
      </c>
      <c r="B351" s="1" t="n">
        <v>44973</v>
      </c>
      <c r="C351" s="1" t="n">
        <v>45224</v>
      </c>
      <c r="D351" t="inlineStr">
        <is>
          <t>STOCKHOLMS LÄN</t>
        </is>
      </c>
      <c r="E351" t="inlineStr">
        <is>
          <t>UPPLANDS-BRO</t>
        </is>
      </c>
      <c r="G351" t="n">
        <v>2.9</v>
      </c>
      <c r="H351" t="n">
        <v>1</v>
      </c>
      <c r="I351" t="n">
        <v>0</v>
      </c>
      <c r="J351" t="n">
        <v>0</v>
      </c>
      <c r="K351" t="n">
        <v>1</v>
      </c>
      <c r="L351" t="n">
        <v>0</v>
      </c>
      <c r="M351" t="n">
        <v>0</v>
      </c>
      <c r="N351" t="n">
        <v>0</v>
      </c>
      <c r="O351" t="n">
        <v>1</v>
      </c>
      <c r="P351" t="n">
        <v>1</v>
      </c>
      <c r="Q351" t="n">
        <v>1</v>
      </c>
      <c r="R351" s="2" t="inlineStr">
        <is>
          <t>Bombmurkla</t>
        </is>
      </c>
      <c r="S351">
        <f>HYPERLINK("https://klasma.github.io/Logging_0139/artfynd/A 7955-2023 artfynd.xlsx", "A 7955-2023")</f>
        <v/>
      </c>
      <c r="T351">
        <f>HYPERLINK("https://klasma.github.io/Logging_0139/kartor/A 7955-2023 karta.png", "A 7955-2023")</f>
        <v/>
      </c>
      <c r="V351">
        <f>HYPERLINK("https://klasma.github.io/Logging_0139/klagomål/A 7955-2023 FSC-klagomål.docx", "A 7955-2023")</f>
        <v/>
      </c>
      <c r="W351">
        <f>HYPERLINK("https://klasma.github.io/Logging_0139/klagomålsmail/A 7955-2023 FSC-klagomål mail.docx", "A 7955-2023")</f>
        <v/>
      </c>
      <c r="X351">
        <f>HYPERLINK("https://klasma.github.io/Logging_0139/tillsyn/A 7955-2023 tillsynsbegäran.docx", "A 7955-2023")</f>
        <v/>
      </c>
      <c r="Y351">
        <f>HYPERLINK("https://klasma.github.io/Logging_0139/tillsynsmail/A 7955-2023 tillsynsbegäran mail.docx", "A 7955-2023")</f>
        <v/>
      </c>
    </row>
    <row r="352" ht="15" customHeight="1">
      <c r="A352" t="inlineStr">
        <is>
          <t>A 8149-2023</t>
        </is>
      </c>
      <c r="B352" s="1" t="n">
        <v>44974</v>
      </c>
      <c r="C352" s="1" t="n">
        <v>45224</v>
      </c>
      <c r="D352" t="inlineStr">
        <is>
          <t>STOCKHOLMS LÄN</t>
        </is>
      </c>
      <c r="E352" t="inlineStr">
        <is>
          <t>SIGTUNA</t>
        </is>
      </c>
      <c r="G352" t="n">
        <v>11.5</v>
      </c>
      <c r="H352" t="n">
        <v>0</v>
      </c>
      <c r="I352" t="n">
        <v>0</v>
      </c>
      <c r="J352" t="n">
        <v>0</v>
      </c>
      <c r="K352" t="n">
        <v>1</v>
      </c>
      <c r="L352" t="n">
        <v>0</v>
      </c>
      <c r="M352" t="n">
        <v>0</v>
      </c>
      <c r="N352" t="n">
        <v>0</v>
      </c>
      <c r="O352" t="n">
        <v>1</v>
      </c>
      <c r="P352" t="n">
        <v>1</v>
      </c>
      <c r="Q352" t="n">
        <v>1</v>
      </c>
      <c r="R352" s="2" t="inlineStr">
        <is>
          <t>Trubbdaggkåpa</t>
        </is>
      </c>
      <c r="S352">
        <f>HYPERLINK("https://klasma.github.io/Logging_0191/artfynd/A 8149-2023 artfynd.xlsx", "A 8149-2023")</f>
        <v/>
      </c>
      <c r="T352">
        <f>HYPERLINK("https://klasma.github.io/Logging_0191/kartor/A 8149-2023 karta.png", "A 8149-2023")</f>
        <v/>
      </c>
      <c r="V352">
        <f>HYPERLINK("https://klasma.github.io/Logging_0191/klagomål/A 8149-2023 FSC-klagomål.docx", "A 8149-2023")</f>
        <v/>
      </c>
      <c r="W352">
        <f>HYPERLINK("https://klasma.github.io/Logging_0191/klagomålsmail/A 8149-2023 FSC-klagomål mail.docx", "A 8149-2023")</f>
        <v/>
      </c>
      <c r="X352">
        <f>HYPERLINK("https://klasma.github.io/Logging_0191/tillsyn/A 8149-2023 tillsynsbegäran.docx", "A 8149-2023")</f>
        <v/>
      </c>
      <c r="Y352">
        <f>HYPERLINK("https://klasma.github.io/Logging_0191/tillsynsmail/A 8149-2023 tillsynsbegäran mail.docx", "A 8149-2023")</f>
        <v/>
      </c>
    </row>
    <row r="353" ht="15" customHeight="1">
      <c r="A353" t="inlineStr">
        <is>
          <t>A 9214-2023</t>
        </is>
      </c>
      <c r="B353" s="1" t="n">
        <v>44980</v>
      </c>
      <c r="C353" s="1" t="n">
        <v>45224</v>
      </c>
      <c r="D353" t="inlineStr">
        <is>
          <t>STOCKHOLMS LÄN</t>
        </is>
      </c>
      <c r="E353" t="inlineStr">
        <is>
          <t>NORRTÄLJE</t>
        </is>
      </c>
      <c r="G353" t="n">
        <v>10.6</v>
      </c>
      <c r="H353" t="n">
        <v>1</v>
      </c>
      <c r="I353" t="n">
        <v>1</v>
      </c>
      <c r="J353" t="n">
        <v>0</v>
      </c>
      <c r="K353" t="n">
        <v>0</v>
      </c>
      <c r="L353" t="n">
        <v>0</v>
      </c>
      <c r="M353" t="n">
        <v>0</v>
      </c>
      <c r="N353" t="n">
        <v>0</v>
      </c>
      <c r="O353" t="n">
        <v>0</v>
      </c>
      <c r="P353" t="n">
        <v>0</v>
      </c>
      <c r="Q353" t="n">
        <v>1</v>
      </c>
      <c r="R353" s="2" t="inlineStr">
        <is>
          <t>Guckusko</t>
        </is>
      </c>
      <c r="S353">
        <f>HYPERLINK("https://klasma.github.io/Logging_0188/artfynd/A 9214-2023 artfynd.xlsx", "A 9214-2023")</f>
        <v/>
      </c>
      <c r="T353">
        <f>HYPERLINK("https://klasma.github.io/Logging_0188/kartor/A 9214-2023 karta.png", "A 9214-2023")</f>
        <v/>
      </c>
      <c r="V353">
        <f>HYPERLINK("https://klasma.github.io/Logging_0188/klagomål/A 9214-2023 FSC-klagomål.docx", "A 9214-2023")</f>
        <v/>
      </c>
      <c r="W353">
        <f>HYPERLINK("https://klasma.github.io/Logging_0188/klagomålsmail/A 9214-2023 FSC-klagomål mail.docx", "A 9214-2023")</f>
        <v/>
      </c>
      <c r="X353">
        <f>HYPERLINK("https://klasma.github.io/Logging_0188/tillsyn/A 9214-2023 tillsynsbegäran.docx", "A 9214-2023")</f>
        <v/>
      </c>
      <c r="Y353">
        <f>HYPERLINK("https://klasma.github.io/Logging_0188/tillsynsmail/A 9214-2023 tillsynsbegäran mail.docx", "A 9214-2023")</f>
        <v/>
      </c>
    </row>
    <row r="354" ht="15" customHeight="1">
      <c r="A354" t="inlineStr">
        <is>
          <t>A 9268-2023</t>
        </is>
      </c>
      <c r="B354" s="1" t="n">
        <v>44980</v>
      </c>
      <c r="C354" s="1" t="n">
        <v>45224</v>
      </c>
      <c r="D354" t="inlineStr">
        <is>
          <t>STOCKHOLMS LÄN</t>
        </is>
      </c>
      <c r="E354" t="inlineStr">
        <is>
          <t>NYNÄSHAMN</t>
        </is>
      </c>
      <c r="G354" t="n">
        <v>4.9</v>
      </c>
      <c r="H354" t="n">
        <v>0</v>
      </c>
      <c r="I354" t="n">
        <v>0</v>
      </c>
      <c r="J354" t="n">
        <v>1</v>
      </c>
      <c r="K354" t="n">
        <v>0</v>
      </c>
      <c r="L354" t="n">
        <v>0</v>
      </c>
      <c r="M354" t="n">
        <v>0</v>
      </c>
      <c r="N354" t="n">
        <v>0</v>
      </c>
      <c r="O354" t="n">
        <v>1</v>
      </c>
      <c r="P354" t="n">
        <v>0</v>
      </c>
      <c r="Q354" t="n">
        <v>1</v>
      </c>
      <c r="R354" s="2" t="inlineStr">
        <is>
          <t>Tallticka</t>
        </is>
      </c>
      <c r="S354">
        <f>HYPERLINK("https://klasma.github.io/Logging_0192/artfynd/A 9268-2023 artfynd.xlsx", "A 9268-2023")</f>
        <v/>
      </c>
      <c r="T354">
        <f>HYPERLINK("https://klasma.github.io/Logging_0192/kartor/A 9268-2023 karta.png", "A 9268-2023")</f>
        <v/>
      </c>
      <c r="V354">
        <f>HYPERLINK("https://klasma.github.io/Logging_0192/klagomål/A 9268-2023 FSC-klagomål.docx", "A 9268-2023")</f>
        <v/>
      </c>
      <c r="W354">
        <f>HYPERLINK("https://klasma.github.io/Logging_0192/klagomålsmail/A 9268-2023 FSC-klagomål mail.docx", "A 9268-2023")</f>
        <v/>
      </c>
      <c r="X354">
        <f>HYPERLINK("https://klasma.github.io/Logging_0192/tillsyn/A 9268-2023 tillsynsbegäran.docx", "A 9268-2023")</f>
        <v/>
      </c>
      <c r="Y354">
        <f>HYPERLINK("https://klasma.github.io/Logging_0192/tillsynsmail/A 9268-2023 tillsynsbegäran mail.docx", "A 9268-2023")</f>
        <v/>
      </c>
    </row>
    <row r="355" ht="15" customHeight="1">
      <c r="A355" t="inlineStr">
        <is>
          <t>A 9271-2023</t>
        </is>
      </c>
      <c r="B355" s="1" t="n">
        <v>44980</v>
      </c>
      <c r="C355" s="1" t="n">
        <v>45224</v>
      </c>
      <c r="D355" t="inlineStr">
        <is>
          <t>STOCKHOLMS LÄN</t>
        </is>
      </c>
      <c r="E355" t="inlineStr">
        <is>
          <t>NORRTÄLJE</t>
        </is>
      </c>
      <c r="G355" t="n">
        <v>5.3</v>
      </c>
      <c r="H355" t="n">
        <v>1</v>
      </c>
      <c r="I355" t="n">
        <v>0</v>
      </c>
      <c r="J355" t="n">
        <v>0</v>
      </c>
      <c r="K355" t="n">
        <v>1</v>
      </c>
      <c r="L355" t="n">
        <v>0</v>
      </c>
      <c r="M355" t="n">
        <v>0</v>
      </c>
      <c r="N355" t="n">
        <v>0</v>
      </c>
      <c r="O355" t="n">
        <v>1</v>
      </c>
      <c r="P355" t="n">
        <v>1</v>
      </c>
      <c r="Q355" t="n">
        <v>1</v>
      </c>
      <c r="R355" s="2" t="inlineStr">
        <is>
          <t>Hällebräcka</t>
        </is>
      </c>
      <c r="S355">
        <f>HYPERLINK("https://klasma.github.io/Logging_0188/artfynd/A 9271-2023 artfynd.xlsx", "A 9271-2023")</f>
        <v/>
      </c>
      <c r="T355">
        <f>HYPERLINK("https://klasma.github.io/Logging_0188/kartor/A 9271-2023 karta.png", "A 9271-2023")</f>
        <v/>
      </c>
      <c r="V355">
        <f>HYPERLINK("https://klasma.github.io/Logging_0188/klagomål/A 9271-2023 FSC-klagomål.docx", "A 9271-2023")</f>
        <v/>
      </c>
      <c r="W355">
        <f>HYPERLINK("https://klasma.github.io/Logging_0188/klagomålsmail/A 9271-2023 FSC-klagomål mail.docx", "A 9271-2023")</f>
        <v/>
      </c>
      <c r="X355">
        <f>HYPERLINK("https://klasma.github.io/Logging_0188/tillsyn/A 9271-2023 tillsynsbegäran.docx", "A 9271-2023")</f>
        <v/>
      </c>
      <c r="Y355">
        <f>HYPERLINK("https://klasma.github.io/Logging_0188/tillsynsmail/A 9271-2023 tillsynsbegäran mail.docx", "A 9271-2023")</f>
        <v/>
      </c>
    </row>
    <row r="356" ht="15" customHeight="1">
      <c r="A356" t="inlineStr">
        <is>
          <t>A 9522-2023</t>
        </is>
      </c>
      <c r="B356" s="1" t="n">
        <v>44981</v>
      </c>
      <c r="C356" s="1" t="n">
        <v>45224</v>
      </c>
      <c r="D356" t="inlineStr">
        <is>
          <t>STOCKHOLMS LÄN</t>
        </is>
      </c>
      <c r="E356" t="inlineStr">
        <is>
          <t>NORRTÄLJE</t>
        </is>
      </c>
      <c r="F356" t="inlineStr">
        <is>
          <t>Holmen skog AB</t>
        </is>
      </c>
      <c r="G356" t="n">
        <v>7.5</v>
      </c>
      <c r="H356" t="n">
        <v>1</v>
      </c>
      <c r="I356" t="n">
        <v>0</v>
      </c>
      <c r="J356" t="n">
        <v>0</v>
      </c>
      <c r="K356" t="n">
        <v>0</v>
      </c>
      <c r="L356" t="n">
        <v>1</v>
      </c>
      <c r="M356" t="n">
        <v>0</v>
      </c>
      <c r="N356" t="n">
        <v>0</v>
      </c>
      <c r="O356" t="n">
        <v>1</v>
      </c>
      <c r="P356" t="n">
        <v>1</v>
      </c>
      <c r="Q356" t="n">
        <v>1</v>
      </c>
      <c r="R356" s="2" t="inlineStr">
        <is>
          <t>Asknätfjäril</t>
        </is>
      </c>
      <c r="S356">
        <f>HYPERLINK("https://klasma.github.io/Logging_0188/artfynd/A 9522-2023 artfynd.xlsx", "A 9522-2023")</f>
        <v/>
      </c>
      <c r="T356">
        <f>HYPERLINK("https://klasma.github.io/Logging_0188/kartor/A 9522-2023 karta.png", "A 9522-2023")</f>
        <v/>
      </c>
      <c r="V356">
        <f>HYPERLINK("https://klasma.github.io/Logging_0188/klagomål/A 9522-2023 FSC-klagomål.docx", "A 9522-2023")</f>
        <v/>
      </c>
      <c r="W356">
        <f>HYPERLINK("https://klasma.github.io/Logging_0188/klagomålsmail/A 9522-2023 FSC-klagomål mail.docx", "A 9522-2023")</f>
        <v/>
      </c>
      <c r="X356">
        <f>HYPERLINK("https://klasma.github.io/Logging_0188/tillsyn/A 9522-2023 tillsynsbegäran.docx", "A 9522-2023")</f>
        <v/>
      </c>
      <c r="Y356">
        <f>HYPERLINK("https://klasma.github.io/Logging_0188/tillsynsmail/A 9522-2023 tillsynsbegäran mail.docx", "A 9522-2023")</f>
        <v/>
      </c>
    </row>
    <row r="357" ht="15" customHeight="1">
      <c r="A357" t="inlineStr">
        <is>
          <t>A 11244-2023</t>
        </is>
      </c>
      <c r="B357" s="1" t="n">
        <v>44992</v>
      </c>
      <c r="C357" s="1" t="n">
        <v>45224</v>
      </c>
      <c r="D357" t="inlineStr">
        <is>
          <t>STOCKHOLMS LÄN</t>
        </is>
      </c>
      <c r="E357" t="inlineStr">
        <is>
          <t>VALLENTUNA</t>
        </is>
      </c>
      <c r="G357" t="n">
        <v>4.3</v>
      </c>
      <c r="H357" t="n">
        <v>1</v>
      </c>
      <c r="I357" t="n">
        <v>0</v>
      </c>
      <c r="J357" t="n">
        <v>0</v>
      </c>
      <c r="K357" t="n">
        <v>0</v>
      </c>
      <c r="L357" t="n">
        <v>0</v>
      </c>
      <c r="M357" t="n">
        <v>0</v>
      </c>
      <c r="N357" t="n">
        <v>0</v>
      </c>
      <c r="O357" t="n">
        <v>0</v>
      </c>
      <c r="P357" t="n">
        <v>0</v>
      </c>
      <c r="Q357" t="n">
        <v>1</v>
      </c>
      <c r="R357" s="2" t="inlineStr">
        <is>
          <t>Revlummer</t>
        </is>
      </c>
      <c r="S357">
        <f>HYPERLINK("https://klasma.github.io/Logging_0115/artfynd/A 11244-2023 artfynd.xlsx", "A 11244-2023")</f>
        <v/>
      </c>
      <c r="T357">
        <f>HYPERLINK("https://klasma.github.io/Logging_0115/kartor/A 11244-2023 karta.png", "A 11244-2023")</f>
        <v/>
      </c>
      <c r="V357">
        <f>HYPERLINK("https://klasma.github.io/Logging_0115/klagomål/A 11244-2023 FSC-klagomål.docx", "A 11244-2023")</f>
        <v/>
      </c>
      <c r="W357">
        <f>HYPERLINK("https://klasma.github.io/Logging_0115/klagomålsmail/A 11244-2023 FSC-klagomål mail.docx", "A 11244-2023")</f>
        <v/>
      </c>
      <c r="X357">
        <f>HYPERLINK("https://klasma.github.io/Logging_0115/tillsyn/A 11244-2023 tillsynsbegäran.docx", "A 11244-2023")</f>
        <v/>
      </c>
      <c r="Y357">
        <f>HYPERLINK("https://klasma.github.io/Logging_0115/tillsynsmail/A 11244-2023 tillsynsbegäran mail.docx", "A 11244-2023")</f>
        <v/>
      </c>
    </row>
    <row r="358" ht="15" customHeight="1">
      <c r="A358" t="inlineStr">
        <is>
          <t>A 11429-2023</t>
        </is>
      </c>
      <c r="B358" s="1" t="n">
        <v>44993</v>
      </c>
      <c r="C358" s="1" t="n">
        <v>45224</v>
      </c>
      <c r="D358" t="inlineStr">
        <is>
          <t>STOCKHOLMS LÄN</t>
        </is>
      </c>
      <c r="E358" t="inlineStr">
        <is>
          <t>NORRTÄLJE</t>
        </is>
      </c>
      <c r="G358" t="n">
        <v>2</v>
      </c>
      <c r="H358" t="n">
        <v>0</v>
      </c>
      <c r="I358" t="n">
        <v>0</v>
      </c>
      <c r="J358" t="n">
        <v>1</v>
      </c>
      <c r="K358" t="n">
        <v>0</v>
      </c>
      <c r="L358" t="n">
        <v>0</v>
      </c>
      <c r="M358" t="n">
        <v>0</v>
      </c>
      <c r="N358" t="n">
        <v>0</v>
      </c>
      <c r="O358" t="n">
        <v>1</v>
      </c>
      <c r="P358" t="n">
        <v>0</v>
      </c>
      <c r="Q358" t="n">
        <v>1</v>
      </c>
      <c r="R358" s="2" t="inlineStr">
        <is>
          <t>Skogsklocka</t>
        </is>
      </c>
      <c r="S358">
        <f>HYPERLINK("https://klasma.github.io/Logging_0188/artfynd/A 11429-2023 artfynd.xlsx", "A 11429-2023")</f>
        <v/>
      </c>
      <c r="T358">
        <f>HYPERLINK("https://klasma.github.io/Logging_0188/kartor/A 11429-2023 karta.png", "A 11429-2023")</f>
        <v/>
      </c>
      <c r="V358">
        <f>HYPERLINK("https://klasma.github.io/Logging_0188/klagomål/A 11429-2023 FSC-klagomål.docx", "A 11429-2023")</f>
        <v/>
      </c>
      <c r="W358">
        <f>HYPERLINK("https://klasma.github.io/Logging_0188/klagomålsmail/A 11429-2023 FSC-klagomål mail.docx", "A 11429-2023")</f>
        <v/>
      </c>
      <c r="X358">
        <f>HYPERLINK("https://klasma.github.io/Logging_0188/tillsyn/A 11429-2023 tillsynsbegäran.docx", "A 11429-2023")</f>
        <v/>
      </c>
      <c r="Y358">
        <f>HYPERLINK("https://klasma.github.io/Logging_0188/tillsynsmail/A 11429-2023 tillsynsbegäran mail.docx", "A 11429-2023")</f>
        <v/>
      </c>
    </row>
    <row r="359" ht="15" customHeight="1">
      <c r="A359" t="inlineStr">
        <is>
          <t>A 13794-2023</t>
        </is>
      </c>
      <c r="B359" s="1" t="n">
        <v>45007</v>
      </c>
      <c r="C359" s="1" t="n">
        <v>45224</v>
      </c>
      <c r="D359" t="inlineStr">
        <is>
          <t>STOCKHOLMS LÄN</t>
        </is>
      </c>
      <c r="E359" t="inlineStr">
        <is>
          <t>EKERÖ</t>
        </is>
      </c>
      <c r="G359" t="n">
        <v>4.8</v>
      </c>
      <c r="H359" t="n">
        <v>0</v>
      </c>
      <c r="I359" t="n">
        <v>0</v>
      </c>
      <c r="J359" t="n">
        <v>1</v>
      </c>
      <c r="K359" t="n">
        <v>0</v>
      </c>
      <c r="L359" t="n">
        <v>0</v>
      </c>
      <c r="M359" t="n">
        <v>0</v>
      </c>
      <c r="N359" t="n">
        <v>0</v>
      </c>
      <c r="O359" t="n">
        <v>1</v>
      </c>
      <c r="P359" t="n">
        <v>0</v>
      </c>
      <c r="Q359" t="n">
        <v>1</v>
      </c>
      <c r="R359" s="2" t="inlineStr">
        <is>
          <t>Tallticka</t>
        </is>
      </c>
      <c r="S359">
        <f>HYPERLINK("https://klasma.github.io/Logging_0125/artfynd/A 13794-2023 artfynd.xlsx", "A 13794-2023")</f>
        <v/>
      </c>
      <c r="T359">
        <f>HYPERLINK("https://klasma.github.io/Logging_0125/kartor/A 13794-2023 karta.png", "A 13794-2023")</f>
        <v/>
      </c>
      <c r="V359">
        <f>HYPERLINK("https://klasma.github.io/Logging_0125/klagomål/A 13794-2023 FSC-klagomål.docx", "A 13794-2023")</f>
        <v/>
      </c>
      <c r="W359">
        <f>HYPERLINK("https://klasma.github.io/Logging_0125/klagomålsmail/A 13794-2023 FSC-klagomål mail.docx", "A 13794-2023")</f>
        <v/>
      </c>
      <c r="X359">
        <f>HYPERLINK("https://klasma.github.io/Logging_0125/tillsyn/A 13794-2023 tillsynsbegäran.docx", "A 13794-2023")</f>
        <v/>
      </c>
      <c r="Y359">
        <f>HYPERLINK("https://klasma.github.io/Logging_0125/tillsynsmail/A 13794-2023 tillsynsbegäran mail.docx", "A 13794-2023")</f>
        <v/>
      </c>
    </row>
    <row r="360" ht="15" customHeight="1">
      <c r="A360" t="inlineStr">
        <is>
          <t>A 15644-2023</t>
        </is>
      </c>
      <c r="B360" s="1" t="n">
        <v>45021</v>
      </c>
      <c r="C360" s="1" t="n">
        <v>45224</v>
      </c>
      <c r="D360" t="inlineStr">
        <is>
          <t>STOCKHOLMS LÄN</t>
        </is>
      </c>
      <c r="E360" t="inlineStr">
        <is>
          <t>NORRTÄLJE</t>
        </is>
      </c>
      <c r="F360" t="inlineStr">
        <is>
          <t>Holmen skog AB</t>
        </is>
      </c>
      <c r="G360" t="n">
        <v>13</v>
      </c>
      <c r="H360" t="n">
        <v>1</v>
      </c>
      <c r="I360" t="n">
        <v>0</v>
      </c>
      <c r="J360" t="n">
        <v>0</v>
      </c>
      <c r="K360" t="n">
        <v>0</v>
      </c>
      <c r="L360" t="n">
        <v>1</v>
      </c>
      <c r="M360" t="n">
        <v>0</v>
      </c>
      <c r="N360" t="n">
        <v>0</v>
      </c>
      <c r="O360" t="n">
        <v>1</v>
      </c>
      <c r="P360" t="n">
        <v>1</v>
      </c>
      <c r="Q360" t="n">
        <v>1</v>
      </c>
      <c r="R360" s="2" t="inlineStr">
        <is>
          <t>Asknätfjäril</t>
        </is>
      </c>
      <c r="S360">
        <f>HYPERLINK("https://klasma.github.io/Logging_0188/artfynd/A 15644-2023 artfynd.xlsx", "A 15644-2023")</f>
        <v/>
      </c>
      <c r="T360">
        <f>HYPERLINK("https://klasma.github.io/Logging_0188/kartor/A 15644-2023 karta.png", "A 15644-2023")</f>
        <v/>
      </c>
      <c r="V360">
        <f>HYPERLINK("https://klasma.github.io/Logging_0188/klagomål/A 15644-2023 FSC-klagomål.docx", "A 15644-2023")</f>
        <v/>
      </c>
      <c r="W360">
        <f>HYPERLINK("https://klasma.github.io/Logging_0188/klagomålsmail/A 15644-2023 FSC-klagomål mail.docx", "A 15644-2023")</f>
        <v/>
      </c>
      <c r="X360">
        <f>HYPERLINK("https://klasma.github.io/Logging_0188/tillsyn/A 15644-2023 tillsynsbegäran.docx", "A 15644-2023")</f>
        <v/>
      </c>
      <c r="Y360">
        <f>HYPERLINK("https://klasma.github.io/Logging_0188/tillsynsmail/A 15644-2023 tillsynsbegäran mail.docx", "A 15644-2023")</f>
        <v/>
      </c>
    </row>
    <row r="361" ht="15" customHeight="1">
      <c r="A361" t="inlineStr">
        <is>
          <t>A 18216-2023</t>
        </is>
      </c>
      <c r="B361" s="1" t="n">
        <v>45041</v>
      </c>
      <c r="C361" s="1" t="n">
        <v>45224</v>
      </c>
      <c r="D361" t="inlineStr">
        <is>
          <t>STOCKHOLMS LÄN</t>
        </is>
      </c>
      <c r="E361" t="inlineStr">
        <is>
          <t>NORRTÄLJE</t>
        </is>
      </c>
      <c r="F361" t="inlineStr">
        <is>
          <t>Holmen skog AB</t>
        </is>
      </c>
      <c r="G361" t="n">
        <v>1.9</v>
      </c>
      <c r="H361" t="n">
        <v>0</v>
      </c>
      <c r="I361" t="n">
        <v>1</v>
      </c>
      <c r="J361" t="n">
        <v>0</v>
      </c>
      <c r="K361" t="n">
        <v>0</v>
      </c>
      <c r="L361" t="n">
        <v>0</v>
      </c>
      <c r="M361" t="n">
        <v>0</v>
      </c>
      <c r="N361" t="n">
        <v>0</v>
      </c>
      <c r="O361" t="n">
        <v>0</v>
      </c>
      <c r="P361" t="n">
        <v>0</v>
      </c>
      <c r="Q361" t="n">
        <v>1</v>
      </c>
      <c r="R361" s="2" t="inlineStr">
        <is>
          <t>Vårärt</t>
        </is>
      </c>
      <c r="S361">
        <f>HYPERLINK("https://klasma.github.io/Logging_0188/artfynd/A 18216-2023 artfynd.xlsx", "A 18216-2023")</f>
        <v/>
      </c>
      <c r="T361">
        <f>HYPERLINK("https://klasma.github.io/Logging_0188/kartor/A 18216-2023 karta.png", "A 18216-2023")</f>
        <v/>
      </c>
      <c r="V361">
        <f>HYPERLINK("https://klasma.github.io/Logging_0188/klagomål/A 18216-2023 FSC-klagomål.docx", "A 18216-2023")</f>
        <v/>
      </c>
      <c r="W361">
        <f>HYPERLINK("https://klasma.github.io/Logging_0188/klagomålsmail/A 18216-2023 FSC-klagomål mail.docx", "A 18216-2023")</f>
        <v/>
      </c>
      <c r="X361">
        <f>HYPERLINK("https://klasma.github.io/Logging_0188/tillsyn/A 18216-2023 tillsynsbegäran.docx", "A 18216-2023")</f>
        <v/>
      </c>
      <c r="Y361">
        <f>HYPERLINK("https://klasma.github.io/Logging_0188/tillsynsmail/A 18216-2023 tillsynsbegäran mail.docx", "A 18216-2023")</f>
        <v/>
      </c>
    </row>
    <row r="362" ht="15" customHeight="1">
      <c r="A362" t="inlineStr">
        <is>
          <t>A 19489-2023</t>
        </is>
      </c>
      <c r="B362" s="1" t="n">
        <v>45050</v>
      </c>
      <c r="C362" s="1" t="n">
        <v>45224</v>
      </c>
      <c r="D362" t="inlineStr">
        <is>
          <t>STOCKHOLMS LÄN</t>
        </is>
      </c>
      <c r="E362" t="inlineStr">
        <is>
          <t>NYKVARN</t>
        </is>
      </c>
      <c r="F362" t="inlineStr">
        <is>
          <t>Sveaskog</t>
        </is>
      </c>
      <c r="G362" t="n">
        <v>0.7</v>
      </c>
      <c r="H362" t="n">
        <v>1</v>
      </c>
      <c r="I362" t="n">
        <v>0</v>
      </c>
      <c r="J362" t="n">
        <v>0</v>
      </c>
      <c r="K362" t="n">
        <v>0</v>
      </c>
      <c r="L362" t="n">
        <v>0</v>
      </c>
      <c r="M362" t="n">
        <v>0</v>
      </c>
      <c r="N362" t="n">
        <v>0</v>
      </c>
      <c r="O362" t="n">
        <v>0</v>
      </c>
      <c r="P362" t="n">
        <v>0</v>
      </c>
      <c r="Q362" t="n">
        <v>1</v>
      </c>
      <c r="R362" s="2" t="inlineStr">
        <is>
          <t>Blåsippa</t>
        </is>
      </c>
      <c r="S362">
        <f>HYPERLINK("https://klasma.github.io/Logging_0140/artfynd/A 19489-2023 artfynd.xlsx", "A 19489-2023")</f>
        <v/>
      </c>
      <c r="T362">
        <f>HYPERLINK("https://klasma.github.io/Logging_0140/kartor/A 19489-2023 karta.png", "A 19489-2023")</f>
        <v/>
      </c>
      <c r="V362">
        <f>HYPERLINK("https://klasma.github.io/Logging_0140/klagomål/A 19489-2023 FSC-klagomål.docx", "A 19489-2023")</f>
        <v/>
      </c>
      <c r="W362">
        <f>HYPERLINK("https://klasma.github.io/Logging_0140/klagomålsmail/A 19489-2023 FSC-klagomål mail.docx", "A 19489-2023")</f>
        <v/>
      </c>
      <c r="X362">
        <f>HYPERLINK("https://klasma.github.io/Logging_0140/tillsyn/A 19489-2023 tillsynsbegäran.docx", "A 19489-2023")</f>
        <v/>
      </c>
      <c r="Y362">
        <f>HYPERLINK("https://klasma.github.io/Logging_0140/tillsynsmail/A 19489-2023 tillsynsbegäran mail.docx", "A 19489-2023")</f>
        <v/>
      </c>
    </row>
    <row r="363" ht="15" customHeight="1">
      <c r="A363" t="inlineStr">
        <is>
          <t>A 24233-2023</t>
        </is>
      </c>
      <c r="B363" s="1" t="n">
        <v>45076</v>
      </c>
      <c r="C363" s="1" t="n">
        <v>45224</v>
      </c>
      <c r="D363" t="inlineStr">
        <is>
          <t>STOCKHOLMS LÄN</t>
        </is>
      </c>
      <c r="E363" t="inlineStr">
        <is>
          <t>HUDDINGE</t>
        </is>
      </c>
      <c r="G363" t="n">
        <v>3.7</v>
      </c>
      <c r="H363" t="n">
        <v>0</v>
      </c>
      <c r="I363" t="n">
        <v>0</v>
      </c>
      <c r="J363" t="n">
        <v>1</v>
      </c>
      <c r="K363" t="n">
        <v>0</v>
      </c>
      <c r="L363" t="n">
        <v>0</v>
      </c>
      <c r="M363" t="n">
        <v>0</v>
      </c>
      <c r="N363" t="n">
        <v>0</v>
      </c>
      <c r="O363" t="n">
        <v>1</v>
      </c>
      <c r="P363" t="n">
        <v>0</v>
      </c>
      <c r="Q363" t="n">
        <v>1</v>
      </c>
      <c r="R363" s="2" t="inlineStr">
        <is>
          <t>Svartvit taggsvamp</t>
        </is>
      </c>
      <c r="S363">
        <f>HYPERLINK("https://klasma.github.io/Logging_0126/artfynd/A 24233-2023 artfynd.xlsx", "A 24233-2023")</f>
        <v/>
      </c>
      <c r="T363">
        <f>HYPERLINK("https://klasma.github.io/Logging_0126/kartor/A 24233-2023 karta.png", "A 24233-2023")</f>
        <v/>
      </c>
      <c r="V363">
        <f>HYPERLINK("https://klasma.github.io/Logging_0126/klagomål/A 24233-2023 FSC-klagomål.docx", "A 24233-2023")</f>
        <v/>
      </c>
      <c r="W363">
        <f>HYPERLINK("https://klasma.github.io/Logging_0126/klagomålsmail/A 24233-2023 FSC-klagomål mail.docx", "A 24233-2023")</f>
        <v/>
      </c>
      <c r="X363">
        <f>HYPERLINK("https://klasma.github.io/Logging_0126/tillsyn/A 24233-2023 tillsynsbegäran.docx", "A 24233-2023")</f>
        <v/>
      </c>
      <c r="Y363">
        <f>HYPERLINK("https://klasma.github.io/Logging_0126/tillsynsmail/A 24233-2023 tillsynsbegäran mail.docx", "A 24233-2023")</f>
        <v/>
      </c>
    </row>
    <row r="364" ht="15" customHeight="1">
      <c r="A364" t="inlineStr">
        <is>
          <t>A 23829-2023</t>
        </is>
      </c>
      <c r="B364" s="1" t="n">
        <v>45078</v>
      </c>
      <c r="C364" s="1" t="n">
        <v>45224</v>
      </c>
      <c r="D364" t="inlineStr">
        <is>
          <t>STOCKHOLMS LÄN</t>
        </is>
      </c>
      <c r="E364" t="inlineStr">
        <is>
          <t>BOTKYRKA</t>
        </is>
      </c>
      <c r="F364" t="inlineStr">
        <is>
          <t>Kommuner</t>
        </is>
      </c>
      <c r="G364" t="n">
        <v>3.7</v>
      </c>
      <c r="H364" t="n">
        <v>0</v>
      </c>
      <c r="I364" t="n">
        <v>1</v>
      </c>
      <c r="J364" t="n">
        <v>0</v>
      </c>
      <c r="K364" t="n">
        <v>0</v>
      </c>
      <c r="L364" t="n">
        <v>0</v>
      </c>
      <c r="M364" t="n">
        <v>0</v>
      </c>
      <c r="N364" t="n">
        <v>0</v>
      </c>
      <c r="O364" t="n">
        <v>0</v>
      </c>
      <c r="P364" t="n">
        <v>0</v>
      </c>
      <c r="Q364" t="n">
        <v>1</v>
      </c>
      <c r="R364" s="2" t="inlineStr">
        <is>
          <t>Fjällig taggsvamp s.str.</t>
        </is>
      </c>
      <c r="S364">
        <f>HYPERLINK("https://klasma.github.io/Logging_0127/artfynd/A 23829-2023 artfynd.xlsx", "A 23829-2023")</f>
        <v/>
      </c>
      <c r="T364">
        <f>HYPERLINK("https://klasma.github.io/Logging_0127/kartor/A 23829-2023 karta.png", "A 23829-2023")</f>
        <v/>
      </c>
      <c r="V364">
        <f>HYPERLINK("https://klasma.github.io/Logging_0127/klagomål/A 23829-2023 FSC-klagomål.docx", "A 23829-2023")</f>
        <v/>
      </c>
      <c r="W364">
        <f>HYPERLINK("https://klasma.github.io/Logging_0127/klagomålsmail/A 23829-2023 FSC-klagomål mail.docx", "A 23829-2023")</f>
        <v/>
      </c>
      <c r="X364">
        <f>HYPERLINK("https://klasma.github.io/Logging_0127/tillsyn/A 23829-2023 tillsynsbegäran.docx", "A 23829-2023")</f>
        <v/>
      </c>
      <c r="Y364">
        <f>HYPERLINK("https://klasma.github.io/Logging_0127/tillsynsmail/A 23829-2023 tillsynsbegäran mail.docx", "A 23829-2023")</f>
        <v/>
      </c>
    </row>
    <row r="365" ht="15" customHeight="1">
      <c r="A365" t="inlineStr">
        <is>
          <t>A 23823-2023</t>
        </is>
      </c>
      <c r="B365" s="1" t="n">
        <v>45078</v>
      </c>
      <c r="C365" s="1" t="n">
        <v>45224</v>
      </c>
      <c r="D365" t="inlineStr">
        <is>
          <t>STOCKHOLMS LÄN</t>
        </is>
      </c>
      <c r="E365" t="inlineStr">
        <is>
          <t>SALEM</t>
        </is>
      </c>
      <c r="F365" t="inlineStr">
        <is>
          <t>Kommuner</t>
        </is>
      </c>
      <c r="G365" t="n">
        <v>2.1</v>
      </c>
      <c r="H365" t="n">
        <v>1</v>
      </c>
      <c r="I365" t="n">
        <v>0</v>
      </c>
      <c r="J365" t="n">
        <v>0</v>
      </c>
      <c r="K365" t="n">
        <v>0</v>
      </c>
      <c r="L365" t="n">
        <v>0</v>
      </c>
      <c r="M365" t="n">
        <v>0</v>
      </c>
      <c r="N365" t="n">
        <v>0</v>
      </c>
      <c r="O365" t="n">
        <v>0</v>
      </c>
      <c r="P365" t="n">
        <v>0</v>
      </c>
      <c r="Q365" t="n">
        <v>1</v>
      </c>
      <c r="R365" s="2" t="inlineStr">
        <is>
          <t>Revlummer</t>
        </is>
      </c>
      <c r="S365">
        <f>HYPERLINK("https://klasma.github.io/Logging_0128/artfynd/A 23823-2023 artfynd.xlsx", "A 23823-2023")</f>
        <v/>
      </c>
      <c r="T365">
        <f>HYPERLINK("https://klasma.github.io/Logging_0128/kartor/A 23823-2023 karta.png", "A 23823-2023")</f>
        <v/>
      </c>
      <c r="V365">
        <f>HYPERLINK("https://klasma.github.io/Logging_0128/klagomål/A 23823-2023 FSC-klagomål.docx", "A 23823-2023")</f>
        <v/>
      </c>
      <c r="W365">
        <f>HYPERLINK("https://klasma.github.io/Logging_0128/klagomålsmail/A 23823-2023 FSC-klagomål mail.docx", "A 23823-2023")</f>
        <v/>
      </c>
      <c r="X365">
        <f>HYPERLINK("https://klasma.github.io/Logging_0128/tillsyn/A 23823-2023 tillsynsbegäran.docx", "A 23823-2023")</f>
        <v/>
      </c>
      <c r="Y365">
        <f>HYPERLINK("https://klasma.github.io/Logging_0128/tillsynsmail/A 23823-2023 tillsynsbegäran mail.docx", "A 23823-2023")</f>
        <v/>
      </c>
    </row>
    <row r="366" ht="15" customHeight="1">
      <c r="A366" t="inlineStr">
        <is>
          <t>A 24535-2023</t>
        </is>
      </c>
      <c r="B366" s="1" t="n">
        <v>45082</v>
      </c>
      <c r="C366" s="1" t="n">
        <v>45224</v>
      </c>
      <c r="D366" t="inlineStr">
        <is>
          <t>STOCKHOLMS LÄN</t>
        </is>
      </c>
      <c r="E366" t="inlineStr">
        <is>
          <t>NORRTÄLJE</t>
        </is>
      </c>
      <c r="F366" t="inlineStr">
        <is>
          <t>Kommuner</t>
        </is>
      </c>
      <c r="G366" t="n">
        <v>2</v>
      </c>
      <c r="H366" t="n">
        <v>1</v>
      </c>
      <c r="I366" t="n">
        <v>0</v>
      </c>
      <c r="J366" t="n">
        <v>0</v>
      </c>
      <c r="K366" t="n">
        <v>0</v>
      </c>
      <c r="L366" t="n">
        <v>0</v>
      </c>
      <c r="M366" t="n">
        <v>0</v>
      </c>
      <c r="N366" t="n">
        <v>0</v>
      </c>
      <c r="O366" t="n">
        <v>0</v>
      </c>
      <c r="P366" t="n">
        <v>0</v>
      </c>
      <c r="Q366" t="n">
        <v>1</v>
      </c>
      <c r="R366" s="2" t="inlineStr">
        <is>
          <t>Blåsippa</t>
        </is>
      </c>
      <c r="S366">
        <f>HYPERLINK("https://klasma.github.io/Logging_0188/artfynd/A 24535-2023 artfynd.xlsx", "A 24535-2023")</f>
        <v/>
      </c>
      <c r="T366">
        <f>HYPERLINK("https://klasma.github.io/Logging_0188/kartor/A 24535-2023 karta.png", "A 24535-2023")</f>
        <v/>
      </c>
      <c r="V366">
        <f>HYPERLINK("https://klasma.github.io/Logging_0188/klagomål/A 24535-2023 FSC-klagomål.docx", "A 24535-2023")</f>
        <v/>
      </c>
      <c r="W366">
        <f>HYPERLINK("https://klasma.github.io/Logging_0188/klagomålsmail/A 24535-2023 FSC-klagomål mail.docx", "A 24535-2023")</f>
        <v/>
      </c>
      <c r="X366">
        <f>HYPERLINK("https://klasma.github.io/Logging_0188/tillsyn/A 24535-2023 tillsynsbegäran.docx", "A 24535-2023")</f>
        <v/>
      </c>
      <c r="Y366">
        <f>HYPERLINK("https://klasma.github.io/Logging_0188/tillsynsmail/A 24535-2023 tillsynsbegäran mail.docx", "A 24535-2023")</f>
        <v/>
      </c>
    </row>
    <row r="367" ht="15" customHeight="1">
      <c r="A367" t="inlineStr">
        <is>
          <t>A 26635-2023</t>
        </is>
      </c>
      <c r="B367" s="1" t="n">
        <v>45092</v>
      </c>
      <c r="C367" s="1" t="n">
        <v>45224</v>
      </c>
      <c r="D367" t="inlineStr">
        <is>
          <t>STOCKHOLMS LÄN</t>
        </is>
      </c>
      <c r="E367" t="inlineStr">
        <is>
          <t>NORRTÄLJE</t>
        </is>
      </c>
      <c r="G367" t="n">
        <v>3.1</v>
      </c>
      <c r="H367" t="n">
        <v>1</v>
      </c>
      <c r="I367" t="n">
        <v>0</v>
      </c>
      <c r="J367" t="n">
        <v>0</v>
      </c>
      <c r="K367" t="n">
        <v>0</v>
      </c>
      <c r="L367" t="n">
        <v>0</v>
      </c>
      <c r="M367" t="n">
        <v>0</v>
      </c>
      <c r="N367" t="n">
        <v>0</v>
      </c>
      <c r="O367" t="n">
        <v>0</v>
      </c>
      <c r="P367" t="n">
        <v>0</v>
      </c>
      <c r="Q367" t="n">
        <v>1</v>
      </c>
      <c r="R367" s="2" t="inlineStr">
        <is>
          <t>Fläcknycklar</t>
        </is>
      </c>
      <c r="S367">
        <f>HYPERLINK("https://klasma.github.io/Logging_0188/artfynd/A 26635-2023 artfynd.xlsx", "A 26635-2023")</f>
        <v/>
      </c>
      <c r="T367">
        <f>HYPERLINK("https://klasma.github.io/Logging_0188/kartor/A 26635-2023 karta.png", "A 26635-2023")</f>
        <v/>
      </c>
      <c r="V367">
        <f>HYPERLINK("https://klasma.github.io/Logging_0188/klagomål/A 26635-2023 FSC-klagomål.docx", "A 26635-2023")</f>
        <v/>
      </c>
      <c r="W367">
        <f>HYPERLINK("https://klasma.github.io/Logging_0188/klagomålsmail/A 26635-2023 FSC-klagomål mail.docx", "A 26635-2023")</f>
        <v/>
      </c>
      <c r="X367">
        <f>HYPERLINK("https://klasma.github.io/Logging_0188/tillsyn/A 26635-2023 tillsynsbegäran.docx", "A 26635-2023")</f>
        <v/>
      </c>
      <c r="Y367">
        <f>HYPERLINK("https://klasma.github.io/Logging_0188/tillsynsmail/A 26635-2023 tillsynsbegäran mail.docx", "A 26635-2023")</f>
        <v/>
      </c>
    </row>
    <row r="368" ht="15" customHeight="1">
      <c r="A368" t="inlineStr">
        <is>
          <t>A 28981-2023</t>
        </is>
      </c>
      <c r="B368" s="1" t="n">
        <v>45104</v>
      </c>
      <c r="C368" s="1" t="n">
        <v>45224</v>
      </c>
      <c r="D368" t="inlineStr">
        <is>
          <t>STOCKHOLMS LÄN</t>
        </is>
      </c>
      <c r="E368" t="inlineStr">
        <is>
          <t>SÖDERTÄLJE</t>
        </is>
      </c>
      <c r="G368" t="n">
        <v>15.3</v>
      </c>
      <c r="H368" t="n">
        <v>0</v>
      </c>
      <c r="I368" t="n">
        <v>0</v>
      </c>
      <c r="J368" t="n">
        <v>0</v>
      </c>
      <c r="K368" t="n">
        <v>0</v>
      </c>
      <c r="L368" t="n">
        <v>1</v>
      </c>
      <c r="M368" t="n">
        <v>0</v>
      </c>
      <c r="N368" t="n">
        <v>0</v>
      </c>
      <c r="O368" t="n">
        <v>1</v>
      </c>
      <c r="P368" t="n">
        <v>1</v>
      </c>
      <c r="Q368" t="n">
        <v>1</v>
      </c>
      <c r="R368" s="2" t="inlineStr">
        <is>
          <t>Prakttagging</t>
        </is>
      </c>
      <c r="S368">
        <f>HYPERLINK("https://klasma.github.io/Logging_0181/artfynd/A 28981-2023 artfynd.xlsx", "A 28981-2023")</f>
        <v/>
      </c>
      <c r="T368">
        <f>HYPERLINK("https://klasma.github.io/Logging_0181/kartor/A 28981-2023 karta.png", "A 28981-2023")</f>
        <v/>
      </c>
      <c r="V368">
        <f>HYPERLINK("https://klasma.github.io/Logging_0181/klagomål/A 28981-2023 FSC-klagomål.docx", "A 28981-2023")</f>
        <v/>
      </c>
      <c r="W368">
        <f>HYPERLINK("https://klasma.github.io/Logging_0181/klagomålsmail/A 28981-2023 FSC-klagomål mail.docx", "A 28981-2023")</f>
        <v/>
      </c>
      <c r="X368">
        <f>HYPERLINK("https://klasma.github.io/Logging_0181/tillsyn/A 28981-2023 tillsynsbegäran.docx", "A 28981-2023")</f>
        <v/>
      </c>
      <c r="Y368">
        <f>HYPERLINK("https://klasma.github.io/Logging_0181/tillsynsmail/A 28981-2023 tillsynsbegäran mail.docx", "A 28981-2023")</f>
        <v/>
      </c>
    </row>
    <row r="369" ht="15" customHeight="1">
      <c r="A369" t="inlineStr">
        <is>
          <t>A 31142-2023</t>
        </is>
      </c>
      <c r="B369" s="1" t="n">
        <v>45113</v>
      </c>
      <c r="C369" s="1" t="n">
        <v>45224</v>
      </c>
      <c r="D369" t="inlineStr">
        <is>
          <t>STOCKHOLMS LÄN</t>
        </is>
      </c>
      <c r="E369" t="inlineStr">
        <is>
          <t>NYNÄSHAMN</t>
        </is>
      </c>
      <c r="G369" t="n">
        <v>5.7</v>
      </c>
      <c r="H369" t="n">
        <v>0</v>
      </c>
      <c r="I369" t="n">
        <v>0</v>
      </c>
      <c r="J369" t="n">
        <v>0</v>
      </c>
      <c r="K369" t="n">
        <v>0</v>
      </c>
      <c r="L369" t="n">
        <v>1</v>
      </c>
      <c r="M369" t="n">
        <v>0</v>
      </c>
      <c r="N369" t="n">
        <v>0</v>
      </c>
      <c r="O369" t="n">
        <v>1</v>
      </c>
      <c r="P369" t="n">
        <v>1</v>
      </c>
      <c r="Q369" t="n">
        <v>1</v>
      </c>
      <c r="R369" s="2" t="inlineStr">
        <is>
          <t>Ask</t>
        </is>
      </c>
      <c r="S369">
        <f>HYPERLINK("https://klasma.github.io/Logging_0192/artfynd/A 31142-2023 artfynd.xlsx", "A 31142-2023")</f>
        <v/>
      </c>
      <c r="T369">
        <f>HYPERLINK("https://klasma.github.io/Logging_0192/kartor/A 31142-2023 karta.png", "A 31142-2023")</f>
        <v/>
      </c>
      <c r="V369">
        <f>HYPERLINK("https://klasma.github.io/Logging_0192/klagomål/A 31142-2023 FSC-klagomål.docx", "A 31142-2023")</f>
        <v/>
      </c>
      <c r="W369">
        <f>HYPERLINK("https://klasma.github.io/Logging_0192/klagomålsmail/A 31142-2023 FSC-klagomål mail.docx", "A 31142-2023")</f>
        <v/>
      </c>
      <c r="X369">
        <f>HYPERLINK("https://klasma.github.io/Logging_0192/tillsyn/A 31142-2023 tillsynsbegäran.docx", "A 31142-2023")</f>
        <v/>
      </c>
      <c r="Y369">
        <f>HYPERLINK("https://klasma.github.io/Logging_0192/tillsynsmail/A 31142-2023 tillsynsbegäran mail.docx", "A 31142-2023")</f>
        <v/>
      </c>
    </row>
    <row r="370" ht="15" customHeight="1">
      <c r="A370" t="inlineStr">
        <is>
          <t>A 31828-2023</t>
        </is>
      </c>
      <c r="B370" s="1" t="n">
        <v>45118</v>
      </c>
      <c r="C370" s="1" t="n">
        <v>45224</v>
      </c>
      <c r="D370" t="inlineStr">
        <is>
          <t>STOCKHOLMS LÄN</t>
        </is>
      </c>
      <c r="E370" t="inlineStr">
        <is>
          <t>NYNÄSHAMN</t>
        </is>
      </c>
      <c r="F370" t="inlineStr">
        <is>
          <t>Kommuner</t>
        </is>
      </c>
      <c r="G370" t="n">
        <v>2.7</v>
      </c>
      <c r="H370" t="n">
        <v>0</v>
      </c>
      <c r="I370" t="n">
        <v>1</v>
      </c>
      <c r="J370" t="n">
        <v>0</v>
      </c>
      <c r="K370" t="n">
        <v>0</v>
      </c>
      <c r="L370" t="n">
        <v>0</v>
      </c>
      <c r="M370" t="n">
        <v>0</v>
      </c>
      <c r="N370" t="n">
        <v>0</v>
      </c>
      <c r="O370" t="n">
        <v>0</v>
      </c>
      <c r="P370" t="n">
        <v>0</v>
      </c>
      <c r="Q370" t="n">
        <v>1</v>
      </c>
      <c r="R370" s="2" t="inlineStr">
        <is>
          <t>Björksplintborre</t>
        </is>
      </c>
      <c r="S370">
        <f>HYPERLINK("https://klasma.github.io/Logging_0192/artfynd/A 31828-2023 artfynd.xlsx", "A 31828-2023")</f>
        <v/>
      </c>
      <c r="T370">
        <f>HYPERLINK("https://klasma.github.io/Logging_0192/kartor/A 31828-2023 karta.png", "A 31828-2023")</f>
        <v/>
      </c>
      <c r="V370">
        <f>HYPERLINK("https://klasma.github.io/Logging_0192/klagomål/A 31828-2023 FSC-klagomål.docx", "A 31828-2023")</f>
        <v/>
      </c>
      <c r="W370">
        <f>HYPERLINK("https://klasma.github.io/Logging_0192/klagomålsmail/A 31828-2023 FSC-klagomål mail.docx", "A 31828-2023")</f>
        <v/>
      </c>
      <c r="X370">
        <f>HYPERLINK("https://klasma.github.io/Logging_0192/tillsyn/A 31828-2023 tillsynsbegäran.docx", "A 31828-2023")</f>
        <v/>
      </c>
      <c r="Y370">
        <f>HYPERLINK("https://klasma.github.io/Logging_0192/tillsynsmail/A 31828-2023 tillsynsbegäran mail.docx", "A 31828-2023")</f>
        <v/>
      </c>
    </row>
    <row r="371" ht="15" customHeight="1">
      <c r="A371" t="inlineStr">
        <is>
          <t>A 33528-2023</t>
        </is>
      </c>
      <c r="B371" s="1" t="n">
        <v>45131</v>
      </c>
      <c r="C371" s="1" t="n">
        <v>45224</v>
      </c>
      <c r="D371" t="inlineStr">
        <is>
          <t>STOCKHOLMS LÄN</t>
        </is>
      </c>
      <c r="E371" t="inlineStr">
        <is>
          <t>NYNÄSHAMN</t>
        </is>
      </c>
      <c r="G371" t="n">
        <v>4</v>
      </c>
      <c r="H371" t="n">
        <v>0</v>
      </c>
      <c r="I371" t="n">
        <v>1</v>
      </c>
      <c r="J371" t="n">
        <v>0</v>
      </c>
      <c r="K371" t="n">
        <v>0</v>
      </c>
      <c r="L371" t="n">
        <v>0</v>
      </c>
      <c r="M371" t="n">
        <v>0</v>
      </c>
      <c r="N371" t="n">
        <v>0</v>
      </c>
      <c r="O371" t="n">
        <v>0</v>
      </c>
      <c r="P371" t="n">
        <v>0</v>
      </c>
      <c r="Q371" t="n">
        <v>1</v>
      </c>
      <c r="R371" s="2" t="inlineStr">
        <is>
          <t>Strutbräken</t>
        </is>
      </c>
      <c r="S371">
        <f>HYPERLINK("https://klasma.github.io/Logging_0192/artfynd/A 33528-2023 artfynd.xlsx", "A 33528-2023")</f>
        <v/>
      </c>
      <c r="T371">
        <f>HYPERLINK("https://klasma.github.io/Logging_0192/kartor/A 33528-2023 karta.png", "A 33528-2023")</f>
        <v/>
      </c>
      <c r="V371">
        <f>HYPERLINK("https://klasma.github.io/Logging_0192/klagomål/A 33528-2023 FSC-klagomål.docx", "A 33528-2023")</f>
        <v/>
      </c>
      <c r="W371">
        <f>HYPERLINK("https://klasma.github.io/Logging_0192/klagomålsmail/A 33528-2023 FSC-klagomål mail.docx", "A 33528-2023")</f>
        <v/>
      </c>
      <c r="X371">
        <f>HYPERLINK("https://klasma.github.io/Logging_0192/tillsyn/A 33528-2023 tillsynsbegäran.docx", "A 33528-2023")</f>
        <v/>
      </c>
      <c r="Y371">
        <f>HYPERLINK("https://klasma.github.io/Logging_0192/tillsynsmail/A 33528-2023 tillsynsbegäran mail.docx", "A 33528-2023")</f>
        <v/>
      </c>
    </row>
    <row r="372" ht="15" customHeight="1">
      <c r="A372" t="inlineStr">
        <is>
          <t>A 35155-2023</t>
        </is>
      </c>
      <c r="B372" s="1" t="n">
        <v>45145</v>
      </c>
      <c r="C372" s="1" t="n">
        <v>45224</v>
      </c>
      <c r="D372" t="inlineStr">
        <is>
          <t>STOCKHOLMS LÄN</t>
        </is>
      </c>
      <c r="E372" t="inlineStr">
        <is>
          <t>SÖDERTÄLJE</t>
        </is>
      </c>
      <c r="G372" t="n">
        <v>4.1</v>
      </c>
      <c r="H372" t="n">
        <v>1</v>
      </c>
      <c r="I372" t="n">
        <v>0</v>
      </c>
      <c r="J372" t="n">
        <v>0</v>
      </c>
      <c r="K372" t="n">
        <v>0</v>
      </c>
      <c r="L372" t="n">
        <v>0</v>
      </c>
      <c r="M372" t="n">
        <v>0</v>
      </c>
      <c r="N372" t="n">
        <v>0</v>
      </c>
      <c r="O372" t="n">
        <v>0</v>
      </c>
      <c r="P372" t="n">
        <v>0</v>
      </c>
      <c r="Q372" t="n">
        <v>1</v>
      </c>
      <c r="R372" s="2" t="inlineStr">
        <is>
          <t>Mattlummer</t>
        </is>
      </c>
      <c r="S372">
        <f>HYPERLINK("https://klasma.github.io/Logging_0181/artfynd/A 35155-2023 artfynd.xlsx", "A 35155-2023")</f>
        <v/>
      </c>
      <c r="T372">
        <f>HYPERLINK("https://klasma.github.io/Logging_0181/kartor/A 35155-2023 karta.png", "A 35155-2023")</f>
        <v/>
      </c>
      <c r="V372">
        <f>HYPERLINK("https://klasma.github.io/Logging_0181/klagomål/A 35155-2023 FSC-klagomål.docx", "A 35155-2023")</f>
        <v/>
      </c>
      <c r="W372">
        <f>HYPERLINK("https://klasma.github.io/Logging_0181/klagomålsmail/A 35155-2023 FSC-klagomål mail.docx", "A 35155-2023")</f>
        <v/>
      </c>
      <c r="X372">
        <f>HYPERLINK("https://klasma.github.io/Logging_0181/tillsyn/A 35155-2023 tillsynsbegäran.docx", "A 35155-2023")</f>
        <v/>
      </c>
      <c r="Y372">
        <f>HYPERLINK("https://klasma.github.io/Logging_0181/tillsynsmail/A 35155-2023 tillsynsbegäran mail.docx", "A 35155-2023")</f>
        <v/>
      </c>
    </row>
    <row r="373" ht="15" customHeight="1">
      <c r="A373" t="inlineStr">
        <is>
          <t>A 35649-2023</t>
        </is>
      </c>
      <c r="B373" s="1" t="n">
        <v>45146</v>
      </c>
      <c r="C373" s="1" t="n">
        <v>45224</v>
      </c>
      <c r="D373" t="inlineStr">
        <is>
          <t>STOCKHOLMS LÄN</t>
        </is>
      </c>
      <c r="E373" t="inlineStr">
        <is>
          <t>NORRTÄLJE</t>
        </is>
      </c>
      <c r="G373" t="n">
        <v>25.1</v>
      </c>
      <c r="H373" t="n">
        <v>0</v>
      </c>
      <c r="I373" t="n">
        <v>0</v>
      </c>
      <c r="J373" t="n">
        <v>1</v>
      </c>
      <c r="K373" t="n">
        <v>0</v>
      </c>
      <c r="L373" t="n">
        <v>0</v>
      </c>
      <c r="M373" t="n">
        <v>0</v>
      </c>
      <c r="N373" t="n">
        <v>0</v>
      </c>
      <c r="O373" t="n">
        <v>1</v>
      </c>
      <c r="P373" t="n">
        <v>0</v>
      </c>
      <c r="Q373" t="n">
        <v>1</v>
      </c>
      <c r="R373" s="2" t="inlineStr">
        <is>
          <t>Månlåsbräken</t>
        </is>
      </c>
      <c r="S373">
        <f>HYPERLINK("https://klasma.github.io/Logging_0188/artfynd/A 35649-2023 artfynd.xlsx", "A 35649-2023")</f>
        <v/>
      </c>
      <c r="T373">
        <f>HYPERLINK("https://klasma.github.io/Logging_0188/kartor/A 35649-2023 karta.png", "A 35649-2023")</f>
        <v/>
      </c>
      <c r="V373">
        <f>HYPERLINK("https://klasma.github.io/Logging_0188/klagomål/A 35649-2023 FSC-klagomål.docx", "A 35649-2023")</f>
        <v/>
      </c>
      <c r="W373">
        <f>HYPERLINK("https://klasma.github.io/Logging_0188/klagomålsmail/A 35649-2023 FSC-klagomål mail.docx", "A 35649-2023")</f>
        <v/>
      </c>
      <c r="X373">
        <f>HYPERLINK("https://klasma.github.io/Logging_0188/tillsyn/A 35649-2023 tillsynsbegäran.docx", "A 35649-2023")</f>
        <v/>
      </c>
      <c r="Y373">
        <f>HYPERLINK("https://klasma.github.io/Logging_0188/tillsynsmail/A 35649-2023 tillsynsbegäran mail.docx", "A 35649-2023")</f>
        <v/>
      </c>
    </row>
    <row r="374" ht="15" customHeight="1">
      <c r="A374" t="inlineStr">
        <is>
          <t>A 38276-2023</t>
        </is>
      </c>
      <c r="B374" s="1" t="n">
        <v>45160</v>
      </c>
      <c r="C374" s="1" t="n">
        <v>45224</v>
      </c>
      <c r="D374" t="inlineStr">
        <is>
          <t>STOCKHOLMS LÄN</t>
        </is>
      </c>
      <c r="E374" t="inlineStr">
        <is>
          <t>SIGTUNA</t>
        </is>
      </c>
      <c r="G374" t="n">
        <v>21.9</v>
      </c>
      <c r="H374" t="n">
        <v>1</v>
      </c>
      <c r="I374" t="n">
        <v>0</v>
      </c>
      <c r="J374" t="n">
        <v>1</v>
      </c>
      <c r="K374" t="n">
        <v>0</v>
      </c>
      <c r="L374" t="n">
        <v>0</v>
      </c>
      <c r="M374" t="n">
        <v>0</v>
      </c>
      <c r="N374" t="n">
        <v>0</v>
      </c>
      <c r="O374" t="n">
        <v>1</v>
      </c>
      <c r="P374" t="n">
        <v>0</v>
      </c>
      <c r="Q374" t="n">
        <v>1</v>
      </c>
      <c r="R374" s="2" t="inlineStr">
        <is>
          <t>Hornuggla</t>
        </is>
      </c>
      <c r="S374">
        <f>HYPERLINK("https://klasma.github.io/Logging_0191/artfynd/A 38276-2023 artfynd.xlsx", "A 38276-2023")</f>
        <v/>
      </c>
      <c r="T374">
        <f>HYPERLINK("https://klasma.github.io/Logging_0191/kartor/A 38276-2023 karta.png", "A 38276-2023")</f>
        <v/>
      </c>
      <c r="V374">
        <f>HYPERLINK("https://klasma.github.io/Logging_0191/klagomål/A 38276-2023 FSC-klagomål.docx", "A 38276-2023")</f>
        <v/>
      </c>
      <c r="W374">
        <f>HYPERLINK("https://klasma.github.io/Logging_0191/klagomålsmail/A 38276-2023 FSC-klagomål mail.docx", "A 38276-2023")</f>
        <v/>
      </c>
      <c r="X374">
        <f>HYPERLINK("https://klasma.github.io/Logging_0191/tillsyn/A 38276-2023 tillsynsbegäran.docx", "A 38276-2023")</f>
        <v/>
      </c>
      <c r="Y374">
        <f>HYPERLINK("https://klasma.github.io/Logging_0191/tillsynsmail/A 38276-2023 tillsynsbegäran mail.docx", "A 38276-2023")</f>
        <v/>
      </c>
    </row>
    <row r="375" ht="15" customHeight="1">
      <c r="A375" t="inlineStr">
        <is>
          <t>A 39613-2023</t>
        </is>
      </c>
      <c r="B375" s="1" t="n">
        <v>45163</v>
      </c>
      <c r="C375" s="1" t="n">
        <v>45224</v>
      </c>
      <c r="D375" t="inlineStr">
        <is>
          <t>STOCKHOLMS LÄN</t>
        </is>
      </c>
      <c r="E375" t="inlineStr">
        <is>
          <t>SIGTUNA</t>
        </is>
      </c>
      <c r="G375" t="n">
        <v>15.2</v>
      </c>
      <c r="H375" t="n">
        <v>1</v>
      </c>
      <c r="I375" t="n">
        <v>0</v>
      </c>
      <c r="J375" t="n">
        <v>0</v>
      </c>
      <c r="K375" t="n">
        <v>0</v>
      </c>
      <c r="L375" t="n">
        <v>0</v>
      </c>
      <c r="M375" t="n">
        <v>0</v>
      </c>
      <c r="N375" t="n">
        <v>0</v>
      </c>
      <c r="O375" t="n">
        <v>0</v>
      </c>
      <c r="P375" t="n">
        <v>0</v>
      </c>
      <c r="Q375" t="n">
        <v>1</v>
      </c>
      <c r="R375" s="2" t="inlineStr">
        <is>
          <t>Revlummer</t>
        </is>
      </c>
      <c r="S375">
        <f>HYPERLINK("https://klasma.github.io/Logging_0191/artfynd/A 39613-2023 artfynd.xlsx", "A 39613-2023")</f>
        <v/>
      </c>
      <c r="T375">
        <f>HYPERLINK("https://klasma.github.io/Logging_0191/kartor/A 39613-2023 karta.png", "A 39613-2023")</f>
        <v/>
      </c>
      <c r="V375">
        <f>HYPERLINK("https://klasma.github.io/Logging_0191/klagomål/A 39613-2023 FSC-klagomål.docx", "A 39613-2023")</f>
        <v/>
      </c>
      <c r="W375">
        <f>HYPERLINK("https://klasma.github.io/Logging_0191/klagomålsmail/A 39613-2023 FSC-klagomål mail.docx", "A 39613-2023")</f>
        <v/>
      </c>
      <c r="X375">
        <f>HYPERLINK("https://klasma.github.io/Logging_0191/tillsyn/A 39613-2023 tillsynsbegäran.docx", "A 39613-2023")</f>
        <v/>
      </c>
      <c r="Y375">
        <f>HYPERLINK("https://klasma.github.io/Logging_0191/tillsynsmail/A 39613-2023 tillsynsbegäran mail.docx", "A 39613-2023")</f>
        <v/>
      </c>
    </row>
    <row r="376" ht="15" customHeight="1">
      <c r="A376" t="inlineStr">
        <is>
          <t>A 39716-2023</t>
        </is>
      </c>
      <c r="B376" s="1" t="n">
        <v>45166</v>
      </c>
      <c r="C376" s="1" t="n">
        <v>45224</v>
      </c>
      <c r="D376" t="inlineStr">
        <is>
          <t>STOCKHOLMS LÄN</t>
        </is>
      </c>
      <c r="E376" t="inlineStr">
        <is>
          <t>SIGTUNA</t>
        </is>
      </c>
      <c r="G376" t="n">
        <v>3.5</v>
      </c>
      <c r="H376" t="n">
        <v>1</v>
      </c>
      <c r="I376" t="n">
        <v>0</v>
      </c>
      <c r="J376" t="n">
        <v>1</v>
      </c>
      <c r="K376" t="n">
        <v>0</v>
      </c>
      <c r="L376" t="n">
        <v>0</v>
      </c>
      <c r="M376" t="n">
        <v>0</v>
      </c>
      <c r="N376" t="n">
        <v>0</v>
      </c>
      <c r="O376" t="n">
        <v>1</v>
      </c>
      <c r="P376" t="n">
        <v>0</v>
      </c>
      <c r="Q376" t="n">
        <v>1</v>
      </c>
      <c r="R376" s="2" t="inlineStr">
        <is>
          <t>Hornuggla</t>
        </is>
      </c>
      <c r="S376">
        <f>HYPERLINK("https://klasma.github.io/Logging_0191/artfynd/A 39716-2023 artfynd.xlsx", "A 39716-2023")</f>
        <v/>
      </c>
      <c r="T376">
        <f>HYPERLINK("https://klasma.github.io/Logging_0191/kartor/A 39716-2023 karta.png", "A 39716-2023")</f>
        <v/>
      </c>
      <c r="V376">
        <f>HYPERLINK("https://klasma.github.io/Logging_0191/klagomål/A 39716-2023 FSC-klagomål.docx", "A 39716-2023")</f>
        <v/>
      </c>
      <c r="W376">
        <f>HYPERLINK("https://klasma.github.io/Logging_0191/klagomålsmail/A 39716-2023 FSC-klagomål mail.docx", "A 39716-2023")</f>
        <v/>
      </c>
      <c r="X376">
        <f>HYPERLINK("https://klasma.github.io/Logging_0191/tillsyn/A 39716-2023 tillsynsbegäran.docx", "A 39716-2023")</f>
        <v/>
      </c>
      <c r="Y376">
        <f>HYPERLINK("https://klasma.github.io/Logging_0191/tillsynsmail/A 39716-2023 tillsynsbegäran mail.docx", "A 39716-2023")</f>
        <v/>
      </c>
    </row>
    <row r="377" ht="15" customHeight="1">
      <c r="A377" t="inlineStr">
        <is>
          <t>A 43354-2023</t>
        </is>
      </c>
      <c r="B377" s="1" t="n">
        <v>45183</v>
      </c>
      <c r="C377" s="1" t="n">
        <v>45224</v>
      </c>
      <c r="D377" t="inlineStr">
        <is>
          <t>STOCKHOLMS LÄN</t>
        </is>
      </c>
      <c r="E377" t="inlineStr">
        <is>
          <t>NORRTÄLJE</t>
        </is>
      </c>
      <c r="F377" t="inlineStr">
        <is>
          <t>Holmen skog AB</t>
        </is>
      </c>
      <c r="G377" t="n">
        <v>9.9</v>
      </c>
      <c r="H377" t="n">
        <v>0</v>
      </c>
      <c r="I377" t="n">
        <v>1</v>
      </c>
      <c r="J377" t="n">
        <v>0</v>
      </c>
      <c r="K377" t="n">
        <v>0</v>
      </c>
      <c r="L377" t="n">
        <v>0</v>
      </c>
      <c r="M377" t="n">
        <v>0</v>
      </c>
      <c r="N377" t="n">
        <v>0</v>
      </c>
      <c r="O377" t="n">
        <v>0</v>
      </c>
      <c r="P377" t="n">
        <v>0</v>
      </c>
      <c r="Q377" t="n">
        <v>1</v>
      </c>
      <c r="R377" s="2" t="inlineStr">
        <is>
          <t>Tibast</t>
        </is>
      </c>
      <c r="S377">
        <f>HYPERLINK("https://klasma.github.io/Logging_0188/artfynd/A 43354-2023 artfynd.xlsx", "A 43354-2023")</f>
        <v/>
      </c>
      <c r="T377">
        <f>HYPERLINK("https://klasma.github.io/Logging_0188/kartor/A 43354-2023 karta.png", "A 43354-2023")</f>
        <v/>
      </c>
      <c r="V377">
        <f>HYPERLINK("https://klasma.github.io/Logging_0188/klagomål/A 43354-2023 FSC-klagomål.docx", "A 43354-2023")</f>
        <v/>
      </c>
      <c r="W377">
        <f>HYPERLINK("https://klasma.github.io/Logging_0188/klagomålsmail/A 43354-2023 FSC-klagomål mail.docx", "A 43354-2023")</f>
        <v/>
      </c>
      <c r="X377">
        <f>HYPERLINK("https://klasma.github.io/Logging_0188/tillsyn/A 43354-2023 tillsynsbegäran.docx", "A 43354-2023")</f>
        <v/>
      </c>
      <c r="Y377">
        <f>HYPERLINK("https://klasma.github.io/Logging_0188/tillsynsmail/A 43354-2023 tillsynsbegäran mail.docx", "A 43354-2023")</f>
        <v/>
      </c>
    </row>
    <row r="378" ht="15" customHeight="1">
      <c r="A378" t="inlineStr">
        <is>
          <t>A 45172-2023</t>
        </is>
      </c>
      <c r="B378" s="1" t="n">
        <v>45191</v>
      </c>
      <c r="C378" s="1" t="n">
        <v>45224</v>
      </c>
      <c r="D378" t="inlineStr">
        <is>
          <t>STOCKHOLMS LÄN</t>
        </is>
      </c>
      <c r="E378" t="inlineStr">
        <is>
          <t>NORRTÄLJE</t>
        </is>
      </c>
      <c r="F378" t="inlineStr">
        <is>
          <t>Sveaskog</t>
        </is>
      </c>
      <c r="G378" t="n">
        <v>3.8</v>
      </c>
      <c r="H378" t="n">
        <v>1</v>
      </c>
      <c r="I378" t="n">
        <v>0</v>
      </c>
      <c r="J378" t="n">
        <v>1</v>
      </c>
      <c r="K378" t="n">
        <v>0</v>
      </c>
      <c r="L378" t="n">
        <v>0</v>
      </c>
      <c r="M378" t="n">
        <v>0</v>
      </c>
      <c r="N378" t="n">
        <v>0</v>
      </c>
      <c r="O378" t="n">
        <v>1</v>
      </c>
      <c r="P378" t="n">
        <v>0</v>
      </c>
      <c r="Q378" t="n">
        <v>1</v>
      </c>
      <c r="R378" s="2" t="inlineStr">
        <is>
          <t>Slaguggla</t>
        </is>
      </c>
      <c r="S378">
        <f>HYPERLINK("https://klasma.github.io/Logging_0188/artfynd/A 45172-2023 artfynd.xlsx", "A 45172-2023")</f>
        <v/>
      </c>
      <c r="T378">
        <f>HYPERLINK("https://klasma.github.io/Logging_0188/kartor/A 45172-2023 karta.png", "A 45172-2023")</f>
        <v/>
      </c>
      <c r="V378">
        <f>HYPERLINK("https://klasma.github.io/Logging_0188/klagomål/A 45172-2023 FSC-klagomål.docx", "A 45172-2023")</f>
        <v/>
      </c>
      <c r="W378">
        <f>HYPERLINK("https://klasma.github.io/Logging_0188/klagomålsmail/A 45172-2023 FSC-klagomål mail.docx", "A 45172-2023")</f>
        <v/>
      </c>
      <c r="X378">
        <f>HYPERLINK("https://klasma.github.io/Logging_0188/tillsyn/A 45172-2023 tillsynsbegäran.docx", "A 45172-2023")</f>
        <v/>
      </c>
      <c r="Y378">
        <f>HYPERLINK("https://klasma.github.io/Logging_0188/tillsynsmail/A 45172-2023 tillsynsbegäran mail.docx", "A 45172-2023")</f>
        <v/>
      </c>
    </row>
    <row r="379" ht="15" customHeight="1">
      <c r="A379" t="inlineStr">
        <is>
          <t>A 34215-2018</t>
        </is>
      </c>
      <c r="B379" s="1" t="n">
        <v>43318</v>
      </c>
      <c r="C379" s="1" t="n">
        <v>45224</v>
      </c>
      <c r="D379" t="inlineStr">
        <is>
          <t>STOCKHOLMS LÄN</t>
        </is>
      </c>
      <c r="E379" t="inlineStr">
        <is>
          <t>NORRTÄLJE</t>
        </is>
      </c>
      <c r="G379" t="n">
        <v>4.1</v>
      </c>
      <c r="H379" t="n">
        <v>0</v>
      </c>
      <c r="I379" t="n">
        <v>0</v>
      </c>
      <c r="J379" t="n">
        <v>0</v>
      </c>
      <c r="K379" t="n">
        <v>0</v>
      </c>
      <c r="L379" t="n">
        <v>0</v>
      </c>
      <c r="M379" t="n">
        <v>0</v>
      </c>
      <c r="N379" t="n">
        <v>0</v>
      </c>
      <c r="O379" t="n">
        <v>0</v>
      </c>
      <c r="P379" t="n">
        <v>0</v>
      </c>
      <c r="Q379" t="n">
        <v>0</v>
      </c>
      <c r="R379" s="2" t="inlineStr"/>
    </row>
    <row r="380" ht="15" customHeight="1">
      <c r="A380" t="inlineStr">
        <is>
          <t>A 41863-2018</t>
        </is>
      </c>
      <c r="B380" s="1" t="n">
        <v>43342</v>
      </c>
      <c r="C380" s="1" t="n">
        <v>45224</v>
      </c>
      <c r="D380" t="inlineStr">
        <is>
          <t>STOCKHOLMS LÄN</t>
        </is>
      </c>
      <c r="E380" t="inlineStr">
        <is>
          <t>VÄRMDÖ</t>
        </is>
      </c>
      <c r="G380" t="n">
        <v>1.2</v>
      </c>
      <c r="H380" t="n">
        <v>0</v>
      </c>
      <c r="I380" t="n">
        <v>0</v>
      </c>
      <c r="J380" t="n">
        <v>0</v>
      </c>
      <c r="K380" t="n">
        <v>0</v>
      </c>
      <c r="L380" t="n">
        <v>0</v>
      </c>
      <c r="M380" t="n">
        <v>0</v>
      </c>
      <c r="N380" t="n">
        <v>0</v>
      </c>
      <c r="O380" t="n">
        <v>0</v>
      </c>
      <c r="P380" t="n">
        <v>0</v>
      </c>
      <c r="Q380" t="n">
        <v>0</v>
      </c>
      <c r="R380" s="2" t="inlineStr"/>
    </row>
    <row r="381" ht="15" customHeight="1">
      <c r="A381" t="inlineStr">
        <is>
          <t>A 40357-2018</t>
        </is>
      </c>
      <c r="B381" s="1" t="n">
        <v>43345</v>
      </c>
      <c r="C381" s="1" t="n">
        <v>45224</v>
      </c>
      <c r="D381" t="inlineStr">
        <is>
          <t>STOCKHOLMS LÄN</t>
        </is>
      </c>
      <c r="E381" t="inlineStr">
        <is>
          <t>NYNÄSHAMN</t>
        </is>
      </c>
      <c r="G381" t="n">
        <v>0.4</v>
      </c>
      <c r="H381" t="n">
        <v>0</v>
      </c>
      <c r="I381" t="n">
        <v>0</v>
      </c>
      <c r="J381" t="n">
        <v>0</v>
      </c>
      <c r="K381" t="n">
        <v>0</v>
      </c>
      <c r="L381" t="n">
        <v>0</v>
      </c>
      <c r="M381" t="n">
        <v>0</v>
      </c>
      <c r="N381" t="n">
        <v>0</v>
      </c>
      <c r="O381" t="n">
        <v>0</v>
      </c>
      <c r="P381" t="n">
        <v>0</v>
      </c>
      <c r="Q381" t="n">
        <v>0</v>
      </c>
      <c r="R381" s="2" t="inlineStr"/>
    </row>
    <row r="382" ht="15" customHeight="1">
      <c r="A382" t="inlineStr">
        <is>
          <t>A 41609-2018</t>
        </is>
      </c>
      <c r="B382" s="1" t="n">
        <v>43349</v>
      </c>
      <c r="C382" s="1" t="n">
        <v>45224</v>
      </c>
      <c r="D382" t="inlineStr">
        <is>
          <t>STOCKHOLMS LÄN</t>
        </is>
      </c>
      <c r="E382" t="inlineStr">
        <is>
          <t>NORRTÄLJE</t>
        </is>
      </c>
      <c r="G382" t="n">
        <v>3</v>
      </c>
      <c r="H382" t="n">
        <v>0</v>
      </c>
      <c r="I382" t="n">
        <v>0</v>
      </c>
      <c r="J382" t="n">
        <v>0</v>
      </c>
      <c r="K382" t="n">
        <v>0</v>
      </c>
      <c r="L382" t="n">
        <v>0</v>
      </c>
      <c r="M382" t="n">
        <v>0</v>
      </c>
      <c r="N382" t="n">
        <v>0</v>
      </c>
      <c r="O382" t="n">
        <v>0</v>
      </c>
      <c r="P382" t="n">
        <v>0</v>
      </c>
      <c r="Q382" t="n">
        <v>0</v>
      </c>
      <c r="R382" s="2" t="inlineStr"/>
    </row>
    <row r="383" ht="15" customHeight="1">
      <c r="A383" t="inlineStr">
        <is>
          <t>A 44575-2018</t>
        </is>
      </c>
      <c r="B383" s="1" t="n">
        <v>43361</v>
      </c>
      <c r="C383" s="1" t="n">
        <v>45224</v>
      </c>
      <c r="D383" t="inlineStr">
        <is>
          <t>STOCKHOLMS LÄN</t>
        </is>
      </c>
      <c r="E383" t="inlineStr">
        <is>
          <t>NORRTÄLJE</t>
        </is>
      </c>
      <c r="G383" t="n">
        <v>9.9</v>
      </c>
      <c r="H383" t="n">
        <v>0</v>
      </c>
      <c r="I383" t="n">
        <v>0</v>
      </c>
      <c r="J383" t="n">
        <v>0</v>
      </c>
      <c r="K383" t="n">
        <v>0</v>
      </c>
      <c r="L383" t="n">
        <v>0</v>
      </c>
      <c r="M383" t="n">
        <v>0</v>
      </c>
      <c r="N383" t="n">
        <v>0</v>
      </c>
      <c r="O383" t="n">
        <v>0</v>
      </c>
      <c r="P383" t="n">
        <v>0</v>
      </c>
      <c r="Q383" t="n">
        <v>0</v>
      </c>
      <c r="R383" s="2" t="inlineStr"/>
    </row>
    <row r="384" ht="15" customHeight="1">
      <c r="A384" t="inlineStr">
        <is>
          <t>A 44554-2018</t>
        </is>
      </c>
      <c r="B384" s="1" t="n">
        <v>43361</v>
      </c>
      <c r="C384" s="1" t="n">
        <v>45224</v>
      </c>
      <c r="D384" t="inlineStr">
        <is>
          <t>STOCKHOLMS LÄN</t>
        </is>
      </c>
      <c r="E384" t="inlineStr">
        <is>
          <t>NORRTÄLJE</t>
        </is>
      </c>
      <c r="G384" t="n">
        <v>0.5</v>
      </c>
      <c r="H384" t="n">
        <v>0</v>
      </c>
      <c r="I384" t="n">
        <v>0</v>
      </c>
      <c r="J384" t="n">
        <v>0</v>
      </c>
      <c r="K384" t="n">
        <v>0</v>
      </c>
      <c r="L384" t="n">
        <v>0</v>
      </c>
      <c r="M384" t="n">
        <v>0</v>
      </c>
      <c r="N384" t="n">
        <v>0</v>
      </c>
      <c r="O384" t="n">
        <v>0</v>
      </c>
      <c r="P384" t="n">
        <v>0</v>
      </c>
      <c r="Q384" t="n">
        <v>0</v>
      </c>
      <c r="R384" s="2" t="inlineStr"/>
    </row>
    <row r="385" ht="15" customHeight="1">
      <c r="A385" t="inlineStr">
        <is>
          <t>A 54110-2018</t>
        </is>
      </c>
      <c r="B385" s="1" t="n">
        <v>43389</v>
      </c>
      <c r="C385" s="1" t="n">
        <v>45224</v>
      </c>
      <c r="D385" t="inlineStr">
        <is>
          <t>STOCKHOLMS LÄN</t>
        </is>
      </c>
      <c r="E385" t="inlineStr">
        <is>
          <t>ÖSTERÅKER</t>
        </is>
      </c>
      <c r="G385" t="n">
        <v>0.5</v>
      </c>
      <c r="H385" t="n">
        <v>0</v>
      </c>
      <c r="I385" t="n">
        <v>0</v>
      </c>
      <c r="J385" t="n">
        <v>0</v>
      </c>
      <c r="K385" t="n">
        <v>0</v>
      </c>
      <c r="L385" t="n">
        <v>0</v>
      </c>
      <c r="M385" t="n">
        <v>0</v>
      </c>
      <c r="N385" t="n">
        <v>0</v>
      </c>
      <c r="O385" t="n">
        <v>0</v>
      </c>
      <c r="P385" t="n">
        <v>0</v>
      </c>
      <c r="Q385" t="n">
        <v>0</v>
      </c>
      <c r="R385" s="2" t="inlineStr"/>
    </row>
    <row r="386" ht="15" customHeight="1">
      <c r="A386" t="inlineStr">
        <is>
          <t>A 54092-2018</t>
        </is>
      </c>
      <c r="B386" s="1" t="n">
        <v>43389</v>
      </c>
      <c r="C386" s="1" t="n">
        <v>45224</v>
      </c>
      <c r="D386" t="inlineStr">
        <is>
          <t>STOCKHOLMS LÄN</t>
        </is>
      </c>
      <c r="E386" t="inlineStr">
        <is>
          <t>ÖSTERÅKER</t>
        </is>
      </c>
      <c r="G386" t="n">
        <v>0.9</v>
      </c>
      <c r="H386" t="n">
        <v>0</v>
      </c>
      <c r="I386" t="n">
        <v>0</v>
      </c>
      <c r="J386" t="n">
        <v>0</v>
      </c>
      <c r="K386" t="n">
        <v>0</v>
      </c>
      <c r="L386" t="n">
        <v>0</v>
      </c>
      <c r="M386" t="n">
        <v>0</v>
      </c>
      <c r="N386" t="n">
        <v>0</v>
      </c>
      <c r="O386" t="n">
        <v>0</v>
      </c>
      <c r="P386" t="n">
        <v>0</v>
      </c>
      <c r="Q386" t="n">
        <v>0</v>
      </c>
      <c r="R386" s="2" t="inlineStr"/>
    </row>
    <row r="387" ht="15" customHeight="1">
      <c r="A387" t="inlineStr">
        <is>
          <t>A 55516-2018</t>
        </is>
      </c>
      <c r="B387" s="1" t="n">
        <v>43391</v>
      </c>
      <c r="C387" s="1" t="n">
        <v>45224</v>
      </c>
      <c r="D387" t="inlineStr">
        <is>
          <t>STOCKHOLMS LÄN</t>
        </is>
      </c>
      <c r="E387" t="inlineStr">
        <is>
          <t>HANINGE</t>
        </is>
      </c>
      <c r="G387" t="n">
        <v>1.2</v>
      </c>
      <c r="H387" t="n">
        <v>0</v>
      </c>
      <c r="I387" t="n">
        <v>0</v>
      </c>
      <c r="J387" t="n">
        <v>0</v>
      </c>
      <c r="K387" t="n">
        <v>0</v>
      </c>
      <c r="L387" t="n">
        <v>0</v>
      </c>
      <c r="M387" t="n">
        <v>0</v>
      </c>
      <c r="N387" t="n">
        <v>0</v>
      </c>
      <c r="O387" t="n">
        <v>0</v>
      </c>
      <c r="P387" t="n">
        <v>0</v>
      </c>
      <c r="Q387" t="n">
        <v>0</v>
      </c>
      <c r="R387" s="2" t="inlineStr"/>
    </row>
    <row r="388" ht="15" customHeight="1">
      <c r="A388" t="inlineStr">
        <is>
          <t>A 55474-2018</t>
        </is>
      </c>
      <c r="B388" s="1" t="n">
        <v>43391</v>
      </c>
      <c r="C388" s="1" t="n">
        <v>45224</v>
      </c>
      <c r="D388" t="inlineStr">
        <is>
          <t>STOCKHOLMS LÄN</t>
        </is>
      </c>
      <c r="E388" t="inlineStr">
        <is>
          <t>NORRTÄLJE</t>
        </is>
      </c>
      <c r="G388" t="n">
        <v>1.5</v>
      </c>
      <c r="H388" t="n">
        <v>0</v>
      </c>
      <c r="I388" t="n">
        <v>0</v>
      </c>
      <c r="J388" t="n">
        <v>0</v>
      </c>
      <c r="K388" t="n">
        <v>0</v>
      </c>
      <c r="L388" t="n">
        <v>0</v>
      </c>
      <c r="M388" t="n">
        <v>0</v>
      </c>
      <c r="N388" t="n">
        <v>0</v>
      </c>
      <c r="O388" t="n">
        <v>0</v>
      </c>
      <c r="P388" t="n">
        <v>0</v>
      </c>
      <c r="Q388" t="n">
        <v>0</v>
      </c>
      <c r="R388" s="2" t="inlineStr"/>
    </row>
    <row r="389" ht="15" customHeight="1">
      <c r="A389" t="inlineStr">
        <is>
          <t>A 59037-2018</t>
        </is>
      </c>
      <c r="B389" s="1" t="n">
        <v>43402</v>
      </c>
      <c r="C389" s="1" t="n">
        <v>45224</v>
      </c>
      <c r="D389" t="inlineStr">
        <is>
          <t>STOCKHOLMS LÄN</t>
        </is>
      </c>
      <c r="E389" t="inlineStr">
        <is>
          <t>NORRTÄLJE</t>
        </is>
      </c>
      <c r="G389" t="n">
        <v>3.3</v>
      </c>
      <c r="H389" t="n">
        <v>0</v>
      </c>
      <c r="I389" t="n">
        <v>0</v>
      </c>
      <c r="J389" t="n">
        <v>0</v>
      </c>
      <c r="K389" t="n">
        <v>0</v>
      </c>
      <c r="L389" t="n">
        <v>0</v>
      </c>
      <c r="M389" t="n">
        <v>0</v>
      </c>
      <c r="N389" t="n">
        <v>0</v>
      </c>
      <c r="O389" t="n">
        <v>0</v>
      </c>
      <c r="P389" t="n">
        <v>0</v>
      </c>
      <c r="Q389" t="n">
        <v>0</v>
      </c>
      <c r="R389" s="2" t="inlineStr"/>
    </row>
    <row r="390" ht="15" customHeight="1">
      <c r="A390" t="inlineStr">
        <is>
          <t>A 59531-2018</t>
        </is>
      </c>
      <c r="B390" s="1" t="n">
        <v>43404</v>
      </c>
      <c r="C390" s="1" t="n">
        <v>45224</v>
      </c>
      <c r="D390" t="inlineStr">
        <is>
          <t>STOCKHOLMS LÄN</t>
        </is>
      </c>
      <c r="E390" t="inlineStr">
        <is>
          <t>NORRTÄLJE</t>
        </is>
      </c>
      <c r="G390" t="n">
        <v>2</v>
      </c>
      <c r="H390" t="n">
        <v>0</v>
      </c>
      <c r="I390" t="n">
        <v>0</v>
      </c>
      <c r="J390" t="n">
        <v>0</v>
      </c>
      <c r="K390" t="n">
        <v>0</v>
      </c>
      <c r="L390" t="n">
        <v>0</v>
      </c>
      <c r="M390" t="n">
        <v>0</v>
      </c>
      <c r="N390" t="n">
        <v>0</v>
      </c>
      <c r="O390" t="n">
        <v>0</v>
      </c>
      <c r="P390" t="n">
        <v>0</v>
      </c>
      <c r="Q390" t="n">
        <v>0</v>
      </c>
      <c r="R390" s="2" t="inlineStr"/>
    </row>
    <row r="391" ht="15" customHeight="1">
      <c r="A391" t="inlineStr">
        <is>
          <t>A 59257-2018</t>
        </is>
      </c>
      <c r="B391" s="1" t="n">
        <v>43404</v>
      </c>
      <c r="C391" s="1" t="n">
        <v>45224</v>
      </c>
      <c r="D391" t="inlineStr">
        <is>
          <t>STOCKHOLMS LÄN</t>
        </is>
      </c>
      <c r="E391" t="inlineStr">
        <is>
          <t>NORRTÄLJE</t>
        </is>
      </c>
      <c r="G391" t="n">
        <v>6</v>
      </c>
      <c r="H391" t="n">
        <v>0</v>
      </c>
      <c r="I391" t="n">
        <v>0</v>
      </c>
      <c r="J391" t="n">
        <v>0</v>
      </c>
      <c r="K391" t="n">
        <v>0</v>
      </c>
      <c r="L391" t="n">
        <v>0</v>
      </c>
      <c r="M391" t="n">
        <v>0</v>
      </c>
      <c r="N391" t="n">
        <v>0</v>
      </c>
      <c r="O391" t="n">
        <v>0</v>
      </c>
      <c r="P391" t="n">
        <v>0</v>
      </c>
      <c r="Q391" t="n">
        <v>0</v>
      </c>
      <c r="R391" s="2" t="inlineStr"/>
    </row>
    <row r="392" ht="15" customHeight="1">
      <c r="A392" t="inlineStr">
        <is>
          <t>A 59205-2018</t>
        </is>
      </c>
      <c r="B392" s="1" t="n">
        <v>43404</v>
      </c>
      <c r="C392" s="1" t="n">
        <v>45224</v>
      </c>
      <c r="D392" t="inlineStr">
        <is>
          <t>STOCKHOLMS LÄN</t>
        </is>
      </c>
      <c r="E392" t="inlineStr">
        <is>
          <t>NORRTÄLJE</t>
        </is>
      </c>
      <c r="G392" t="n">
        <v>9</v>
      </c>
      <c r="H392" t="n">
        <v>0</v>
      </c>
      <c r="I392" t="n">
        <v>0</v>
      </c>
      <c r="J392" t="n">
        <v>0</v>
      </c>
      <c r="K392" t="n">
        <v>0</v>
      </c>
      <c r="L392" t="n">
        <v>0</v>
      </c>
      <c r="M392" t="n">
        <v>0</v>
      </c>
      <c r="N392" t="n">
        <v>0</v>
      </c>
      <c r="O392" t="n">
        <v>0</v>
      </c>
      <c r="P392" t="n">
        <v>0</v>
      </c>
      <c r="Q392" t="n">
        <v>0</v>
      </c>
      <c r="R392" s="2" t="inlineStr"/>
    </row>
    <row r="393" ht="15" customHeight="1">
      <c r="A393" t="inlineStr">
        <is>
          <t>A 57788-2018</t>
        </is>
      </c>
      <c r="B393" s="1" t="n">
        <v>43405</v>
      </c>
      <c r="C393" s="1" t="n">
        <v>45224</v>
      </c>
      <c r="D393" t="inlineStr">
        <is>
          <t>STOCKHOLMS LÄN</t>
        </is>
      </c>
      <c r="E393" t="inlineStr">
        <is>
          <t>NORRTÄLJE</t>
        </is>
      </c>
      <c r="G393" t="n">
        <v>5.3</v>
      </c>
      <c r="H393" t="n">
        <v>0</v>
      </c>
      <c r="I393" t="n">
        <v>0</v>
      </c>
      <c r="J393" t="n">
        <v>0</v>
      </c>
      <c r="K393" t="n">
        <v>0</v>
      </c>
      <c r="L393" t="n">
        <v>0</v>
      </c>
      <c r="M393" t="n">
        <v>0</v>
      </c>
      <c r="N393" t="n">
        <v>0</v>
      </c>
      <c r="O393" t="n">
        <v>0</v>
      </c>
      <c r="P393" t="n">
        <v>0</v>
      </c>
      <c r="Q393" t="n">
        <v>0</v>
      </c>
      <c r="R393" s="2" t="inlineStr"/>
    </row>
    <row r="394" ht="15" customHeight="1">
      <c r="A394" t="inlineStr">
        <is>
          <t>A 59554-2018</t>
        </is>
      </c>
      <c r="B394" s="1" t="n">
        <v>43405</v>
      </c>
      <c r="C394" s="1" t="n">
        <v>45224</v>
      </c>
      <c r="D394" t="inlineStr">
        <is>
          <t>STOCKHOLMS LÄN</t>
        </is>
      </c>
      <c r="E394" t="inlineStr">
        <is>
          <t>NORRTÄLJE</t>
        </is>
      </c>
      <c r="G394" t="n">
        <v>9</v>
      </c>
      <c r="H394" t="n">
        <v>0</v>
      </c>
      <c r="I394" t="n">
        <v>0</v>
      </c>
      <c r="J394" t="n">
        <v>0</v>
      </c>
      <c r="K394" t="n">
        <v>0</v>
      </c>
      <c r="L394" t="n">
        <v>0</v>
      </c>
      <c r="M394" t="n">
        <v>0</v>
      </c>
      <c r="N394" t="n">
        <v>0</v>
      </c>
      <c r="O394" t="n">
        <v>0</v>
      </c>
      <c r="P394" t="n">
        <v>0</v>
      </c>
      <c r="Q394" t="n">
        <v>0</v>
      </c>
      <c r="R394" s="2" t="inlineStr"/>
    </row>
    <row r="395" ht="15" customHeight="1">
      <c r="A395" t="inlineStr">
        <is>
          <t>A 64973-2018</t>
        </is>
      </c>
      <c r="B395" s="1" t="n">
        <v>43405</v>
      </c>
      <c r="C395" s="1" t="n">
        <v>45224</v>
      </c>
      <c r="D395" t="inlineStr">
        <is>
          <t>STOCKHOLMS LÄN</t>
        </is>
      </c>
      <c r="E395" t="inlineStr">
        <is>
          <t>NORRTÄLJE</t>
        </is>
      </c>
      <c r="G395" t="n">
        <v>1.7</v>
      </c>
      <c r="H395" t="n">
        <v>0</v>
      </c>
      <c r="I395" t="n">
        <v>0</v>
      </c>
      <c r="J395" t="n">
        <v>0</v>
      </c>
      <c r="K395" t="n">
        <v>0</v>
      </c>
      <c r="L395" t="n">
        <v>0</v>
      </c>
      <c r="M395" t="n">
        <v>0</v>
      </c>
      <c r="N395" t="n">
        <v>0</v>
      </c>
      <c r="O395" t="n">
        <v>0</v>
      </c>
      <c r="P395" t="n">
        <v>0</v>
      </c>
      <c r="Q395" t="n">
        <v>0</v>
      </c>
      <c r="R395" s="2" t="inlineStr"/>
    </row>
    <row r="396" ht="15" customHeight="1">
      <c r="A396" t="inlineStr">
        <is>
          <t>A 58116-2018</t>
        </is>
      </c>
      <c r="B396" s="1" t="n">
        <v>43406</v>
      </c>
      <c r="C396" s="1" t="n">
        <v>45224</v>
      </c>
      <c r="D396" t="inlineStr">
        <is>
          <t>STOCKHOLMS LÄN</t>
        </is>
      </c>
      <c r="E396" t="inlineStr">
        <is>
          <t>NORRTÄLJE</t>
        </is>
      </c>
      <c r="G396" t="n">
        <v>3.4</v>
      </c>
      <c r="H396" t="n">
        <v>0</v>
      </c>
      <c r="I396" t="n">
        <v>0</v>
      </c>
      <c r="J396" t="n">
        <v>0</v>
      </c>
      <c r="K396" t="n">
        <v>0</v>
      </c>
      <c r="L396" t="n">
        <v>0</v>
      </c>
      <c r="M396" t="n">
        <v>0</v>
      </c>
      <c r="N396" t="n">
        <v>0</v>
      </c>
      <c r="O396" t="n">
        <v>0</v>
      </c>
      <c r="P396" t="n">
        <v>0</v>
      </c>
      <c r="Q396" t="n">
        <v>0</v>
      </c>
      <c r="R396" s="2" t="inlineStr"/>
    </row>
    <row r="397" ht="15" customHeight="1">
      <c r="A397" t="inlineStr">
        <is>
          <t>A 60755-2018</t>
        </is>
      </c>
      <c r="B397" s="1" t="n">
        <v>43409</v>
      </c>
      <c r="C397" s="1" t="n">
        <v>45224</v>
      </c>
      <c r="D397" t="inlineStr">
        <is>
          <t>STOCKHOLMS LÄN</t>
        </is>
      </c>
      <c r="E397" t="inlineStr">
        <is>
          <t>NYKVARN</t>
        </is>
      </c>
      <c r="F397" t="inlineStr">
        <is>
          <t>Övriga statliga verk och myndigheter</t>
        </is>
      </c>
      <c r="G397" t="n">
        <v>4.5</v>
      </c>
      <c r="H397" t="n">
        <v>0</v>
      </c>
      <c r="I397" t="n">
        <v>0</v>
      </c>
      <c r="J397" t="n">
        <v>0</v>
      </c>
      <c r="K397" t="n">
        <v>0</v>
      </c>
      <c r="L397" t="n">
        <v>0</v>
      </c>
      <c r="M397" t="n">
        <v>0</v>
      </c>
      <c r="N397" t="n">
        <v>0</v>
      </c>
      <c r="O397" t="n">
        <v>0</v>
      </c>
      <c r="P397" t="n">
        <v>0</v>
      </c>
      <c r="Q397" t="n">
        <v>0</v>
      </c>
      <c r="R397" s="2" t="inlineStr"/>
    </row>
    <row r="398" ht="15" customHeight="1">
      <c r="A398" t="inlineStr">
        <is>
          <t>A 58509-2018</t>
        </is>
      </c>
      <c r="B398" s="1" t="n">
        <v>43409</v>
      </c>
      <c r="C398" s="1" t="n">
        <v>45224</v>
      </c>
      <c r="D398" t="inlineStr">
        <is>
          <t>STOCKHOLMS LÄN</t>
        </is>
      </c>
      <c r="E398" t="inlineStr">
        <is>
          <t>SIGTUNA</t>
        </is>
      </c>
      <c r="G398" t="n">
        <v>4.8</v>
      </c>
      <c r="H398" t="n">
        <v>0</v>
      </c>
      <c r="I398" t="n">
        <v>0</v>
      </c>
      <c r="J398" t="n">
        <v>0</v>
      </c>
      <c r="K398" t="n">
        <v>0</v>
      </c>
      <c r="L398" t="n">
        <v>0</v>
      </c>
      <c r="M398" t="n">
        <v>0</v>
      </c>
      <c r="N398" t="n">
        <v>0</v>
      </c>
      <c r="O398" t="n">
        <v>0</v>
      </c>
      <c r="P398" t="n">
        <v>0</v>
      </c>
      <c r="Q398" t="n">
        <v>0</v>
      </c>
      <c r="R398" s="2" t="inlineStr"/>
    </row>
    <row r="399" ht="15" customHeight="1">
      <c r="A399" t="inlineStr">
        <is>
          <t>A 60739-2018</t>
        </is>
      </c>
      <c r="B399" s="1" t="n">
        <v>43409</v>
      </c>
      <c r="C399" s="1" t="n">
        <v>45224</v>
      </c>
      <c r="D399" t="inlineStr">
        <is>
          <t>STOCKHOLMS LÄN</t>
        </is>
      </c>
      <c r="E399" t="inlineStr">
        <is>
          <t>NYKVARN</t>
        </is>
      </c>
      <c r="F399" t="inlineStr">
        <is>
          <t>Övriga statliga verk och myndigheter</t>
        </is>
      </c>
      <c r="G399" t="n">
        <v>7.7</v>
      </c>
      <c r="H399" t="n">
        <v>0</v>
      </c>
      <c r="I399" t="n">
        <v>0</v>
      </c>
      <c r="J399" t="n">
        <v>0</v>
      </c>
      <c r="K399" t="n">
        <v>0</v>
      </c>
      <c r="L399" t="n">
        <v>0</v>
      </c>
      <c r="M399" t="n">
        <v>0</v>
      </c>
      <c r="N399" t="n">
        <v>0</v>
      </c>
      <c r="O399" t="n">
        <v>0</v>
      </c>
      <c r="P399" t="n">
        <v>0</v>
      </c>
      <c r="Q399" t="n">
        <v>0</v>
      </c>
      <c r="R399" s="2" t="inlineStr"/>
    </row>
    <row r="400" ht="15" customHeight="1">
      <c r="A400" t="inlineStr">
        <is>
          <t>A 58894-2018</t>
        </is>
      </c>
      <c r="B400" s="1" t="n">
        <v>43410</v>
      </c>
      <c r="C400" s="1" t="n">
        <v>45224</v>
      </c>
      <c r="D400" t="inlineStr">
        <is>
          <t>STOCKHOLMS LÄN</t>
        </is>
      </c>
      <c r="E400" t="inlineStr">
        <is>
          <t>NORRTÄLJE</t>
        </is>
      </c>
      <c r="G400" t="n">
        <v>3.3</v>
      </c>
      <c r="H400" t="n">
        <v>0</v>
      </c>
      <c r="I400" t="n">
        <v>0</v>
      </c>
      <c r="J400" t="n">
        <v>0</v>
      </c>
      <c r="K400" t="n">
        <v>0</v>
      </c>
      <c r="L400" t="n">
        <v>0</v>
      </c>
      <c r="M400" t="n">
        <v>0</v>
      </c>
      <c r="N400" t="n">
        <v>0</v>
      </c>
      <c r="O400" t="n">
        <v>0</v>
      </c>
      <c r="P400" t="n">
        <v>0</v>
      </c>
      <c r="Q400" t="n">
        <v>0</v>
      </c>
      <c r="R400" s="2" t="inlineStr"/>
    </row>
    <row r="401" ht="15" customHeight="1">
      <c r="A401" t="inlineStr">
        <is>
          <t>A 58638-2018</t>
        </is>
      </c>
      <c r="B401" s="1" t="n">
        <v>43410</v>
      </c>
      <c r="C401" s="1" t="n">
        <v>45224</v>
      </c>
      <c r="D401" t="inlineStr">
        <is>
          <t>STOCKHOLMS LÄN</t>
        </is>
      </c>
      <c r="E401" t="inlineStr">
        <is>
          <t>SIGTUNA</t>
        </is>
      </c>
      <c r="G401" t="n">
        <v>2.8</v>
      </c>
      <c r="H401" t="n">
        <v>0</v>
      </c>
      <c r="I401" t="n">
        <v>0</v>
      </c>
      <c r="J401" t="n">
        <v>0</v>
      </c>
      <c r="K401" t="n">
        <v>0</v>
      </c>
      <c r="L401" t="n">
        <v>0</v>
      </c>
      <c r="M401" t="n">
        <v>0</v>
      </c>
      <c r="N401" t="n">
        <v>0</v>
      </c>
      <c r="O401" t="n">
        <v>0</v>
      </c>
      <c r="P401" t="n">
        <v>0</v>
      </c>
      <c r="Q401" t="n">
        <v>0</v>
      </c>
      <c r="R401" s="2" t="inlineStr"/>
    </row>
    <row r="402" ht="15" customHeight="1">
      <c r="A402" t="inlineStr">
        <is>
          <t>A 59769-2018</t>
        </is>
      </c>
      <c r="B402" s="1" t="n">
        <v>43411</v>
      </c>
      <c r="C402" s="1" t="n">
        <v>45224</v>
      </c>
      <c r="D402" t="inlineStr">
        <is>
          <t>STOCKHOLMS LÄN</t>
        </is>
      </c>
      <c r="E402" t="inlineStr">
        <is>
          <t>BOTKYRKA</t>
        </is>
      </c>
      <c r="G402" t="n">
        <v>1.5</v>
      </c>
      <c r="H402" t="n">
        <v>0</v>
      </c>
      <c r="I402" t="n">
        <v>0</v>
      </c>
      <c r="J402" t="n">
        <v>0</v>
      </c>
      <c r="K402" t="n">
        <v>0</v>
      </c>
      <c r="L402" t="n">
        <v>0</v>
      </c>
      <c r="M402" t="n">
        <v>0</v>
      </c>
      <c r="N402" t="n">
        <v>0</v>
      </c>
      <c r="O402" t="n">
        <v>0</v>
      </c>
      <c r="P402" t="n">
        <v>0</v>
      </c>
      <c r="Q402" t="n">
        <v>0</v>
      </c>
      <c r="R402" s="2" t="inlineStr"/>
    </row>
    <row r="403" ht="15" customHeight="1">
      <c r="A403" t="inlineStr">
        <is>
          <t>A 60094-2018</t>
        </is>
      </c>
      <c r="B403" s="1" t="n">
        <v>43412</v>
      </c>
      <c r="C403" s="1" t="n">
        <v>45224</v>
      </c>
      <c r="D403" t="inlineStr">
        <is>
          <t>STOCKHOLMS LÄN</t>
        </is>
      </c>
      <c r="E403" t="inlineStr">
        <is>
          <t>BOTKYRKA</t>
        </is>
      </c>
      <c r="F403" t="inlineStr">
        <is>
          <t>Övriga Aktiebolag</t>
        </is>
      </c>
      <c r="G403" t="n">
        <v>4.6</v>
      </c>
      <c r="H403" t="n">
        <v>0</v>
      </c>
      <c r="I403" t="n">
        <v>0</v>
      </c>
      <c r="J403" t="n">
        <v>0</v>
      </c>
      <c r="K403" t="n">
        <v>0</v>
      </c>
      <c r="L403" t="n">
        <v>0</v>
      </c>
      <c r="M403" t="n">
        <v>0</v>
      </c>
      <c r="N403" t="n">
        <v>0</v>
      </c>
      <c r="O403" t="n">
        <v>0</v>
      </c>
      <c r="P403" t="n">
        <v>0</v>
      </c>
      <c r="Q403" t="n">
        <v>0</v>
      </c>
      <c r="R403" s="2" t="inlineStr"/>
    </row>
    <row r="404" ht="15" customHeight="1">
      <c r="A404" t="inlineStr">
        <is>
          <t>A 60270-2018</t>
        </is>
      </c>
      <c r="B404" s="1" t="n">
        <v>43413</v>
      </c>
      <c r="C404" s="1" t="n">
        <v>45224</v>
      </c>
      <c r="D404" t="inlineStr">
        <is>
          <t>STOCKHOLMS LÄN</t>
        </is>
      </c>
      <c r="E404" t="inlineStr">
        <is>
          <t>NYKVARN</t>
        </is>
      </c>
      <c r="G404" t="n">
        <v>11</v>
      </c>
      <c r="H404" t="n">
        <v>0</v>
      </c>
      <c r="I404" t="n">
        <v>0</v>
      </c>
      <c r="J404" t="n">
        <v>0</v>
      </c>
      <c r="K404" t="n">
        <v>0</v>
      </c>
      <c r="L404" t="n">
        <v>0</v>
      </c>
      <c r="M404" t="n">
        <v>0</v>
      </c>
      <c r="N404" t="n">
        <v>0</v>
      </c>
      <c r="O404" t="n">
        <v>0</v>
      </c>
      <c r="P404" t="n">
        <v>0</v>
      </c>
      <c r="Q404" t="n">
        <v>0</v>
      </c>
      <c r="R404" s="2" t="inlineStr"/>
    </row>
    <row r="405" ht="15" customHeight="1">
      <c r="A405" t="inlineStr">
        <is>
          <t>A 62408-2018</t>
        </is>
      </c>
      <c r="B405" s="1" t="n">
        <v>43416</v>
      </c>
      <c r="C405" s="1" t="n">
        <v>45224</v>
      </c>
      <c r="D405" t="inlineStr">
        <is>
          <t>STOCKHOLMS LÄN</t>
        </is>
      </c>
      <c r="E405" t="inlineStr">
        <is>
          <t>NORRTÄLJE</t>
        </is>
      </c>
      <c r="G405" t="n">
        <v>0.2</v>
      </c>
      <c r="H405" t="n">
        <v>0</v>
      </c>
      <c r="I405" t="n">
        <v>0</v>
      </c>
      <c r="J405" t="n">
        <v>0</v>
      </c>
      <c r="K405" t="n">
        <v>0</v>
      </c>
      <c r="L405" t="n">
        <v>0</v>
      </c>
      <c r="M405" t="n">
        <v>0</v>
      </c>
      <c r="N405" t="n">
        <v>0</v>
      </c>
      <c r="O405" t="n">
        <v>0</v>
      </c>
      <c r="P405" t="n">
        <v>0</v>
      </c>
      <c r="Q405" t="n">
        <v>0</v>
      </c>
      <c r="R405" s="2" t="inlineStr"/>
    </row>
    <row r="406" ht="15" customHeight="1">
      <c r="A406" t="inlineStr">
        <is>
          <t>A 62779-2018</t>
        </is>
      </c>
      <c r="B406" s="1" t="n">
        <v>43417</v>
      </c>
      <c r="C406" s="1" t="n">
        <v>45224</v>
      </c>
      <c r="D406" t="inlineStr">
        <is>
          <t>STOCKHOLMS LÄN</t>
        </is>
      </c>
      <c r="E406" t="inlineStr">
        <is>
          <t>SIGTUNA</t>
        </is>
      </c>
      <c r="G406" t="n">
        <v>1.9</v>
      </c>
      <c r="H406" t="n">
        <v>0</v>
      </c>
      <c r="I406" t="n">
        <v>0</v>
      </c>
      <c r="J406" t="n">
        <v>0</v>
      </c>
      <c r="K406" t="n">
        <v>0</v>
      </c>
      <c r="L406" t="n">
        <v>0</v>
      </c>
      <c r="M406" t="n">
        <v>0</v>
      </c>
      <c r="N406" t="n">
        <v>0</v>
      </c>
      <c r="O406" t="n">
        <v>0</v>
      </c>
      <c r="P406" t="n">
        <v>0</v>
      </c>
      <c r="Q406" t="n">
        <v>0</v>
      </c>
      <c r="R406" s="2" t="inlineStr"/>
    </row>
    <row r="407" ht="15" customHeight="1">
      <c r="A407" t="inlineStr">
        <is>
          <t>A 59363-2018</t>
        </is>
      </c>
      <c r="B407" s="1" t="n">
        <v>43418</v>
      </c>
      <c r="C407" s="1" t="n">
        <v>45224</v>
      </c>
      <c r="D407" t="inlineStr">
        <is>
          <t>STOCKHOLMS LÄN</t>
        </is>
      </c>
      <c r="E407" t="inlineStr">
        <is>
          <t>NORRTÄLJE</t>
        </is>
      </c>
      <c r="G407" t="n">
        <v>4.5</v>
      </c>
      <c r="H407" t="n">
        <v>0</v>
      </c>
      <c r="I407" t="n">
        <v>0</v>
      </c>
      <c r="J407" t="n">
        <v>0</v>
      </c>
      <c r="K407" t="n">
        <v>0</v>
      </c>
      <c r="L407" t="n">
        <v>0</v>
      </c>
      <c r="M407" t="n">
        <v>0</v>
      </c>
      <c r="N407" t="n">
        <v>0</v>
      </c>
      <c r="O407" t="n">
        <v>0</v>
      </c>
      <c r="P407" t="n">
        <v>0</v>
      </c>
      <c r="Q407" t="n">
        <v>0</v>
      </c>
      <c r="R407" s="2" t="inlineStr"/>
    </row>
    <row r="408" ht="15" customHeight="1">
      <c r="A408" t="inlineStr">
        <is>
          <t>A 59368-2018</t>
        </is>
      </c>
      <c r="B408" s="1" t="n">
        <v>43418</v>
      </c>
      <c r="C408" s="1" t="n">
        <v>45224</v>
      </c>
      <c r="D408" t="inlineStr">
        <is>
          <t>STOCKHOLMS LÄN</t>
        </is>
      </c>
      <c r="E408" t="inlineStr">
        <is>
          <t>SALEM</t>
        </is>
      </c>
      <c r="F408" t="inlineStr">
        <is>
          <t>Kommuner</t>
        </is>
      </c>
      <c r="G408" t="n">
        <v>7.4</v>
      </c>
      <c r="H408" t="n">
        <v>0</v>
      </c>
      <c r="I408" t="n">
        <v>0</v>
      </c>
      <c r="J408" t="n">
        <v>0</v>
      </c>
      <c r="K408" t="n">
        <v>0</v>
      </c>
      <c r="L408" t="n">
        <v>0</v>
      </c>
      <c r="M408" t="n">
        <v>0</v>
      </c>
      <c r="N408" t="n">
        <v>0</v>
      </c>
      <c r="O408" t="n">
        <v>0</v>
      </c>
      <c r="P408" t="n">
        <v>0</v>
      </c>
      <c r="Q408" t="n">
        <v>0</v>
      </c>
      <c r="R408" s="2" t="inlineStr"/>
    </row>
    <row r="409" ht="15" customHeight="1">
      <c r="A409" t="inlineStr">
        <is>
          <t>A 59453-2018</t>
        </is>
      </c>
      <c r="B409" s="1" t="n">
        <v>43419</v>
      </c>
      <c r="C409" s="1" t="n">
        <v>45224</v>
      </c>
      <c r="D409" t="inlineStr">
        <is>
          <t>STOCKHOLMS LÄN</t>
        </is>
      </c>
      <c r="E409" t="inlineStr">
        <is>
          <t>NYKVARN</t>
        </is>
      </c>
      <c r="G409" t="n">
        <v>11</v>
      </c>
      <c r="H409" t="n">
        <v>0</v>
      </c>
      <c r="I409" t="n">
        <v>0</v>
      </c>
      <c r="J409" t="n">
        <v>0</v>
      </c>
      <c r="K409" t="n">
        <v>0</v>
      </c>
      <c r="L409" t="n">
        <v>0</v>
      </c>
      <c r="M409" t="n">
        <v>0</v>
      </c>
      <c r="N409" t="n">
        <v>0</v>
      </c>
      <c r="O409" t="n">
        <v>0</v>
      </c>
      <c r="P409" t="n">
        <v>0</v>
      </c>
      <c r="Q409" t="n">
        <v>0</v>
      </c>
      <c r="R409" s="2" t="inlineStr"/>
    </row>
    <row r="410" ht="15" customHeight="1">
      <c r="A410" t="inlineStr">
        <is>
          <t>A 59890-2018</t>
        </is>
      </c>
      <c r="B410" s="1" t="n">
        <v>43419</v>
      </c>
      <c r="C410" s="1" t="n">
        <v>45224</v>
      </c>
      <c r="D410" t="inlineStr">
        <is>
          <t>STOCKHOLMS LÄN</t>
        </is>
      </c>
      <c r="E410" t="inlineStr">
        <is>
          <t>BOTKYRKA</t>
        </is>
      </c>
      <c r="F410" t="inlineStr">
        <is>
          <t>Övriga Aktiebolag</t>
        </is>
      </c>
      <c r="G410" t="n">
        <v>1</v>
      </c>
      <c r="H410" t="n">
        <v>0</v>
      </c>
      <c r="I410" t="n">
        <v>0</v>
      </c>
      <c r="J410" t="n">
        <v>0</v>
      </c>
      <c r="K410" t="n">
        <v>0</v>
      </c>
      <c r="L410" t="n">
        <v>0</v>
      </c>
      <c r="M410" t="n">
        <v>0</v>
      </c>
      <c r="N410" t="n">
        <v>0</v>
      </c>
      <c r="O410" t="n">
        <v>0</v>
      </c>
      <c r="P410" t="n">
        <v>0</v>
      </c>
      <c r="Q410" t="n">
        <v>0</v>
      </c>
      <c r="R410" s="2" t="inlineStr"/>
    </row>
    <row r="411" ht="15" customHeight="1">
      <c r="A411" t="inlineStr">
        <is>
          <t>A 59454-2018</t>
        </is>
      </c>
      <c r="B411" s="1" t="n">
        <v>43419</v>
      </c>
      <c r="C411" s="1" t="n">
        <v>45224</v>
      </c>
      <c r="D411" t="inlineStr">
        <is>
          <t>STOCKHOLMS LÄN</t>
        </is>
      </c>
      <c r="E411" t="inlineStr">
        <is>
          <t>NYKVARN</t>
        </is>
      </c>
      <c r="G411" t="n">
        <v>11</v>
      </c>
      <c r="H411" t="n">
        <v>0</v>
      </c>
      <c r="I411" t="n">
        <v>0</v>
      </c>
      <c r="J411" t="n">
        <v>0</v>
      </c>
      <c r="K411" t="n">
        <v>0</v>
      </c>
      <c r="L411" t="n">
        <v>0</v>
      </c>
      <c r="M411" t="n">
        <v>0</v>
      </c>
      <c r="N411" t="n">
        <v>0</v>
      </c>
      <c r="O411" t="n">
        <v>0</v>
      </c>
      <c r="P411" t="n">
        <v>0</v>
      </c>
      <c r="Q411" t="n">
        <v>0</v>
      </c>
      <c r="R411" s="2" t="inlineStr"/>
    </row>
    <row r="412" ht="15" customHeight="1">
      <c r="A412" t="inlineStr">
        <is>
          <t>A 61000-2018</t>
        </is>
      </c>
      <c r="B412" s="1" t="n">
        <v>43419</v>
      </c>
      <c r="C412" s="1" t="n">
        <v>45224</v>
      </c>
      <c r="D412" t="inlineStr">
        <is>
          <t>STOCKHOLMS LÄN</t>
        </is>
      </c>
      <c r="E412" t="inlineStr">
        <is>
          <t>NORRTÄLJE</t>
        </is>
      </c>
      <c r="G412" t="n">
        <v>2.9</v>
      </c>
      <c r="H412" t="n">
        <v>0</v>
      </c>
      <c r="I412" t="n">
        <v>0</v>
      </c>
      <c r="J412" t="n">
        <v>0</v>
      </c>
      <c r="K412" t="n">
        <v>0</v>
      </c>
      <c r="L412" t="n">
        <v>0</v>
      </c>
      <c r="M412" t="n">
        <v>0</v>
      </c>
      <c r="N412" t="n">
        <v>0</v>
      </c>
      <c r="O412" t="n">
        <v>0</v>
      </c>
      <c r="P412" t="n">
        <v>0</v>
      </c>
      <c r="Q412" t="n">
        <v>0</v>
      </c>
      <c r="R412" s="2" t="inlineStr"/>
    </row>
    <row r="413" ht="15" customHeight="1">
      <c r="A413" t="inlineStr">
        <is>
          <t>A 60631-2018</t>
        </is>
      </c>
      <c r="B413" s="1" t="n">
        <v>43420</v>
      </c>
      <c r="C413" s="1" t="n">
        <v>45224</v>
      </c>
      <c r="D413" t="inlineStr">
        <is>
          <t>STOCKHOLMS LÄN</t>
        </is>
      </c>
      <c r="E413" t="inlineStr">
        <is>
          <t>NYNÄSHAMN</t>
        </is>
      </c>
      <c r="G413" t="n">
        <v>2.9</v>
      </c>
      <c r="H413" t="n">
        <v>0</v>
      </c>
      <c r="I413" t="n">
        <v>0</v>
      </c>
      <c r="J413" t="n">
        <v>0</v>
      </c>
      <c r="K413" t="n">
        <v>0</v>
      </c>
      <c r="L413" t="n">
        <v>0</v>
      </c>
      <c r="M413" t="n">
        <v>0</v>
      </c>
      <c r="N413" t="n">
        <v>0</v>
      </c>
      <c r="O413" t="n">
        <v>0</v>
      </c>
      <c r="P413" t="n">
        <v>0</v>
      </c>
      <c r="Q413" t="n">
        <v>0</v>
      </c>
      <c r="R413" s="2" t="inlineStr"/>
    </row>
    <row r="414" ht="15" customHeight="1">
      <c r="A414" t="inlineStr">
        <is>
          <t>A 61490-2018</t>
        </is>
      </c>
      <c r="B414" s="1" t="n">
        <v>43424</v>
      </c>
      <c r="C414" s="1" t="n">
        <v>45224</v>
      </c>
      <c r="D414" t="inlineStr">
        <is>
          <t>STOCKHOLMS LÄN</t>
        </is>
      </c>
      <c r="E414" t="inlineStr">
        <is>
          <t>NYNÄSHAMN</t>
        </is>
      </c>
      <c r="G414" t="n">
        <v>1.3</v>
      </c>
      <c r="H414" t="n">
        <v>0</v>
      </c>
      <c r="I414" t="n">
        <v>0</v>
      </c>
      <c r="J414" t="n">
        <v>0</v>
      </c>
      <c r="K414" t="n">
        <v>0</v>
      </c>
      <c r="L414" t="n">
        <v>0</v>
      </c>
      <c r="M414" t="n">
        <v>0</v>
      </c>
      <c r="N414" t="n">
        <v>0</v>
      </c>
      <c r="O414" t="n">
        <v>0</v>
      </c>
      <c r="P414" t="n">
        <v>0</v>
      </c>
      <c r="Q414" t="n">
        <v>0</v>
      </c>
      <c r="R414" s="2" t="inlineStr"/>
    </row>
    <row r="415" ht="15" customHeight="1">
      <c r="A415" t="inlineStr">
        <is>
          <t>A 61495-2018</t>
        </is>
      </c>
      <c r="B415" s="1" t="n">
        <v>43424</v>
      </c>
      <c r="C415" s="1" t="n">
        <v>45224</v>
      </c>
      <c r="D415" t="inlineStr">
        <is>
          <t>STOCKHOLMS LÄN</t>
        </is>
      </c>
      <c r="E415" t="inlineStr">
        <is>
          <t>NYNÄSHAMN</t>
        </is>
      </c>
      <c r="G415" t="n">
        <v>8.1</v>
      </c>
      <c r="H415" t="n">
        <v>0</v>
      </c>
      <c r="I415" t="n">
        <v>0</v>
      </c>
      <c r="J415" t="n">
        <v>0</v>
      </c>
      <c r="K415" t="n">
        <v>0</v>
      </c>
      <c r="L415" t="n">
        <v>0</v>
      </c>
      <c r="M415" t="n">
        <v>0</v>
      </c>
      <c r="N415" t="n">
        <v>0</v>
      </c>
      <c r="O415" t="n">
        <v>0</v>
      </c>
      <c r="P415" t="n">
        <v>0</v>
      </c>
      <c r="Q415" t="n">
        <v>0</v>
      </c>
      <c r="R415" s="2" t="inlineStr"/>
    </row>
    <row r="416" ht="15" customHeight="1">
      <c r="A416" t="inlineStr">
        <is>
          <t>A 61574-2018</t>
        </is>
      </c>
      <c r="B416" s="1" t="n">
        <v>43424</v>
      </c>
      <c r="C416" s="1" t="n">
        <v>45224</v>
      </c>
      <c r="D416" t="inlineStr">
        <is>
          <t>STOCKHOLMS LÄN</t>
        </is>
      </c>
      <c r="E416" t="inlineStr">
        <is>
          <t>NORRTÄLJE</t>
        </is>
      </c>
      <c r="G416" t="n">
        <v>3.4</v>
      </c>
      <c r="H416" t="n">
        <v>0</v>
      </c>
      <c r="I416" t="n">
        <v>0</v>
      </c>
      <c r="J416" t="n">
        <v>0</v>
      </c>
      <c r="K416" t="n">
        <v>0</v>
      </c>
      <c r="L416" t="n">
        <v>0</v>
      </c>
      <c r="M416" t="n">
        <v>0</v>
      </c>
      <c r="N416" t="n">
        <v>0</v>
      </c>
      <c r="O416" t="n">
        <v>0</v>
      </c>
      <c r="P416" t="n">
        <v>0</v>
      </c>
      <c r="Q416" t="n">
        <v>0</v>
      </c>
      <c r="R416" s="2" t="inlineStr"/>
    </row>
    <row r="417" ht="15" customHeight="1">
      <c r="A417" t="inlineStr">
        <is>
          <t>A 63233-2018</t>
        </is>
      </c>
      <c r="B417" s="1" t="n">
        <v>43426</v>
      </c>
      <c r="C417" s="1" t="n">
        <v>45224</v>
      </c>
      <c r="D417" t="inlineStr">
        <is>
          <t>STOCKHOLMS LÄN</t>
        </is>
      </c>
      <c r="E417" t="inlineStr">
        <is>
          <t>NORRTÄLJE</t>
        </is>
      </c>
      <c r="G417" t="n">
        <v>6.4</v>
      </c>
      <c r="H417" t="n">
        <v>0</v>
      </c>
      <c r="I417" t="n">
        <v>0</v>
      </c>
      <c r="J417" t="n">
        <v>0</v>
      </c>
      <c r="K417" t="n">
        <v>0</v>
      </c>
      <c r="L417" t="n">
        <v>0</v>
      </c>
      <c r="M417" t="n">
        <v>0</v>
      </c>
      <c r="N417" t="n">
        <v>0</v>
      </c>
      <c r="O417" t="n">
        <v>0</v>
      </c>
      <c r="P417" t="n">
        <v>0</v>
      </c>
      <c r="Q417" t="n">
        <v>0</v>
      </c>
      <c r="R417" s="2" t="inlineStr"/>
    </row>
    <row r="418" ht="15" customHeight="1">
      <c r="A418" t="inlineStr">
        <is>
          <t>A 63230-2018</t>
        </is>
      </c>
      <c r="B418" s="1" t="n">
        <v>43426</v>
      </c>
      <c r="C418" s="1" t="n">
        <v>45224</v>
      </c>
      <c r="D418" t="inlineStr">
        <is>
          <t>STOCKHOLMS LÄN</t>
        </is>
      </c>
      <c r="E418" t="inlineStr">
        <is>
          <t>NORRTÄLJE</t>
        </is>
      </c>
      <c r="G418" t="n">
        <v>1.1</v>
      </c>
      <c r="H418" t="n">
        <v>0</v>
      </c>
      <c r="I418" t="n">
        <v>0</v>
      </c>
      <c r="J418" t="n">
        <v>0</v>
      </c>
      <c r="K418" t="n">
        <v>0</v>
      </c>
      <c r="L418" t="n">
        <v>0</v>
      </c>
      <c r="M418" t="n">
        <v>0</v>
      </c>
      <c r="N418" t="n">
        <v>0</v>
      </c>
      <c r="O418" t="n">
        <v>0</v>
      </c>
      <c r="P418" t="n">
        <v>0</v>
      </c>
      <c r="Q418" t="n">
        <v>0</v>
      </c>
      <c r="R418" s="2" t="inlineStr"/>
    </row>
    <row r="419" ht="15" customHeight="1">
      <c r="A419" t="inlineStr">
        <is>
          <t>A 64192-2018</t>
        </is>
      </c>
      <c r="B419" s="1" t="n">
        <v>43430</v>
      </c>
      <c r="C419" s="1" t="n">
        <v>45224</v>
      </c>
      <c r="D419" t="inlineStr">
        <is>
          <t>STOCKHOLMS LÄN</t>
        </is>
      </c>
      <c r="E419" t="inlineStr">
        <is>
          <t>VALLENTUNA</t>
        </is>
      </c>
      <c r="G419" t="n">
        <v>1.1</v>
      </c>
      <c r="H419" t="n">
        <v>0</v>
      </c>
      <c r="I419" t="n">
        <v>0</v>
      </c>
      <c r="J419" t="n">
        <v>0</v>
      </c>
      <c r="K419" t="n">
        <v>0</v>
      </c>
      <c r="L419" t="n">
        <v>0</v>
      </c>
      <c r="M419" t="n">
        <v>0</v>
      </c>
      <c r="N419" t="n">
        <v>0</v>
      </c>
      <c r="O419" t="n">
        <v>0</v>
      </c>
      <c r="P419" t="n">
        <v>0</v>
      </c>
      <c r="Q419" t="n">
        <v>0</v>
      </c>
      <c r="R419" s="2" t="inlineStr"/>
    </row>
    <row r="420" ht="15" customHeight="1">
      <c r="A420" t="inlineStr">
        <is>
          <t>A 64196-2018</t>
        </is>
      </c>
      <c r="B420" s="1" t="n">
        <v>43430</v>
      </c>
      <c r="C420" s="1" t="n">
        <v>45224</v>
      </c>
      <c r="D420" t="inlineStr">
        <is>
          <t>STOCKHOLMS LÄN</t>
        </is>
      </c>
      <c r="E420" t="inlineStr">
        <is>
          <t>VALLENTUNA</t>
        </is>
      </c>
      <c r="G420" t="n">
        <v>3.3</v>
      </c>
      <c r="H420" t="n">
        <v>0</v>
      </c>
      <c r="I420" t="n">
        <v>0</v>
      </c>
      <c r="J420" t="n">
        <v>0</v>
      </c>
      <c r="K420" t="n">
        <v>0</v>
      </c>
      <c r="L420" t="n">
        <v>0</v>
      </c>
      <c r="M420" t="n">
        <v>0</v>
      </c>
      <c r="N420" t="n">
        <v>0</v>
      </c>
      <c r="O420" t="n">
        <v>0</v>
      </c>
      <c r="P420" t="n">
        <v>0</v>
      </c>
      <c r="Q420" t="n">
        <v>0</v>
      </c>
      <c r="R420" s="2" t="inlineStr"/>
    </row>
    <row r="421" ht="15" customHeight="1">
      <c r="A421" t="inlineStr">
        <is>
          <t>A 64588-2018</t>
        </is>
      </c>
      <c r="B421" s="1" t="n">
        <v>43431</v>
      </c>
      <c r="C421" s="1" t="n">
        <v>45224</v>
      </c>
      <c r="D421" t="inlineStr">
        <is>
          <t>STOCKHOLMS LÄN</t>
        </is>
      </c>
      <c r="E421" t="inlineStr">
        <is>
          <t>SÖDERTÄLJE</t>
        </is>
      </c>
      <c r="G421" t="n">
        <v>0.9</v>
      </c>
      <c r="H421" t="n">
        <v>0</v>
      </c>
      <c r="I421" t="n">
        <v>0</v>
      </c>
      <c r="J421" t="n">
        <v>0</v>
      </c>
      <c r="K421" t="n">
        <v>0</v>
      </c>
      <c r="L421" t="n">
        <v>0</v>
      </c>
      <c r="M421" t="n">
        <v>0</v>
      </c>
      <c r="N421" t="n">
        <v>0</v>
      </c>
      <c r="O421" t="n">
        <v>0</v>
      </c>
      <c r="P421" t="n">
        <v>0</v>
      </c>
      <c r="Q421" t="n">
        <v>0</v>
      </c>
      <c r="R421" s="2" t="inlineStr"/>
    </row>
    <row r="422" ht="15" customHeight="1">
      <c r="A422" t="inlineStr">
        <is>
          <t>A 65235-2018</t>
        </is>
      </c>
      <c r="B422" s="1" t="n">
        <v>43432</v>
      </c>
      <c r="C422" s="1" t="n">
        <v>45224</v>
      </c>
      <c r="D422" t="inlineStr">
        <is>
          <t>STOCKHOLMS LÄN</t>
        </is>
      </c>
      <c r="E422" t="inlineStr">
        <is>
          <t>SÖDERTÄLJE</t>
        </is>
      </c>
      <c r="G422" t="n">
        <v>2.2</v>
      </c>
      <c r="H422" t="n">
        <v>0</v>
      </c>
      <c r="I422" t="n">
        <v>0</v>
      </c>
      <c r="J422" t="n">
        <v>0</v>
      </c>
      <c r="K422" t="n">
        <v>0</v>
      </c>
      <c r="L422" t="n">
        <v>0</v>
      </c>
      <c r="M422" t="n">
        <v>0</v>
      </c>
      <c r="N422" t="n">
        <v>0</v>
      </c>
      <c r="O422" t="n">
        <v>0</v>
      </c>
      <c r="P422" t="n">
        <v>0</v>
      </c>
      <c r="Q422" t="n">
        <v>0</v>
      </c>
      <c r="R422" s="2" t="inlineStr"/>
    </row>
    <row r="423" ht="15" customHeight="1">
      <c r="A423" t="inlineStr">
        <is>
          <t>A 65027-2018</t>
        </is>
      </c>
      <c r="B423" s="1" t="n">
        <v>43432</v>
      </c>
      <c r="C423" s="1" t="n">
        <v>45224</v>
      </c>
      <c r="D423" t="inlineStr">
        <is>
          <t>STOCKHOLMS LÄN</t>
        </is>
      </c>
      <c r="E423" t="inlineStr">
        <is>
          <t>NORRTÄLJE</t>
        </is>
      </c>
      <c r="G423" t="n">
        <v>2.7</v>
      </c>
      <c r="H423" t="n">
        <v>0</v>
      </c>
      <c r="I423" t="n">
        <v>0</v>
      </c>
      <c r="J423" t="n">
        <v>0</v>
      </c>
      <c r="K423" t="n">
        <v>0</v>
      </c>
      <c r="L423" t="n">
        <v>0</v>
      </c>
      <c r="M423" t="n">
        <v>0</v>
      </c>
      <c r="N423" t="n">
        <v>0</v>
      </c>
      <c r="O423" t="n">
        <v>0</v>
      </c>
      <c r="P423" t="n">
        <v>0</v>
      </c>
      <c r="Q423" t="n">
        <v>0</v>
      </c>
      <c r="R423" s="2" t="inlineStr"/>
    </row>
    <row r="424" ht="15" customHeight="1">
      <c r="A424" t="inlineStr">
        <is>
          <t>A 65015-2018</t>
        </is>
      </c>
      <c r="B424" s="1" t="n">
        <v>43432</v>
      </c>
      <c r="C424" s="1" t="n">
        <v>45224</v>
      </c>
      <c r="D424" t="inlineStr">
        <is>
          <t>STOCKHOLMS LÄN</t>
        </is>
      </c>
      <c r="E424" t="inlineStr">
        <is>
          <t>NORRTÄLJE</t>
        </is>
      </c>
      <c r="G424" t="n">
        <v>1.3</v>
      </c>
      <c r="H424" t="n">
        <v>0</v>
      </c>
      <c r="I424" t="n">
        <v>0</v>
      </c>
      <c r="J424" t="n">
        <v>0</v>
      </c>
      <c r="K424" t="n">
        <v>0</v>
      </c>
      <c r="L424" t="n">
        <v>0</v>
      </c>
      <c r="M424" t="n">
        <v>0</v>
      </c>
      <c r="N424" t="n">
        <v>0</v>
      </c>
      <c r="O424" t="n">
        <v>0</v>
      </c>
      <c r="P424" t="n">
        <v>0</v>
      </c>
      <c r="Q424" t="n">
        <v>0</v>
      </c>
      <c r="R424" s="2" t="inlineStr"/>
    </row>
    <row r="425" ht="15" customHeight="1">
      <c r="A425" t="inlineStr">
        <is>
          <t>A 65232-2018</t>
        </is>
      </c>
      <c r="B425" s="1" t="n">
        <v>43432</v>
      </c>
      <c r="C425" s="1" t="n">
        <v>45224</v>
      </c>
      <c r="D425" t="inlineStr">
        <is>
          <t>STOCKHOLMS LÄN</t>
        </is>
      </c>
      <c r="E425" t="inlineStr">
        <is>
          <t>SÖDERTÄLJE</t>
        </is>
      </c>
      <c r="G425" t="n">
        <v>2.8</v>
      </c>
      <c r="H425" t="n">
        <v>0</v>
      </c>
      <c r="I425" t="n">
        <v>0</v>
      </c>
      <c r="J425" t="n">
        <v>0</v>
      </c>
      <c r="K425" t="n">
        <v>0</v>
      </c>
      <c r="L425" t="n">
        <v>0</v>
      </c>
      <c r="M425" t="n">
        <v>0</v>
      </c>
      <c r="N425" t="n">
        <v>0</v>
      </c>
      <c r="O425" t="n">
        <v>0</v>
      </c>
      <c r="P425" t="n">
        <v>0</v>
      </c>
      <c r="Q425" t="n">
        <v>0</v>
      </c>
      <c r="R425" s="2" t="inlineStr"/>
    </row>
    <row r="426" ht="15" customHeight="1">
      <c r="A426" t="inlineStr">
        <is>
          <t>A 65566-2018</t>
        </is>
      </c>
      <c r="B426" s="1" t="n">
        <v>43433</v>
      </c>
      <c r="C426" s="1" t="n">
        <v>45224</v>
      </c>
      <c r="D426" t="inlineStr">
        <is>
          <t>STOCKHOLMS LÄN</t>
        </is>
      </c>
      <c r="E426" t="inlineStr">
        <is>
          <t>NORRTÄLJE</t>
        </is>
      </c>
      <c r="G426" t="n">
        <v>2</v>
      </c>
      <c r="H426" t="n">
        <v>0</v>
      </c>
      <c r="I426" t="n">
        <v>0</v>
      </c>
      <c r="J426" t="n">
        <v>0</v>
      </c>
      <c r="K426" t="n">
        <v>0</v>
      </c>
      <c r="L426" t="n">
        <v>0</v>
      </c>
      <c r="M426" t="n">
        <v>0</v>
      </c>
      <c r="N426" t="n">
        <v>0</v>
      </c>
      <c r="O426" t="n">
        <v>0</v>
      </c>
      <c r="P426" t="n">
        <v>0</v>
      </c>
      <c r="Q426" t="n">
        <v>0</v>
      </c>
      <c r="R426" s="2" t="inlineStr"/>
    </row>
    <row r="427" ht="15" customHeight="1">
      <c r="A427" t="inlineStr">
        <is>
          <t>A 66176-2018</t>
        </is>
      </c>
      <c r="B427" s="1" t="n">
        <v>43434</v>
      </c>
      <c r="C427" s="1" t="n">
        <v>45224</v>
      </c>
      <c r="D427" t="inlineStr">
        <is>
          <t>STOCKHOLMS LÄN</t>
        </is>
      </c>
      <c r="E427" t="inlineStr">
        <is>
          <t>BOTKYRKA</t>
        </is>
      </c>
      <c r="G427" t="n">
        <v>3.9</v>
      </c>
      <c r="H427" t="n">
        <v>0</v>
      </c>
      <c r="I427" t="n">
        <v>0</v>
      </c>
      <c r="J427" t="n">
        <v>0</v>
      </c>
      <c r="K427" t="n">
        <v>0</v>
      </c>
      <c r="L427" t="n">
        <v>0</v>
      </c>
      <c r="M427" t="n">
        <v>0</v>
      </c>
      <c r="N427" t="n">
        <v>0</v>
      </c>
      <c r="O427" t="n">
        <v>0</v>
      </c>
      <c r="P427" t="n">
        <v>0</v>
      </c>
      <c r="Q427" t="n">
        <v>0</v>
      </c>
      <c r="R427" s="2" t="inlineStr"/>
    </row>
    <row r="428" ht="15" customHeight="1">
      <c r="A428" t="inlineStr">
        <is>
          <t>A 66351-2018</t>
        </is>
      </c>
      <c r="B428" s="1" t="n">
        <v>43436</v>
      </c>
      <c r="C428" s="1" t="n">
        <v>45224</v>
      </c>
      <c r="D428" t="inlineStr">
        <is>
          <t>STOCKHOLMS LÄN</t>
        </is>
      </c>
      <c r="E428" t="inlineStr">
        <is>
          <t>NORRTÄLJE</t>
        </is>
      </c>
      <c r="G428" t="n">
        <v>0.4</v>
      </c>
      <c r="H428" t="n">
        <v>0</v>
      </c>
      <c r="I428" t="n">
        <v>0</v>
      </c>
      <c r="J428" t="n">
        <v>0</v>
      </c>
      <c r="K428" t="n">
        <v>0</v>
      </c>
      <c r="L428" t="n">
        <v>0</v>
      </c>
      <c r="M428" t="n">
        <v>0</v>
      </c>
      <c r="N428" t="n">
        <v>0</v>
      </c>
      <c r="O428" t="n">
        <v>0</v>
      </c>
      <c r="P428" t="n">
        <v>0</v>
      </c>
      <c r="Q428" t="n">
        <v>0</v>
      </c>
      <c r="R428" s="2" t="inlineStr"/>
    </row>
    <row r="429" ht="15" customHeight="1">
      <c r="A429" t="inlineStr">
        <is>
          <t>A 66350-2018</t>
        </is>
      </c>
      <c r="B429" s="1" t="n">
        <v>43436</v>
      </c>
      <c r="C429" s="1" t="n">
        <v>45224</v>
      </c>
      <c r="D429" t="inlineStr">
        <is>
          <t>STOCKHOLMS LÄN</t>
        </is>
      </c>
      <c r="E429" t="inlineStr">
        <is>
          <t>NORRTÄLJE</t>
        </is>
      </c>
      <c r="G429" t="n">
        <v>1</v>
      </c>
      <c r="H429" t="n">
        <v>0</v>
      </c>
      <c r="I429" t="n">
        <v>0</v>
      </c>
      <c r="J429" t="n">
        <v>0</v>
      </c>
      <c r="K429" t="n">
        <v>0</v>
      </c>
      <c r="L429" t="n">
        <v>0</v>
      </c>
      <c r="M429" t="n">
        <v>0</v>
      </c>
      <c r="N429" t="n">
        <v>0</v>
      </c>
      <c r="O429" t="n">
        <v>0</v>
      </c>
      <c r="P429" t="n">
        <v>0</v>
      </c>
      <c r="Q429" t="n">
        <v>0</v>
      </c>
      <c r="R429" s="2" t="inlineStr"/>
    </row>
    <row r="430" ht="15" customHeight="1">
      <c r="A430" t="inlineStr">
        <is>
          <t>A 68832-2018</t>
        </is>
      </c>
      <c r="B430" s="1" t="n">
        <v>43439</v>
      </c>
      <c r="C430" s="1" t="n">
        <v>45224</v>
      </c>
      <c r="D430" t="inlineStr">
        <is>
          <t>STOCKHOLMS LÄN</t>
        </is>
      </c>
      <c r="E430" t="inlineStr">
        <is>
          <t>BOTKYRKA</t>
        </is>
      </c>
      <c r="G430" t="n">
        <v>0.5</v>
      </c>
      <c r="H430" t="n">
        <v>0</v>
      </c>
      <c r="I430" t="n">
        <v>0</v>
      </c>
      <c r="J430" t="n">
        <v>0</v>
      </c>
      <c r="K430" t="n">
        <v>0</v>
      </c>
      <c r="L430" t="n">
        <v>0</v>
      </c>
      <c r="M430" t="n">
        <v>0</v>
      </c>
      <c r="N430" t="n">
        <v>0</v>
      </c>
      <c r="O430" t="n">
        <v>0</v>
      </c>
      <c r="P430" t="n">
        <v>0</v>
      </c>
      <c r="Q430" t="n">
        <v>0</v>
      </c>
      <c r="R430" s="2" t="inlineStr"/>
    </row>
    <row r="431" ht="15" customHeight="1">
      <c r="A431" t="inlineStr">
        <is>
          <t>A 67508-2018</t>
        </is>
      </c>
      <c r="B431" s="1" t="n">
        <v>43439</v>
      </c>
      <c r="C431" s="1" t="n">
        <v>45224</v>
      </c>
      <c r="D431" t="inlineStr">
        <is>
          <t>STOCKHOLMS LÄN</t>
        </is>
      </c>
      <c r="E431" t="inlineStr">
        <is>
          <t>SÖDERTÄLJE</t>
        </is>
      </c>
      <c r="G431" t="n">
        <v>1.1</v>
      </c>
      <c r="H431" t="n">
        <v>0</v>
      </c>
      <c r="I431" t="n">
        <v>0</v>
      </c>
      <c r="J431" t="n">
        <v>0</v>
      </c>
      <c r="K431" t="n">
        <v>0</v>
      </c>
      <c r="L431" t="n">
        <v>0</v>
      </c>
      <c r="M431" t="n">
        <v>0</v>
      </c>
      <c r="N431" t="n">
        <v>0</v>
      </c>
      <c r="O431" t="n">
        <v>0</v>
      </c>
      <c r="P431" t="n">
        <v>0</v>
      </c>
      <c r="Q431" t="n">
        <v>0</v>
      </c>
      <c r="R431" s="2" t="inlineStr"/>
    </row>
    <row r="432" ht="15" customHeight="1">
      <c r="A432" t="inlineStr">
        <is>
          <t>A 67595-2018</t>
        </is>
      </c>
      <c r="B432" s="1" t="n">
        <v>43439</v>
      </c>
      <c r="C432" s="1" t="n">
        <v>45224</v>
      </c>
      <c r="D432" t="inlineStr">
        <is>
          <t>STOCKHOLMS LÄN</t>
        </is>
      </c>
      <c r="E432" t="inlineStr">
        <is>
          <t>SÖDERTÄLJE</t>
        </is>
      </c>
      <c r="G432" t="n">
        <v>0.6</v>
      </c>
      <c r="H432" t="n">
        <v>0</v>
      </c>
      <c r="I432" t="n">
        <v>0</v>
      </c>
      <c r="J432" t="n">
        <v>0</v>
      </c>
      <c r="K432" t="n">
        <v>0</v>
      </c>
      <c r="L432" t="n">
        <v>0</v>
      </c>
      <c r="M432" t="n">
        <v>0</v>
      </c>
      <c r="N432" t="n">
        <v>0</v>
      </c>
      <c r="O432" t="n">
        <v>0</v>
      </c>
      <c r="P432" t="n">
        <v>0</v>
      </c>
      <c r="Q432" t="n">
        <v>0</v>
      </c>
      <c r="R432" s="2" t="inlineStr"/>
    </row>
    <row r="433" ht="15" customHeight="1">
      <c r="A433" t="inlineStr">
        <is>
          <t>A 67951-2018</t>
        </is>
      </c>
      <c r="B433" s="1" t="n">
        <v>43440</v>
      </c>
      <c r="C433" s="1" t="n">
        <v>45224</v>
      </c>
      <c r="D433" t="inlineStr">
        <is>
          <t>STOCKHOLMS LÄN</t>
        </is>
      </c>
      <c r="E433" t="inlineStr">
        <is>
          <t>NORRTÄLJE</t>
        </is>
      </c>
      <c r="G433" t="n">
        <v>0.6</v>
      </c>
      <c r="H433" t="n">
        <v>0</v>
      </c>
      <c r="I433" t="n">
        <v>0</v>
      </c>
      <c r="J433" t="n">
        <v>0</v>
      </c>
      <c r="K433" t="n">
        <v>0</v>
      </c>
      <c r="L433" t="n">
        <v>0</v>
      </c>
      <c r="M433" t="n">
        <v>0</v>
      </c>
      <c r="N433" t="n">
        <v>0</v>
      </c>
      <c r="O433" t="n">
        <v>0</v>
      </c>
      <c r="P433" t="n">
        <v>0</v>
      </c>
      <c r="Q433" t="n">
        <v>0</v>
      </c>
      <c r="R433" s="2" t="inlineStr"/>
    </row>
    <row r="434" ht="15" customHeight="1">
      <c r="A434" t="inlineStr">
        <is>
          <t>A 67992-2018</t>
        </is>
      </c>
      <c r="B434" s="1" t="n">
        <v>43440</v>
      </c>
      <c r="C434" s="1" t="n">
        <v>45224</v>
      </c>
      <c r="D434" t="inlineStr">
        <is>
          <t>STOCKHOLMS LÄN</t>
        </is>
      </c>
      <c r="E434" t="inlineStr">
        <is>
          <t>NYKVARN</t>
        </is>
      </c>
      <c r="G434" t="n">
        <v>0.8</v>
      </c>
      <c r="H434" t="n">
        <v>0</v>
      </c>
      <c r="I434" t="n">
        <v>0</v>
      </c>
      <c r="J434" t="n">
        <v>0</v>
      </c>
      <c r="K434" t="n">
        <v>0</v>
      </c>
      <c r="L434" t="n">
        <v>0</v>
      </c>
      <c r="M434" t="n">
        <v>0</v>
      </c>
      <c r="N434" t="n">
        <v>0</v>
      </c>
      <c r="O434" t="n">
        <v>0</v>
      </c>
      <c r="P434" t="n">
        <v>0</v>
      </c>
      <c r="Q434" t="n">
        <v>0</v>
      </c>
      <c r="R434" s="2" t="inlineStr"/>
    </row>
    <row r="435" ht="15" customHeight="1">
      <c r="A435" t="inlineStr">
        <is>
          <t>A 68371-2018</t>
        </is>
      </c>
      <c r="B435" s="1" t="n">
        <v>43441</v>
      </c>
      <c r="C435" s="1" t="n">
        <v>45224</v>
      </c>
      <c r="D435" t="inlineStr">
        <is>
          <t>STOCKHOLMS LÄN</t>
        </is>
      </c>
      <c r="E435" t="inlineStr">
        <is>
          <t>NYKVARN</t>
        </is>
      </c>
      <c r="G435" t="n">
        <v>1.2</v>
      </c>
      <c r="H435" t="n">
        <v>0</v>
      </c>
      <c r="I435" t="n">
        <v>0</v>
      </c>
      <c r="J435" t="n">
        <v>0</v>
      </c>
      <c r="K435" t="n">
        <v>0</v>
      </c>
      <c r="L435" t="n">
        <v>0</v>
      </c>
      <c r="M435" t="n">
        <v>0</v>
      </c>
      <c r="N435" t="n">
        <v>0</v>
      </c>
      <c r="O435" t="n">
        <v>0</v>
      </c>
      <c r="P435" t="n">
        <v>0</v>
      </c>
      <c r="Q435" t="n">
        <v>0</v>
      </c>
      <c r="R435" s="2" t="inlineStr"/>
    </row>
    <row r="436" ht="15" customHeight="1">
      <c r="A436" t="inlineStr">
        <is>
          <t>A 68366-2018</t>
        </is>
      </c>
      <c r="B436" s="1" t="n">
        <v>43441</v>
      </c>
      <c r="C436" s="1" t="n">
        <v>45224</v>
      </c>
      <c r="D436" t="inlineStr">
        <is>
          <t>STOCKHOLMS LÄN</t>
        </is>
      </c>
      <c r="E436" t="inlineStr">
        <is>
          <t>NYKVARN</t>
        </is>
      </c>
      <c r="G436" t="n">
        <v>3.2</v>
      </c>
      <c r="H436" t="n">
        <v>0</v>
      </c>
      <c r="I436" t="n">
        <v>0</v>
      </c>
      <c r="J436" t="n">
        <v>0</v>
      </c>
      <c r="K436" t="n">
        <v>0</v>
      </c>
      <c r="L436" t="n">
        <v>0</v>
      </c>
      <c r="M436" t="n">
        <v>0</v>
      </c>
      <c r="N436" t="n">
        <v>0</v>
      </c>
      <c r="O436" t="n">
        <v>0</v>
      </c>
      <c r="P436" t="n">
        <v>0</v>
      </c>
      <c r="Q436" t="n">
        <v>0</v>
      </c>
      <c r="R436" s="2" t="inlineStr"/>
    </row>
    <row r="437" ht="15" customHeight="1">
      <c r="A437" t="inlineStr">
        <is>
          <t>A 68508-2018</t>
        </is>
      </c>
      <c r="B437" s="1" t="n">
        <v>43443</v>
      </c>
      <c r="C437" s="1" t="n">
        <v>45224</v>
      </c>
      <c r="D437" t="inlineStr">
        <is>
          <t>STOCKHOLMS LÄN</t>
        </is>
      </c>
      <c r="E437" t="inlineStr">
        <is>
          <t>NYKVARN</t>
        </is>
      </c>
      <c r="G437" t="n">
        <v>4.1</v>
      </c>
      <c r="H437" t="n">
        <v>0</v>
      </c>
      <c r="I437" t="n">
        <v>0</v>
      </c>
      <c r="J437" t="n">
        <v>0</v>
      </c>
      <c r="K437" t="n">
        <v>0</v>
      </c>
      <c r="L437" t="n">
        <v>0</v>
      </c>
      <c r="M437" t="n">
        <v>0</v>
      </c>
      <c r="N437" t="n">
        <v>0</v>
      </c>
      <c r="O437" t="n">
        <v>0</v>
      </c>
      <c r="P437" t="n">
        <v>0</v>
      </c>
      <c r="Q437" t="n">
        <v>0</v>
      </c>
      <c r="R437" s="2" t="inlineStr"/>
    </row>
    <row r="438" ht="15" customHeight="1">
      <c r="A438" t="inlineStr">
        <is>
          <t>A 70310-2018</t>
        </is>
      </c>
      <c r="B438" s="1" t="n">
        <v>43445</v>
      </c>
      <c r="C438" s="1" t="n">
        <v>45224</v>
      </c>
      <c r="D438" t="inlineStr">
        <is>
          <t>STOCKHOLMS LÄN</t>
        </is>
      </c>
      <c r="E438" t="inlineStr">
        <is>
          <t>NORRTÄLJE</t>
        </is>
      </c>
      <c r="G438" t="n">
        <v>1.8</v>
      </c>
      <c r="H438" t="n">
        <v>0</v>
      </c>
      <c r="I438" t="n">
        <v>0</v>
      </c>
      <c r="J438" t="n">
        <v>0</v>
      </c>
      <c r="K438" t="n">
        <v>0</v>
      </c>
      <c r="L438" t="n">
        <v>0</v>
      </c>
      <c r="M438" t="n">
        <v>0</v>
      </c>
      <c r="N438" t="n">
        <v>0</v>
      </c>
      <c r="O438" t="n">
        <v>0</v>
      </c>
      <c r="P438" t="n">
        <v>0</v>
      </c>
      <c r="Q438" t="n">
        <v>0</v>
      </c>
      <c r="R438" s="2" t="inlineStr"/>
    </row>
    <row r="439" ht="15" customHeight="1">
      <c r="A439" t="inlineStr">
        <is>
          <t>A 69314-2018</t>
        </is>
      </c>
      <c r="B439" s="1" t="n">
        <v>43446</v>
      </c>
      <c r="C439" s="1" t="n">
        <v>45224</v>
      </c>
      <c r="D439" t="inlineStr">
        <is>
          <t>STOCKHOLMS LÄN</t>
        </is>
      </c>
      <c r="E439" t="inlineStr">
        <is>
          <t>NYNÄSHAMN</t>
        </is>
      </c>
      <c r="G439" t="n">
        <v>1.3</v>
      </c>
      <c r="H439" t="n">
        <v>0</v>
      </c>
      <c r="I439" t="n">
        <v>0</v>
      </c>
      <c r="J439" t="n">
        <v>0</v>
      </c>
      <c r="K439" t="n">
        <v>0</v>
      </c>
      <c r="L439" t="n">
        <v>0</v>
      </c>
      <c r="M439" t="n">
        <v>0</v>
      </c>
      <c r="N439" t="n">
        <v>0</v>
      </c>
      <c r="O439" t="n">
        <v>0</v>
      </c>
      <c r="P439" t="n">
        <v>0</v>
      </c>
      <c r="Q439" t="n">
        <v>0</v>
      </c>
      <c r="R439" s="2" t="inlineStr"/>
    </row>
    <row r="440" ht="15" customHeight="1">
      <c r="A440" t="inlineStr">
        <is>
          <t>A 69301-2018</t>
        </is>
      </c>
      <c r="B440" s="1" t="n">
        <v>43446</v>
      </c>
      <c r="C440" s="1" t="n">
        <v>45224</v>
      </c>
      <c r="D440" t="inlineStr">
        <is>
          <t>STOCKHOLMS LÄN</t>
        </is>
      </c>
      <c r="E440" t="inlineStr">
        <is>
          <t>NYNÄSHAMN</t>
        </is>
      </c>
      <c r="G440" t="n">
        <v>2.2</v>
      </c>
      <c r="H440" t="n">
        <v>0</v>
      </c>
      <c r="I440" t="n">
        <v>0</v>
      </c>
      <c r="J440" t="n">
        <v>0</v>
      </c>
      <c r="K440" t="n">
        <v>0</v>
      </c>
      <c r="L440" t="n">
        <v>0</v>
      </c>
      <c r="M440" t="n">
        <v>0</v>
      </c>
      <c r="N440" t="n">
        <v>0</v>
      </c>
      <c r="O440" t="n">
        <v>0</v>
      </c>
      <c r="P440" t="n">
        <v>0</v>
      </c>
      <c r="Q440" t="n">
        <v>0</v>
      </c>
      <c r="R440" s="2" t="inlineStr"/>
    </row>
    <row r="441" ht="15" customHeight="1">
      <c r="A441" t="inlineStr">
        <is>
          <t>A 69903-2018</t>
        </is>
      </c>
      <c r="B441" s="1" t="n">
        <v>43447</v>
      </c>
      <c r="C441" s="1" t="n">
        <v>45224</v>
      </c>
      <c r="D441" t="inlineStr">
        <is>
          <t>STOCKHOLMS LÄN</t>
        </is>
      </c>
      <c r="E441" t="inlineStr">
        <is>
          <t>SIGTUNA</t>
        </is>
      </c>
      <c r="G441" t="n">
        <v>4.8</v>
      </c>
      <c r="H441" t="n">
        <v>0</v>
      </c>
      <c r="I441" t="n">
        <v>0</v>
      </c>
      <c r="J441" t="n">
        <v>0</v>
      </c>
      <c r="K441" t="n">
        <v>0</v>
      </c>
      <c r="L441" t="n">
        <v>0</v>
      </c>
      <c r="M441" t="n">
        <v>0</v>
      </c>
      <c r="N441" t="n">
        <v>0</v>
      </c>
      <c r="O441" t="n">
        <v>0</v>
      </c>
      <c r="P441" t="n">
        <v>0</v>
      </c>
      <c r="Q441" t="n">
        <v>0</v>
      </c>
      <c r="R441" s="2" t="inlineStr"/>
    </row>
    <row r="442" ht="15" customHeight="1">
      <c r="A442" t="inlineStr">
        <is>
          <t>A 71399-2018</t>
        </is>
      </c>
      <c r="B442" s="1" t="n">
        <v>43453</v>
      </c>
      <c r="C442" s="1" t="n">
        <v>45224</v>
      </c>
      <c r="D442" t="inlineStr">
        <is>
          <t>STOCKHOLMS LÄN</t>
        </is>
      </c>
      <c r="E442" t="inlineStr">
        <is>
          <t>NORRTÄLJE</t>
        </is>
      </c>
      <c r="G442" t="n">
        <v>1.4</v>
      </c>
      <c r="H442" t="n">
        <v>0</v>
      </c>
      <c r="I442" t="n">
        <v>0</v>
      </c>
      <c r="J442" t="n">
        <v>0</v>
      </c>
      <c r="K442" t="n">
        <v>0</v>
      </c>
      <c r="L442" t="n">
        <v>0</v>
      </c>
      <c r="M442" t="n">
        <v>0</v>
      </c>
      <c r="N442" t="n">
        <v>0</v>
      </c>
      <c r="O442" t="n">
        <v>0</v>
      </c>
      <c r="P442" t="n">
        <v>0</v>
      </c>
      <c r="Q442" t="n">
        <v>0</v>
      </c>
      <c r="R442" s="2" t="inlineStr"/>
    </row>
    <row r="443" ht="15" customHeight="1">
      <c r="A443" t="inlineStr">
        <is>
          <t>A 72167-2018</t>
        </is>
      </c>
      <c r="B443" s="1" t="n">
        <v>43455</v>
      </c>
      <c r="C443" s="1" t="n">
        <v>45224</v>
      </c>
      <c r="D443" t="inlineStr">
        <is>
          <t>STOCKHOLMS LÄN</t>
        </is>
      </c>
      <c r="E443" t="inlineStr">
        <is>
          <t>VALLENTUNA</t>
        </is>
      </c>
      <c r="G443" t="n">
        <v>5.7</v>
      </c>
      <c r="H443" t="n">
        <v>0</v>
      </c>
      <c r="I443" t="n">
        <v>0</v>
      </c>
      <c r="J443" t="n">
        <v>0</v>
      </c>
      <c r="K443" t="n">
        <v>0</v>
      </c>
      <c r="L443" t="n">
        <v>0</v>
      </c>
      <c r="M443" t="n">
        <v>0</v>
      </c>
      <c r="N443" t="n">
        <v>0</v>
      </c>
      <c r="O443" t="n">
        <v>0</v>
      </c>
      <c r="P443" t="n">
        <v>0</v>
      </c>
      <c r="Q443" t="n">
        <v>0</v>
      </c>
      <c r="R443" s="2" t="inlineStr"/>
    </row>
    <row r="444" ht="15" customHeight="1">
      <c r="A444" t="inlineStr">
        <is>
          <t>A 72184-2018</t>
        </is>
      </c>
      <c r="B444" s="1" t="n">
        <v>43455</v>
      </c>
      <c r="C444" s="1" t="n">
        <v>45224</v>
      </c>
      <c r="D444" t="inlineStr">
        <is>
          <t>STOCKHOLMS LÄN</t>
        </is>
      </c>
      <c r="E444" t="inlineStr">
        <is>
          <t>ÖSTERÅKER</t>
        </is>
      </c>
      <c r="G444" t="n">
        <v>5</v>
      </c>
      <c r="H444" t="n">
        <v>0</v>
      </c>
      <c r="I444" t="n">
        <v>0</v>
      </c>
      <c r="J444" t="n">
        <v>0</v>
      </c>
      <c r="K444" t="n">
        <v>0</v>
      </c>
      <c r="L444" t="n">
        <v>0</v>
      </c>
      <c r="M444" t="n">
        <v>0</v>
      </c>
      <c r="N444" t="n">
        <v>0</v>
      </c>
      <c r="O444" t="n">
        <v>0</v>
      </c>
      <c r="P444" t="n">
        <v>0</v>
      </c>
      <c r="Q444" t="n">
        <v>0</v>
      </c>
      <c r="R444" s="2" t="inlineStr"/>
    </row>
    <row r="445" ht="15" customHeight="1">
      <c r="A445" t="inlineStr">
        <is>
          <t>A 72278-2018</t>
        </is>
      </c>
      <c r="B445" s="1" t="n">
        <v>43455</v>
      </c>
      <c r="C445" s="1" t="n">
        <v>45224</v>
      </c>
      <c r="D445" t="inlineStr">
        <is>
          <t>STOCKHOLMS LÄN</t>
        </is>
      </c>
      <c r="E445" t="inlineStr">
        <is>
          <t>NORRTÄLJE</t>
        </is>
      </c>
      <c r="G445" t="n">
        <v>1.4</v>
      </c>
      <c r="H445" t="n">
        <v>0</v>
      </c>
      <c r="I445" t="n">
        <v>0</v>
      </c>
      <c r="J445" t="n">
        <v>0</v>
      </c>
      <c r="K445" t="n">
        <v>0</v>
      </c>
      <c r="L445" t="n">
        <v>0</v>
      </c>
      <c r="M445" t="n">
        <v>0</v>
      </c>
      <c r="N445" t="n">
        <v>0</v>
      </c>
      <c r="O445" t="n">
        <v>0</v>
      </c>
      <c r="P445" t="n">
        <v>0</v>
      </c>
      <c r="Q445" t="n">
        <v>0</v>
      </c>
      <c r="R445" s="2" t="inlineStr"/>
    </row>
    <row r="446" ht="15" customHeight="1">
      <c r="A446" t="inlineStr">
        <is>
          <t>A 72255-2018</t>
        </is>
      </c>
      <c r="B446" s="1" t="n">
        <v>43455</v>
      </c>
      <c r="C446" s="1" t="n">
        <v>45224</v>
      </c>
      <c r="D446" t="inlineStr">
        <is>
          <t>STOCKHOLMS LÄN</t>
        </is>
      </c>
      <c r="E446" t="inlineStr">
        <is>
          <t>ÖSTERÅKER</t>
        </is>
      </c>
      <c r="G446" t="n">
        <v>1.9</v>
      </c>
      <c r="H446" t="n">
        <v>0</v>
      </c>
      <c r="I446" t="n">
        <v>0</v>
      </c>
      <c r="J446" t="n">
        <v>0</v>
      </c>
      <c r="K446" t="n">
        <v>0</v>
      </c>
      <c r="L446" t="n">
        <v>0</v>
      </c>
      <c r="M446" t="n">
        <v>0</v>
      </c>
      <c r="N446" t="n">
        <v>0</v>
      </c>
      <c r="O446" t="n">
        <v>0</v>
      </c>
      <c r="P446" t="n">
        <v>0</v>
      </c>
      <c r="Q446" t="n">
        <v>0</v>
      </c>
      <c r="R446" s="2" t="inlineStr"/>
    </row>
    <row r="447" ht="15" customHeight="1">
      <c r="A447" t="inlineStr">
        <is>
          <t>A 72281-2018</t>
        </is>
      </c>
      <c r="B447" s="1" t="n">
        <v>43455</v>
      </c>
      <c r="C447" s="1" t="n">
        <v>45224</v>
      </c>
      <c r="D447" t="inlineStr">
        <is>
          <t>STOCKHOLMS LÄN</t>
        </is>
      </c>
      <c r="E447" t="inlineStr">
        <is>
          <t>NORRTÄLJE</t>
        </is>
      </c>
      <c r="G447" t="n">
        <v>1.2</v>
      </c>
      <c r="H447" t="n">
        <v>0</v>
      </c>
      <c r="I447" t="n">
        <v>0</v>
      </c>
      <c r="J447" t="n">
        <v>0</v>
      </c>
      <c r="K447" t="n">
        <v>0</v>
      </c>
      <c r="L447" t="n">
        <v>0</v>
      </c>
      <c r="M447" t="n">
        <v>0</v>
      </c>
      <c r="N447" t="n">
        <v>0</v>
      </c>
      <c r="O447" t="n">
        <v>0</v>
      </c>
      <c r="P447" t="n">
        <v>0</v>
      </c>
      <c r="Q447" t="n">
        <v>0</v>
      </c>
      <c r="R447" s="2" t="inlineStr"/>
    </row>
    <row r="448" ht="15" customHeight="1">
      <c r="A448" t="inlineStr">
        <is>
          <t>A 72321-2018</t>
        </is>
      </c>
      <c r="B448" s="1" t="n">
        <v>43456</v>
      </c>
      <c r="C448" s="1" t="n">
        <v>45224</v>
      </c>
      <c r="D448" t="inlineStr">
        <is>
          <t>STOCKHOLMS LÄN</t>
        </is>
      </c>
      <c r="E448" t="inlineStr">
        <is>
          <t>SÖDERTÄLJE</t>
        </is>
      </c>
      <c r="G448" t="n">
        <v>2.5</v>
      </c>
      <c r="H448" t="n">
        <v>0</v>
      </c>
      <c r="I448" t="n">
        <v>0</v>
      </c>
      <c r="J448" t="n">
        <v>0</v>
      </c>
      <c r="K448" t="n">
        <v>0</v>
      </c>
      <c r="L448" t="n">
        <v>0</v>
      </c>
      <c r="M448" t="n">
        <v>0</v>
      </c>
      <c r="N448" t="n">
        <v>0</v>
      </c>
      <c r="O448" t="n">
        <v>0</v>
      </c>
      <c r="P448" t="n">
        <v>0</v>
      </c>
      <c r="Q448" t="n">
        <v>0</v>
      </c>
      <c r="R448" s="2" t="inlineStr"/>
    </row>
    <row r="449" ht="15" customHeight="1">
      <c r="A449" t="inlineStr">
        <is>
          <t>A 72323-2018</t>
        </is>
      </c>
      <c r="B449" s="1" t="n">
        <v>43456</v>
      </c>
      <c r="C449" s="1" t="n">
        <v>45224</v>
      </c>
      <c r="D449" t="inlineStr">
        <is>
          <t>STOCKHOLMS LÄN</t>
        </is>
      </c>
      <c r="E449" t="inlineStr">
        <is>
          <t>SÖDERTÄLJE</t>
        </is>
      </c>
      <c r="G449" t="n">
        <v>1</v>
      </c>
      <c r="H449" t="n">
        <v>0</v>
      </c>
      <c r="I449" t="n">
        <v>0</v>
      </c>
      <c r="J449" t="n">
        <v>0</v>
      </c>
      <c r="K449" t="n">
        <v>0</v>
      </c>
      <c r="L449" t="n">
        <v>0</v>
      </c>
      <c r="M449" t="n">
        <v>0</v>
      </c>
      <c r="N449" t="n">
        <v>0</v>
      </c>
      <c r="O449" t="n">
        <v>0</v>
      </c>
      <c r="P449" t="n">
        <v>0</v>
      </c>
      <c r="Q449" t="n">
        <v>0</v>
      </c>
      <c r="R449" s="2" t="inlineStr"/>
    </row>
    <row r="450" ht="15" customHeight="1">
      <c r="A450" t="inlineStr">
        <is>
          <t>A 72328-2018</t>
        </is>
      </c>
      <c r="B450" s="1" t="n">
        <v>43459</v>
      </c>
      <c r="C450" s="1" t="n">
        <v>45224</v>
      </c>
      <c r="D450" t="inlineStr">
        <is>
          <t>STOCKHOLMS LÄN</t>
        </is>
      </c>
      <c r="E450" t="inlineStr">
        <is>
          <t>NORRTÄLJE</t>
        </is>
      </c>
      <c r="G450" t="n">
        <v>4.4</v>
      </c>
      <c r="H450" t="n">
        <v>0</v>
      </c>
      <c r="I450" t="n">
        <v>0</v>
      </c>
      <c r="J450" t="n">
        <v>0</v>
      </c>
      <c r="K450" t="n">
        <v>0</v>
      </c>
      <c r="L450" t="n">
        <v>0</v>
      </c>
      <c r="M450" t="n">
        <v>0</v>
      </c>
      <c r="N450" t="n">
        <v>0</v>
      </c>
      <c r="O450" t="n">
        <v>0</v>
      </c>
      <c r="P450" t="n">
        <v>0</v>
      </c>
      <c r="Q450" t="n">
        <v>0</v>
      </c>
      <c r="R450" s="2" t="inlineStr"/>
    </row>
    <row r="451" ht="15" customHeight="1">
      <c r="A451" t="inlineStr">
        <is>
          <t>A 1424-2019</t>
        </is>
      </c>
      <c r="B451" s="1" t="n">
        <v>43461</v>
      </c>
      <c r="C451" s="1" t="n">
        <v>45224</v>
      </c>
      <c r="D451" t="inlineStr">
        <is>
          <t>STOCKHOLMS LÄN</t>
        </is>
      </c>
      <c r="E451" t="inlineStr">
        <is>
          <t>NYNÄSHAMN</t>
        </is>
      </c>
      <c r="G451" t="n">
        <v>2.5</v>
      </c>
      <c r="H451" t="n">
        <v>0</v>
      </c>
      <c r="I451" t="n">
        <v>0</v>
      </c>
      <c r="J451" t="n">
        <v>0</v>
      </c>
      <c r="K451" t="n">
        <v>0</v>
      </c>
      <c r="L451" t="n">
        <v>0</v>
      </c>
      <c r="M451" t="n">
        <v>0</v>
      </c>
      <c r="N451" t="n">
        <v>0</v>
      </c>
      <c r="O451" t="n">
        <v>0</v>
      </c>
      <c r="P451" t="n">
        <v>0</v>
      </c>
      <c r="Q451" t="n">
        <v>0</v>
      </c>
      <c r="R451" s="2" t="inlineStr"/>
    </row>
    <row r="452" ht="15" customHeight="1">
      <c r="A452" t="inlineStr">
        <is>
          <t>A 72408-2018</t>
        </is>
      </c>
      <c r="B452" s="1" t="n">
        <v>43461</v>
      </c>
      <c r="C452" s="1" t="n">
        <v>45224</v>
      </c>
      <c r="D452" t="inlineStr">
        <is>
          <t>STOCKHOLMS LÄN</t>
        </is>
      </c>
      <c r="E452" t="inlineStr">
        <is>
          <t>NORRTÄLJE</t>
        </is>
      </c>
      <c r="G452" t="n">
        <v>1.9</v>
      </c>
      <c r="H452" t="n">
        <v>0</v>
      </c>
      <c r="I452" t="n">
        <v>0</v>
      </c>
      <c r="J452" t="n">
        <v>0</v>
      </c>
      <c r="K452" t="n">
        <v>0</v>
      </c>
      <c r="L452" t="n">
        <v>0</v>
      </c>
      <c r="M452" t="n">
        <v>0</v>
      </c>
      <c r="N452" t="n">
        <v>0</v>
      </c>
      <c r="O452" t="n">
        <v>0</v>
      </c>
      <c r="P452" t="n">
        <v>0</v>
      </c>
      <c r="Q452" t="n">
        <v>0</v>
      </c>
      <c r="R452" s="2" t="inlineStr"/>
    </row>
    <row r="453" ht="15" customHeight="1">
      <c r="A453" t="inlineStr">
        <is>
          <t>A 72453-2018</t>
        </is>
      </c>
      <c r="B453" s="1" t="n">
        <v>43461</v>
      </c>
      <c r="C453" s="1" t="n">
        <v>45224</v>
      </c>
      <c r="D453" t="inlineStr">
        <is>
          <t>STOCKHOLMS LÄN</t>
        </is>
      </c>
      <c r="E453" t="inlineStr">
        <is>
          <t>NORRTÄLJE</t>
        </is>
      </c>
      <c r="G453" t="n">
        <v>9.699999999999999</v>
      </c>
      <c r="H453" t="n">
        <v>0</v>
      </c>
      <c r="I453" t="n">
        <v>0</v>
      </c>
      <c r="J453" t="n">
        <v>0</v>
      </c>
      <c r="K453" t="n">
        <v>0</v>
      </c>
      <c r="L453" t="n">
        <v>0</v>
      </c>
      <c r="M453" t="n">
        <v>0</v>
      </c>
      <c r="N453" t="n">
        <v>0</v>
      </c>
      <c r="O453" t="n">
        <v>0</v>
      </c>
      <c r="P453" t="n">
        <v>0</v>
      </c>
      <c r="Q453" t="n">
        <v>0</v>
      </c>
      <c r="R453" s="2" t="inlineStr"/>
    </row>
    <row r="454" ht="15" customHeight="1">
      <c r="A454" t="inlineStr">
        <is>
          <t>A 72547-2018</t>
        </is>
      </c>
      <c r="B454" s="1" t="n">
        <v>43462</v>
      </c>
      <c r="C454" s="1" t="n">
        <v>45224</v>
      </c>
      <c r="D454" t="inlineStr">
        <is>
          <t>STOCKHOLMS LÄN</t>
        </is>
      </c>
      <c r="E454" t="inlineStr">
        <is>
          <t>EKERÖ</t>
        </is>
      </c>
      <c r="F454" t="inlineStr">
        <is>
          <t>Kyrkan</t>
        </is>
      </c>
      <c r="G454" t="n">
        <v>5.1</v>
      </c>
      <c r="H454" t="n">
        <v>0</v>
      </c>
      <c r="I454" t="n">
        <v>0</v>
      </c>
      <c r="J454" t="n">
        <v>0</v>
      </c>
      <c r="K454" t="n">
        <v>0</v>
      </c>
      <c r="L454" t="n">
        <v>0</v>
      </c>
      <c r="M454" t="n">
        <v>0</v>
      </c>
      <c r="N454" t="n">
        <v>0</v>
      </c>
      <c r="O454" t="n">
        <v>0</v>
      </c>
      <c r="P454" t="n">
        <v>0</v>
      </c>
      <c r="Q454" t="n">
        <v>0</v>
      </c>
      <c r="R454" s="2" t="inlineStr"/>
    </row>
    <row r="455" ht="15" customHeight="1">
      <c r="A455" t="inlineStr">
        <is>
          <t>A 248-2019</t>
        </is>
      </c>
      <c r="B455" s="1" t="n">
        <v>43467</v>
      </c>
      <c r="C455" s="1" t="n">
        <v>45224</v>
      </c>
      <c r="D455" t="inlineStr">
        <is>
          <t>STOCKHOLMS LÄN</t>
        </is>
      </c>
      <c r="E455" t="inlineStr">
        <is>
          <t>NORRTÄLJE</t>
        </is>
      </c>
      <c r="G455" t="n">
        <v>9.4</v>
      </c>
      <c r="H455" t="n">
        <v>0</v>
      </c>
      <c r="I455" t="n">
        <v>0</v>
      </c>
      <c r="J455" t="n">
        <v>0</v>
      </c>
      <c r="K455" t="n">
        <v>0</v>
      </c>
      <c r="L455" t="n">
        <v>0</v>
      </c>
      <c r="M455" t="n">
        <v>0</v>
      </c>
      <c r="N455" t="n">
        <v>0</v>
      </c>
      <c r="O455" t="n">
        <v>0</v>
      </c>
      <c r="P455" t="n">
        <v>0</v>
      </c>
      <c r="Q455" t="n">
        <v>0</v>
      </c>
      <c r="R455" s="2" t="inlineStr"/>
    </row>
    <row r="456" ht="15" customHeight="1">
      <c r="A456" t="inlineStr">
        <is>
          <t>A 441-2019</t>
        </is>
      </c>
      <c r="B456" s="1" t="n">
        <v>43468</v>
      </c>
      <c r="C456" s="1" t="n">
        <v>45224</v>
      </c>
      <c r="D456" t="inlineStr">
        <is>
          <t>STOCKHOLMS LÄN</t>
        </is>
      </c>
      <c r="E456" t="inlineStr">
        <is>
          <t>NORRTÄLJE</t>
        </is>
      </c>
      <c r="G456" t="n">
        <v>7.2</v>
      </c>
      <c r="H456" t="n">
        <v>0</v>
      </c>
      <c r="I456" t="n">
        <v>0</v>
      </c>
      <c r="J456" t="n">
        <v>0</v>
      </c>
      <c r="K456" t="n">
        <v>0</v>
      </c>
      <c r="L456" t="n">
        <v>0</v>
      </c>
      <c r="M456" t="n">
        <v>0</v>
      </c>
      <c r="N456" t="n">
        <v>0</v>
      </c>
      <c r="O456" t="n">
        <v>0</v>
      </c>
      <c r="P456" t="n">
        <v>0</v>
      </c>
      <c r="Q456" t="n">
        <v>0</v>
      </c>
      <c r="R456" s="2" t="inlineStr"/>
    </row>
    <row r="457" ht="15" customHeight="1">
      <c r="A457" t="inlineStr">
        <is>
          <t>A 568-2019</t>
        </is>
      </c>
      <c r="B457" s="1" t="n">
        <v>43469</v>
      </c>
      <c r="C457" s="1" t="n">
        <v>45224</v>
      </c>
      <c r="D457" t="inlineStr">
        <is>
          <t>STOCKHOLMS LÄN</t>
        </is>
      </c>
      <c r="E457" t="inlineStr">
        <is>
          <t>SÖDERTÄLJE</t>
        </is>
      </c>
      <c r="G457" t="n">
        <v>12.4</v>
      </c>
      <c r="H457" t="n">
        <v>0</v>
      </c>
      <c r="I457" t="n">
        <v>0</v>
      </c>
      <c r="J457" t="n">
        <v>0</v>
      </c>
      <c r="K457" t="n">
        <v>0</v>
      </c>
      <c r="L457" t="n">
        <v>0</v>
      </c>
      <c r="M457" t="n">
        <v>0</v>
      </c>
      <c r="N457" t="n">
        <v>0</v>
      </c>
      <c r="O457" t="n">
        <v>0</v>
      </c>
      <c r="P457" t="n">
        <v>0</v>
      </c>
      <c r="Q457" t="n">
        <v>0</v>
      </c>
      <c r="R457" s="2" t="inlineStr"/>
    </row>
    <row r="458" ht="15" customHeight="1">
      <c r="A458" t="inlineStr">
        <is>
          <t>A 649-2019</t>
        </is>
      </c>
      <c r="B458" s="1" t="n">
        <v>43469</v>
      </c>
      <c r="C458" s="1" t="n">
        <v>45224</v>
      </c>
      <c r="D458" t="inlineStr">
        <is>
          <t>STOCKHOLMS LÄN</t>
        </is>
      </c>
      <c r="E458" t="inlineStr">
        <is>
          <t>NORRTÄLJE</t>
        </is>
      </c>
      <c r="G458" t="n">
        <v>1</v>
      </c>
      <c r="H458" t="n">
        <v>0</v>
      </c>
      <c r="I458" t="n">
        <v>0</v>
      </c>
      <c r="J458" t="n">
        <v>0</v>
      </c>
      <c r="K458" t="n">
        <v>0</v>
      </c>
      <c r="L458" t="n">
        <v>0</v>
      </c>
      <c r="M458" t="n">
        <v>0</v>
      </c>
      <c r="N458" t="n">
        <v>0</v>
      </c>
      <c r="O458" t="n">
        <v>0</v>
      </c>
      <c r="P458" t="n">
        <v>0</v>
      </c>
      <c r="Q458" t="n">
        <v>0</v>
      </c>
      <c r="R458" s="2" t="inlineStr"/>
    </row>
    <row r="459" ht="15" customHeight="1">
      <c r="A459" t="inlineStr">
        <is>
          <t>A 682-2019</t>
        </is>
      </c>
      <c r="B459" s="1" t="n">
        <v>43469</v>
      </c>
      <c r="C459" s="1" t="n">
        <v>45224</v>
      </c>
      <c r="D459" t="inlineStr">
        <is>
          <t>STOCKHOLMS LÄN</t>
        </is>
      </c>
      <c r="E459" t="inlineStr">
        <is>
          <t>ÖSTERÅKER</t>
        </is>
      </c>
      <c r="F459" t="inlineStr">
        <is>
          <t>Övriga Aktiebolag</t>
        </is>
      </c>
      <c r="G459" t="n">
        <v>1.5</v>
      </c>
      <c r="H459" t="n">
        <v>0</v>
      </c>
      <c r="I459" t="n">
        <v>0</v>
      </c>
      <c r="J459" t="n">
        <v>0</v>
      </c>
      <c r="K459" t="n">
        <v>0</v>
      </c>
      <c r="L459" t="n">
        <v>0</v>
      </c>
      <c r="M459" t="n">
        <v>0</v>
      </c>
      <c r="N459" t="n">
        <v>0</v>
      </c>
      <c r="O459" t="n">
        <v>0</v>
      </c>
      <c r="P459" t="n">
        <v>0</v>
      </c>
      <c r="Q459" t="n">
        <v>0</v>
      </c>
      <c r="R459" s="2" t="inlineStr"/>
    </row>
    <row r="460" ht="15" customHeight="1">
      <c r="A460" t="inlineStr">
        <is>
          <t>A 694-2019</t>
        </is>
      </c>
      <c r="B460" s="1" t="n">
        <v>43469</v>
      </c>
      <c r="C460" s="1" t="n">
        <v>45224</v>
      </c>
      <c r="D460" t="inlineStr">
        <is>
          <t>STOCKHOLMS LÄN</t>
        </is>
      </c>
      <c r="E460" t="inlineStr">
        <is>
          <t>NORRTÄLJE</t>
        </is>
      </c>
      <c r="G460" t="n">
        <v>9.4</v>
      </c>
      <c r="H460" t="n">
        <v>0</v>
      </c>
      <c r="I460" t="n">
        <v>0</v>
      </c>
      <c r="J460" t="n">
        <v>0</v>
      </c>
      <c r="K460" t="n">
        <v>0</v>
      </c>
      <c r="L460" t="n">
        <v>0</v>
      </c>
      <c r="M460" t="n">
        <v>0</v>
      </c>
      <c r="N460" t="n">
        <v>0</v>
      </c>
      <c r="O460" t="n">
        <v>0</v>
      </c>
      <c r="P460" t="n">
        <v>0</v>
      </c>
      <c r="Q460" t="n">
        <v>0</v>
      </c>
      <c r="R460" s="2" t="inlineStr"/>
    </row>
    <row r="461" ht="15" customHeight="1">
      <c r="A461" t="inlineStr">
        <is>
          <t>A 708-2019</t>
        </is>
      </c>
      <c r="B461" s="1" t="n">
        <v>43470</v>
      </c>
      <c r="C461" s="1" t="n">
        <v>45224</v>
      </c>
      <c r="D461" t="inlineStr">
        <is>
          <t>STOCKHOLMS LÄN</t>
        </is>
      </c>
      <c r="E461" t="inlineStr">
        <is>
          <t>NORRTÄLJE</t>
        </is>
      </c>
      <c r="G461" t="n">
        <v>1.3</v>
      </c>
      <c r="H461" t="n">
        <v>0</v>
      </c>
      <c r="I461" t="n">
        <v>0</v>
      </c>
      <c r="J461" t="n">
        <v>0</v>
      </c>
      <c r="K461" t="n">
        <v>0</v>
      </c>
      <c r="L461" t="n">
        <v>0</v>
      </c>
      <c r="M461" t="n">
        <v>0</v>
      </c>
      <c r="N461" t="n">
        <v>0</v>
      </c>
      <c r="O461" t="n">
        <v>0</v>
      </c>
      <c r="P461" t="n">
        <v>0</v>
      </c>
      <c r="Q461" t="n">
        <v>0</v>
      </c>
      <c r="R461" s="2" t="inlineStr"/>
    </row>
    <row r="462" ht="15" customHeight="1">
      <c r="A462" t="inlineStr">
        <is>
          <t>A 726-2019</t>
        </is>
      </c>
      <c r="B462" s="1" t="n">
        <v>43471</v>
      </c>
      <c r="C462" s="1" t="n">
        <v>45224</v>
      </c>
      <c r="D462" t="inlineStr">
        <is>
          <t>STOCKHOLMS LÄN</t>
        </is>
      </c>
      <c r="E462" t="inlineStr">
        <is>
          <t>NORRTÄLJE</t>
        </is>
      </c>
      <c r="G462" t="n">
        <v>0.5</v>
      </c>
      <c r="H462" t="n">
        <v>0</v>
      </c>
      <c r="I462" t="n">
        <v>0</v>
      </c>
      <c r="J462" t="n">
        <v>0</v>
      </c>
      <c r="K462" t="n">
        <v>0</v>
      </c>
      <c r="L462" t="n">
        <v>0</v>
      </c>
      <c r="M462" t="n">
        <v>0</v>
      </c>
      <c r="N462" t="n">
        <v>0</v>
      </c>
      <c r="O462" t="n">
        <v>0</v>
      </c>
      <c r="P462" t="n">
        <v>0</v>
      </c>
      <c r="Q462" t="n">
        <v>0</v>
      </c>
      <c r="R462" s="2" t="inlineStr"/>
    </row>
    <row r="463" ht="15" customHeight="1">
      <c r="A463" t="inlineStr">
        <is>
          <t>A 743-2019</t>
        </is>
      </c>
      <c r="B463" s="1" t="n">
        <v>43471</v>
      </c>
      <c r="C463" s="1" t="n">
        <v>45224</v>
      </c>
      <c r="D463" t="inlineStr">
        <is>
          <t>STOCKHOLMS LÄN</t>
        </is>
      </c>
      <c r="E463" t="inlineStr">
        <is>
          <t>NORRTÄLJE</t>
        </is>
      </c>
      <c r="G463" t="n">
        <v>2.7</v>
      </c>
      <c r="H463" t="n">
        <v>0</v>
      </c>
      <c r="I463" t="n">
        <v>0</v>
      </c>
      <c r="J463" t="n">
        <v>0</v>
      </c>
      <c r="K463" t="n">
        <v>0</v>
      </c>
      <c r="L463" t="n">
        <v>0</v>
      </c>
      <c r="M463" t="n">
        <v>0</v>
      </c>
      <c r="N463" t="n">
        <v>0</v>
      </c>
      <c r="O463" t="n">
        <v>0</v>
      </c>
      <c r="P463" t="n">
        <v>0</v>
      </c>
      <c r="Q463" t="n">
        <v>0</v>
      </c>
      <c r="R463" s="2" t="inlineStr"/>
    </row>
    <row r="464" ht="15" customHeight="1">
      <c r="A464" t="inlineStr">
        <is>
          <t>A 751-2019</t>
        </is>
      </c>
      <c r="B464" s="1" t="n">
        <v>43471</v>
      </c>
      <c r="C464" s="1" t="n">
        <v>45224</v>
      </c>
      <c r="D464" t="inlineStr">
        <is>
          <t>STOCKHOLMS LÄN</t>
        </is>
      </c>
      <c r="E464" t="inlineStr">
        <is>
          <t>NORRTÄLJE</t>
        </is>
      </c>
      <c r="G464" t="n">
        <v>8.699999999999999</v>
      </c>
      <c r="H464" t="n">
        <v>0</v>
      </c>
      <c r="I464" t="n">
        <v>0</v>
      </c>
      <c r="J464" t="n">
        <v>0</v>
      </c>
      <c r="K464" t="n">
        <v>0</v>
      </c>
      <c r="L464" t="n">
        <v>0</v>
      </c>
      <c r="M464" t="n">
        <v>0</v>
      </c>
      <c r="N464" t="n">
        <v>0</v>
      </c>
      <c r="O464" t="n">
        <v>0</v>
      </c>
      <c r="P464" t="n">
        <v>0</v>
      </c>
      <c r="Q464" t="n">
        <v>0</v>
      </c>
      <c r="R464" s="2" t="inlineStr"/>
    </row>
    <row r="465" ht="15" customHeight="1">
      <c r="A465" t="inlineStr">
        <is>
          <t>A 725-2019</t>
        </is>
      </c>
      <c r="B465" s="1" t="n">
        <v>43471</v>
      </c>
      <c r="C465" s="1" t="n">
        <v>45224</v>
      </c>
      <c r="D465" t="inlineStr">
        <is>
          <t>STOCKHOLMS LÄN</t>
        </is>
      </c>
      <c r="E465" t="inlineStr">
        <is>
          <t>NORRTÄLJE</t>
        </is>
      </c>
      <c r="G465" t="n">
        <v>3.3</v>
      </c>
      <c r="H465" t="n">
        <v>0</v>
      </c>
      <c r="I465" t="n">
        <v>0</v>
      </c>
      <c r="J465" t="n">
        <v>0</v>
      </c>
      <c r="K465" t="n">
        <v>0</v>
      </c>
      <c r="L465" t="n">
        <v>0</v>
      </c>
      <c r="M465" t="n">
        <v>0</v>
      </c>
      <c r="N465" t="n">
        <v>0</v>
      </c>
      <c r="O465" t="n">
        <v>0</v>
      </c>
      <c r="P465" t="n">
        <v>0</v>
      </c>
      <c r="Q465" t="n">
        <v>0</v>
      </c>
      <c r="R465" s="2" t="inlineStr"/>
    </row>
    <row r="466" ht="15" customHeight="1">
      <c r="A466" t="inlineStr">
        <is>
          <t>A 740-2019</t>
        </is>
      </c>
      <c r="B466" s="1" t="n">
        <v>43471</v>
      </c>
      <c r="C466" s="1" t="n">
        <v>45224</v>
      </c>
      <c r="D466" t="inlineStr">
        <is>
          <t>STOCKHOLMS LÄN</t>
        </is>
      </c>
      <c r="E466" t="inlineStr">
        <is>
          <t>NORRTÄLJE</t>
        </is>
      </c>
      <c r="G466" t="n">
        <v>11.4</v>
      </c>
      <c r="H466" t="n">
        <v>0</v>
      </c>
      <c r="I466" t="n">
        <v>0</v>
      </c>
      <c r="J466" t="n">
        <v>0</v>
      </c>
      <c r="K466" t="n">
        <v>0</v>
      </c>
      <c r="L466" t="n">
        <v>0</v>
      </c>
      <c r="M466" t="n">
        <v>0</v>
      </c>
      <c r="N466" t="n">
        <v>0</v>
      </c>
      <c r="O466" t="n">
        <v>0</v>
      </c>
      <c r="P466" t="n">
        <v>0</v>
      </c>
      <c r="Q466" t="n">
        <v>0</v>
      </c>
      <c r="R466" s="2" t="inlineStr"/>
    </row>
    <row r="467" ht="15" customHeight="1">
      <c r="A467" t="inlineStr">
        <is>
          <t>A 750-2019</t>
        </is>
      </c>
      <c r="B467" s="1" t="n">
        <v>43471</v>
      </c>
      <c r="C467" s="1" t="n">
        <v>45224</v>
      </c>
      <c r="D467" t="inlineStr">
        <is>
          <t>STOCKHOLMS LÄN</t>
        </is>
      </c>
      <c r="E467" t="inlineStr">
        <is>
          <t>NORRTÄLJE</t>
        </is>
      </c>
      <c r="G467" t="n">
        <v>3.2</v>
      </c>
      <c r="H467" t="n">
        <v>0</v>
      </c>
      <c r="I467" t="n">
        <v>0</v>
      </c>
      <c r="J467" t="n">
        <v>0</v>
      </c>
      <c r="K467" t="n">
        <v>0</v>
      </c>
      <c r="L467" t="n">
        <v>0</v>
      </c>
      <c r="M467" t="n">
        <v>0</v>
      </c>
      <c r="N467" t="n">
        <v>0</v>
      </c>
      <c r="O467" t="n">
        <v>0</v>
      </c>
      <c r="P467" t="n">
        <v>0</v>
      </c>
      <c r="Q467" t="n">
        <v>0</v>
      </c>
      <c r="R467" s="2" t="inlineStr"/>
    </row>
    <row r="468" ht="15" customHeight="1">
      <c r="A468" t="inlineStr">
        <is>
          <t>A 761-2019</t>
        </is>
      </c>
      <c r="B468" s="1" t="n">
        <v>43471</v>
      </c>
      <c r="C468" s="1" t="n">
        <v>45224</v>
      </c>
      <c r="D468" t="inlineStr">
        <is>
          <t>STOCKHOLMS LÄN</t>
        </is>
      </c>
      <c r="E468" t="inlineStr">
        <is>
          <t>NORRTÄLJE</t>
        </is>
      </c>
      <c r="G468" t="n">
        <v>2</v>
      </c>
      <c r="H468" t="n">
        <v>0</v>
      </c>
      <c r="I468" t="n">
        <v>0</v>
      </c>
      <c r="J468" t="n">
        <v>0</v>
      </c>
      <c r="K468" t="n">
        <v>0</v>
      </c>
      <c r="L468" t="n">
        <v>0</v>
      </c>
      <c r="M468" t="n">
        <v>0</v>
      </c>
      <c r="N468" t="n">
        <v>0</v>
      </c>
      <c r="O468" t="n">
        <v>0</v>
      </c>
      <c r="P468" t="n">
        <v>0</v>
      </c>
      <c r="Q468" t="n">
        <v>0</v>
      </c>
      <c r="R468" s="2" t="inlineStr"/>
    </row>
    <row r="469" ht="15" customHeight="1">
      <c r="A469" t="inlineStr">
        <is>
          <t>A 728-2019</t>
        </is>
      </c>
      <c r="B469" s="1" t="n">
        <v>43471</v>
      </c>
      <c r="C469" s="1" t="n">
        <v>45224</v>
      </c>
      <c r="D469" t="inlineStr">
        <is>
          <t>STOCKHOLMS LÄN</t>
        </is>
      </c>
      <c r="E469" t="inlineStr">
        <is>
          <t>NORRTÄLJE</t>
        </is>
      </c>
      <c r="G469" t="n">
        <v>1.9</v>
      </c>
      <c r="H469" t="n">
        <v>0</v>
      </c>
      <c r="I469" t="n">
        <v>0</v>
      </c>
      <c r="J469" t="n">
        <v>0</v>
      </c>
      <c r="K469" t="n">
        <v>0</v>
      </c>
      <c r="L469" t="n">
        <v>0</v>
      </c>
      <c r="M469" t="n">
        <v>0</v>
      </c>
      <c r="N469" t="n">
        <v>0</v>
      </c>
      <c r="O469" t="n">
        <v>0</v>
      </c>
      <c r="P469" t="n">
        <v>0</v>
      </c>
      <c r="Q469" t="n">
        <v>0</v>
      </c>
      <c r="R469" s="2" t="inlineStr"/>
    </row>
    <row r="470" ht="15" customHeight="1">
      <c r="A470" t="inlineStr">
        <is>
          <t>A 738-2019</t>
        </is>
      </c>
      <c r="B470" s="1" t="n">
        <v>43471</v>
      </c>
      <c r="C470" s="1" t="n">
        <v>45224</v>
      </c>
      <c r="D470" t="inlineStr">
        <is>
          <t>STOCKHOLMS LÄN</t>
        </is>
      </c>
      <c r="E470" t="inlineStr">
        <is>
          <t>NORRTÄLJE</t>
        </is>
      </c>
      <c r="G470" t="n">
        <v>1.9</v>
      </c>
      <c r="H470" t="n">
        <v>0</v>
      </c>
      <c r="I470" t="n">
        <v>0</v>
      </c>
      <c r="J470" t="n">
        <v>0</v>
      </c>
      <c r="K470" t="n">
        <v>0</v>
      </c>
      <c r="L470" t="n">
        <v>0</v>
      </c>
      <c r="M470" t="n">
        <v>0</v>
      </c>
      <c r="N470" t="n">
        <v>0</v>
      </c>
      <c r="O470" t="n">
        <v>0</v>
      </c>
      <c r="P470" t="n">
        <v>0</v>
      </c>
      <c r="Q470" t="n">
        <v>0</v>
      </c>
      <c r="R470" s="2" t="inlineStr"/>
    </row>
    <row r="471" ht="15" customHeight="1">
      <c r="A471" t="inlineStr">
        <is>
          <t>A 753-2019</t>
        </is>
      </c>
      <c r="B471" s="1" t="n">
        <v>43471</v>
      </c>
      <c r="C471" s="1" t="n">
        <v>45224</v>
      </c>
      <c r="D471" t="inlineStr">
        <is>
          <t>STOCKHOLMS LÄN</t>
        </is>
      </c>
      <c r="E471" t="inlineStr">
        <is>
          <t>NORRTÄLJE</t>
        </is>
      </c>
      <c r="G471" t="n">
        <v>3.1</v>
      </c>
      <c r="H471" t="n">
        <v>0</v>
      </c>
      <c r="I471" t="n">
        <v>0</v>
      </c>
      <c r="J471" t="n">
        <v>0</v>
      </c>
      <c r="K471" t="n">
        <v>0</v>
      </c>
      <c r="L471" t="n">
        <v>0</v>
      </c>
      <c r="M471" t="n">
        <v>0</v>
      </c>
      <c r="N471" t="n">
        <v>0</v>
      </c>
      <c r="O471" t="n">
        <v>0</v>
      </c>
      <c r="P471" t="n">
        <v>0</v>
      </c>
      <c r="Q471" t="n">
        <v>0</v>
      </c>
      <c r="R471" s="2" t="inlineStr"/>
    </row>
    <row r="472" ht="15" customHeight="1">
      <c r="A472" t="inlineStr">
        <is>
          <t>A 727-2019</t>
        </is>
      </c>
      <c r="B472" s="1" t="n">
        <v>43471</v>
      </c>
      <c r="C472" s="1" t="n">
        <v>45224</v>
      </c>
      <c r="D472" t="inlineStr">
        <is>
          <t>STOCKHOLMS LÄN</t>
        </is>
      </c>
      <c r="E472" t="inlineStr">
        <is>
          <t>NORRTÄLJE</t>
        </is>
      </c>
      <c r="G472" t="n">
        <v>4.9</v>
      </c>
      <c r="H472" t="n">
        <v>0</v>
      </c>
      <c r="I472" t="n">
        <v>0</v>
      </c>
      <c r="J472" t="n">
        <v>0</v>
      </c>
      <c r="K472" t="n">
        <v>0</v>
      </c>
      <c r="L472" t="n">
        <v>0</v>
      </c>
      <c r="M472" t="n">
        <v>0</v>
      </c>
      <c r="N472" t="n">
        <v>0</v>
      </c>
      <c r="O472" t="n">
        <v>0</v>
      </c>
      <c r="P472" t="n">
        <v>0</v>
      </c>
      <c r="Q472" t="n">
        <v>0</v>
      </c>
      <c r="R472" s="2" t="inlineStr"/>
    </row>
    <row r="473" ht="15" customHeight="1">
      <c r="A473" t="inlineStr">
        <is>
          <t>A 744-2019</t>
        </is>
      </c>
      <c r="B473" s="1" t="n">
        <v>43471</v>
      </c>
      <c r="C473" s="1" t="n">
        <v>45224</v>
      </c>
      <c r="D473" t="inlineStr">
        <is>
          <t>STOCKHOLMS LÄN</t>
        </is>
      </c>
      <c r="E473" t="inlineStr">
        <is>
          <t>NORRTÄLJE</t>
        </is>
      </c>
      <c r="G473" t="n">
        <v>0.5</v>
      </c>
      <c r="H473" t="n">
        <v>0</v>
      </c>
      <c r="I473" t="n">
        <v>0</v>
      </c>
      <c r="J473" t="n">
        <v>0</v>
      </c>
      <c r="K473" t="n">
        <v>0</v>
      </c>
      <c r="L473" t="n">
        <v>0</v>
      </c>
      <c r="M473" t="n">
        <v>0</v>
      </c>
      <c r="N473" t="n">
        <v>0</v>
      </c>
      <c r="O473" t="n">
        <v>0</v>
      </c>
      <c r="P473" t="n">
        <v>0</v>
      </c>
      <c r="Q473" t="n">
        <v>0</v>
      </c>
      <c r="R473" s="2" t="inlineStr"/>
    </row>
    <row r="474" ht="15" customHeight="1">
      <c r="A474" t="inlineStr">
        <is>
          <t>A 758-2019</t>
        </is>
      </c>
      <c r="B474" s="1" t="n">
        <v>43471</v>
      </c>
      <c r="C474" s="1" t="n">
        <v>45224</v>
      </c>
      <c r="D474" t="inlineStr">
        <is>
          <t>STOCKHOLMS LÄN</t>
        </is>
      </c>
      <c r="E474" t="inlineStr">
        <is>
          <t>NORRTÄLJE</t>
        </is>
      </c>
      <c r="G474" t="n">
        <v>3</v>
      </c>
      <c r="H474" t="n">
        <v>0</v>
      </c>
      <c r="I474" t="n">
        <v>0</v>
      </c>
      <c r="J474" t="n">
        <v>0</v>
      </c>
      <c r="K474" t="n">
        <v>0</v>
      </c>
      <c r="L474" t="n">
        <v>0</v>
      </c>
      <c r="M474" t="n">
        <v>0</v>
      </c>
      <c r="N474" t="n">
        <v>0</v>
      </c>
      <c r="O474" t="n">
        <v>0</v>
      </c>
      <c r="P474" t="n">
        <v>0</v>
      </c>
      <c r="Q474" t="n">
        <v>0</v>
      </c>
      <c r="R474" s="2" t="inlineStr"/>
    </row>
    <row r="475" ht="15" customHeight="1">
      <c r="A475" t="inlineStr">
        <is>
          <t>A 891-2019</t>
        </is>
      </c>
      <c r="B475" s="1" t="n">
        <v>43472</v>
      </c>
      <c r="C475" s="1" t="n">
        <v>45224</v>
      </c>
      <c r="D475" t="inlineStr">
        <is>
          <t>STOCKHOLMS LÄN</t>
        </is>
      </c>
      <c r="E475" t="inlineStr">
        <is>
          <t>NORRTÄLJE</t>
        </is>
      </c>
      <c r="G475" t="n">
        <v>1.6</v>
      </c>
      <c r="H475" t="n">
        <v>0</v>
      </c>
      <c r="I475" t="n">
        <v>0</v>
      </c>
      <c r="J475" t="n">
        <v>0</v>
      </c>
      <c r="K475" t="n">
        <v>0</v>
      </c>
      <c r="L475" t="n">
        <v>0</v>
      </c>
      <c r="M475" t="n">
        <v>0</v>
      </c>
      <c r="N475" t="n">
        <v>0</v>
      </c>
      <c r="O475" t="n">
        <v>0</v>
      </c>
      <c r="P475" t="n">
        <v>0</v>
      </c>
      <c r="Q475" t="n">
        <v>0</v>
      </c>
      <c r="R475" s="2" t="inlineStr"/>
    </row>
    <row r="476" ht="15" customHeight="1">
      <c r="A476" t="inlineStr">
        <is>
          <t>A 1093-2019</t>
        </is>
      </c>
      <c r="B476" s="1" t="n">
        <v>43472</v>
      </c>
      <c r="C476" s="1" t="n">
        <v>45224</v>
      </c>
      <c r="D476" t="inlineStr">
        <is>
          <t>STOCKHOLMS LÄN</t>
        </is>
      </c>
      <c r="E476" t="inlineStr">
        <is>
          <t>NORRTÄLJE</t>
        </is>
      </c>
      <c r="G476" t="n">
        <v>3.5</v>
      </c>
      <c r="H476" t="n">
        <v>0</v>
      </c>
      <c r="I476" t="n">
        <v>0</v>
      </c>
      <c r="J476" t="n">
        <v>0</v>
      </c>
      <c r="K476" t="n">
        <v>0</v>
      </c>
      <c r="L476" t="n">
        <v>0</v>
      </c>
      <c r="M476" t="n">
        <v>0</v>
      </c>
      <c r="N476" t="n">
        <v>0</v>
      </c>
      <c r="O476" t="n">
        <v>0</v>
      </c>
      <c r="P476" t="n">
        <v>0</v>
      </c>
      <c r="Q476" t="n">
        <v>0</v>
      </c>
      <c r="R476" s="2" t="inlineStr"/>
    </row>
    <row r="477" ht="15" customHeight="1">
      <c r="A477" t="inlineStr">
        <is>
          <t>A 1099-2019</t>
        </is>
      </c>
      <c r="B477" s="1" t="n">
        <v>43472</v>
      </c>
      <c r="C477" s="1" t="n">
        <v>45224</v>
      </c>
      <c r="D477" t="inlineStr">
        <is>
          <t>STOCKHOLMS LÄN</t>
        </is>
      </c>
      <c r="E477" t="inlineStr">
        <is>
          <t>NORRTÄLJE</t>
        </is>
      </c>
      <c r="G477" t="n">
        <v>1.4</v>
      </c>
      <c r="H477" t="n">
        <v>0</v>
      </c>
      <c r="I477" t="n">
        <v>0</v>
      </c>
      <c r="J477" t="n">
        <v>0</v>
      </c>
      <c r="K477" t="n">
        <v>0</v>
      </c>
      <c r="L477" t="n">
        <v>0</v>
      </c>
      <c r="M477" t="n">
        <v>0</v>
      </c>
      <c r="N477" t="n">
        <v>0</v>
      </c>
      <c r="O477" t="n">
        <v>0</v>
      </c>
      <c r="P477" t="n">
        <v>0</v>
      </c>
      <c r="Q477" t="n">
        <v>0</v>
      </c>
      <c r="R477" s="2" t="inlineStr"/>
    </row>
    <row r="478" ht="15" customHeight="1">
      <c r="A478" t="inlineStr">
        <is>
          <t>A 1252-2019</t>
        </is>
      </c>
      <c r="B478" s="1" t="n">
        <v>43473</v>
      </c>
      <c r="C478" s="1" t="n">
        <v>45224</v>
      </c>
      <c r="D478" t="inlineStr">
        <is>
          <t>STOCKHOLMS LÄN</t>
        </is>
      </c>
      <c r="E478" t="inlineStr">
        <is>
          <t>NORRTÄLJE</t>
        </is>
      </c>
      <c r="G478" t="n">
        <v>3.7</v>
      </c>
      <c r="H478" t="n">
        <v>0</v>
      </c>
      <c r="I478" t="n">
        <v>0</v>
      </c>
      <c r="J478" t="n">
        <v>0</v>
      </c>
      <c r="K478" t="n">
        <v>0</v>
      </c>
      <c r="L478" t="n">
        <v>0</v>
      </c>
      <c r="M478" t="n">
        <v>0</v>
      </c>
      <c r="N478" t="n">
        <v>0</v>
      </c>
      <c r="O478" t="n">
        <v>0</v>
      </c>
      <c r="P478" t="n">
        <v>0</v>
      </c>
      <c r="Q478" t="n">
        <v>0</v>
      </c>
      <c r="R478" s="2" t="inlineStr"/>
    </row>
    <row r="479" ht="15" customHeight="1">
      <c r="A479" t="inlineStr">
        <is>
          <t>A 1336-2019</t>
        </is>
      </c>
      <c r="B479" s="1" t="n">
        <v>43473</v>
      </c>
      <c r="C479" s="1" t="n">
        <v>45224</v>
      </c>
      <c r="D479" t="inlineStr">
        <is>
          <t>STOCKHOLMS LÄN</t>
        </is>
      </c>
      <c r="E479" t="inlineStr">
        <is>
          <t>NORRTÄLJE</t>
        </is>
      </c>
      <c r="G479" t="n">
        <v>4.8</v>
      </c>
      <c r="H479" t="n">
        <v>0</v>
      </c>
      <c r="I479" t="n">
        <v>0</v>
      </c>
      <c r="J479" t="n">
        <v>0</v>
      </c>
      <c r="K479" t="n">
        <v>0</v>
      </c>
      <c r="L479" t="n">
        <v>0</v>
      </c>
      <c r="M479" t="n">
        <v>0</v>
      </c>
      <c r="N479" t="n">
        <v>0</v>
      </c>
      <c r="O479" t="n">
        <v>0</v>
      </c>
      <c r="P479" t="n">
        <v>0</v>
      </c>
      <c r="Q479" t="n">
        <v>0</v>
      </c>
      <c r="R479" s="2" t="inlineStr"/>
    </row>
    <row r="480" ht="15" customHeight="1">
      <c r="A480" t="inlineStr">
        <is>
          <t>A 1349-2019</t>
        </is>
      </c>
      <c r="B480" s="1" t="n">
        <v>43473</v>
      </c>
      <c r="C480" s="1" t="n">
        <v>45224</v>
      </c>
      <c r="D480" t="inlineStr">
        <is>
          <t>STOCKHOLMS LÄN</t>
        </is>
      </c>
      <c r="E480" t="inlineStr">
        <is>
          <t>NORRTÄLJE</t>
        </is>
      </c>
      <c r="G480" t="n">
        <v>0.5</v>
      </c>
      <c r="H480" t="n">
        <v>0</v>
      </c>
      <c r="I480" t="n">
        <v>0</v>
      </c>
      <c r="J480" t="n">
        <v>0</v>
      </c>
      <c r="K480" t="n">
        <v>0</v>
      </c>
      <c r="L480" t="n">
        <v>0</v>
      </c>
      <c r="M480" t="n">
        <v>0</v>
      </c>
      <c r="N480" t="n">
        <v>0</v>
      </c>
      <c r="O480" t="n">
        <v>0</v>
      </c>
      <c r="P480" t="n">
        <v>0</v>
      </c>
      <c r="Q480" t="n">
        <v>0</v>
      </c>
      <c r="R480" s="2" t="inlineStr"/>
    </row>
    <row r="481" ht="15" customHeight="1">
      <c r="A481" t="inlineStr">
        <is>
          <t>A 3042-2019</t>
        </is>
      </c>
      <c r="B481" s="1" t="n">
        <v>43473</v>
      </c>
      <c r="C481" s="1" t="n">
        <v>45224</v>
      </c>
      <c r="D481" t="inlineStr">
        <is>
          <t>STOCKHOLMS LÄN</t>
        </is>
      </c>
      <c r="E481" t="inlineStr">
        <is>
          <t>NORRTÄLJE</t>
        </is>
      </c>
      <c r="G481" t="n">
        <v>0.9</v>
      </c>
      <c r="H481" t="n">
        <v>0</v>
      </c>
      <c r="I481" t="n">
        <v>0</v>
      </c>
      <c r="J481" t="n">
        <v>0</v>
      </c>
      <c r="K481" t="n">
        <v>0</v>
      </c>
      <c r="L481" t="n">
        <v>0</v>
      </c>
      <c r="M481" t="n">
        <v>0</v>
      </c>
      <c r="N481" t="n">
        <v>0</v>
      </c>
      <c r="O481" t="n">
        <v>0</v>
      </c>
      <c r="P481" t="n">
        <v>0</v>
      </c>
      <c r="Q481" t="n">
        <v>0</v>
      </c>
      <c r="R481" s="2" t="inlineStr"/>
    </row>
    <row r="482" ht="15" customHeight="1">
      <c r="A482" t="inlineStr">
        <is>
          <t>A 3688-2019</t>
        </is>
      </c>
      <c r="B482" s="1" t="n">
        <v>43473</v>
      </c>
      <c r="C482" s="1" t="n">
        <v>45224</v>
      </c>
      <c r="D482" t="inlineStr">
        <is>
          <t>STOCKHOLMS LÄN</t>
        </is>
      </c>
      <c r="E482" t="inlineStr">
        <is>
          <t>NORRTÄLJE</t>
        </is>
      </c>
      <c r="G482" t="n">
        <v>1.3</v>
      </c>
      <c r="H482" t="n">
        <v>0</v>
      </c>
      <c r="I482" t="n">
        <v>0</v>
      </c>
      <c r="J482" t="n">
        <v>0</v>
      </c>
      <c r="K482" t="n">
        <v>0</v>
      </c>
      <c r="L482" t="n">
        <v>0</v>
      </c>
      <c r="M482" t="n">
        <v>0</v>
      </c>
      <c r="N482" t="n">
        <v>0</v>
      </c>
      <c r="O482" t="n">
        <v>0</v>
      </c>
      <c r="P482" t="n">
        <v>0</v>
      </c>
      <c r="Q482" t="n">
        <v>0</v>
      </c>
      <c r="R482" s="2" t="inlineStr"/>
    </row>
    <row r="483" ht="15" customHeight="1">
      <c r="A483" t="inlineStr">
        <is>
          <t>A 1942-2019</t>
        </is>
      </c>
      <c r="B483" s="1" t="n">
        <v>43474</v>
      </c>
      <c r="C483" s="1" t="n">
        <v>45224</v>
      </c>
      <c r="D483" t="inlineStr">
        <is>
          <t>STOCKHOLMS LÄN</t>
        </is>
      </c>
      <c r="E483" t="inlineStr">
        <is>
          <t>VÄRMDÖ</t>
        </is>
      </c>
      <c r="G483" t="n">
        <v>0.7</v>
      </c>
      <c r="H483" t="n">
        <v>0</v>
      </c>
      <c r="I483" t="n">
        <v>0</v>
      </c>
      <c r="J483" t="n">
        <v>0</v>
      </c>
      <c r="K483" t="n">
        <v>0</v>
      </c>
      <c r="L483" t="n">
        <v>0</v>
      </c>
      <c r="M483" t="n">
        <v>0</v>
      </c>
      <c r="N483" t="n">
        <v>0</v>
      </c>
      <c r="O483" t="n">
        <v>0</v>
      </c>
      <c r="P483" t="n">
        <v>0</v>
      </c>
      <c r="Q483" t="n">
        <v>0</v>
      </c>
      <c r="R483" s="2" t="inlineStr"/>
    </row>
    <row r="484" ht="15" customHeight="1">
      <c r="A484" t="inlineStr">
        <is>
          <t>A 2137-2019</t>
        </is>
      </c>
      <c r="B484" s="1" t="n">
        <v>43475</v>
      </c>
      <c r="C484" s="1" t="n">
        <v>45224</v>
      </c>
      <c r="D484" t="inlineStr">
        <is>
          <t>STOCKHOLMS LÄN</t>
        </is>
      </c>
      <c r="E484" t="inlineStr">
        <is>
          <t>NORRTÄLJE</t>
        </is>
      </c>
      <c r="G484" t="n">
        <v>4.3</v>
      </c>
      <c r="H484" t="n">
        <v>0</v>
      </c>
      <c r="I484" t="n">
        <v>0</v>
      </c>
      <c r="J484" t="n">
        <v>0</v>
      </c>
      <c r="K484" t="n">
        <v>0</v>
      </c>
      <c r="L484" t="n">
        <v>0</v>
      </c>
      <c r="M484" t="n">
        <v>0</v>
      </c>
      <c r="N484" t="n">
        <v>0</v>
      </c>
      <c r="O484" t="n">
        <v>0</v>
      </c>
      <c r="P484" t="n">
        <v>0</v>
      </c>
      <c r="Q484" t="n">
        <v>0</v>
      </c>
      <c r="R484" s="2" t="inlineStr"/>
    </row>
    <row r="485" ht="15" customHeight="1">
      <c r="A485" t="inlineStr">
        <is>
          <t>A 2200-2019</t>
        </is>
      </c>
      <c r="B485" s="1" t="n">
        <v>43475</v>
      </c>
      <c r="C485" s="1" t="n">
        <v>45224</v>
      </c>
      <c r="D485" t="inlineStr">
        <is>
          <t>STOCKHOLMS LÄN</t>
        </is>
      </c>
      <c r="E485" t="inlineStr">
        <is>
          <t>NORRTÄLJE</t>
        </is>
      </c>
      <c r="G485" t="n">
        <v>0.7</v>
      </c>
      <c r="H485" t="n">
        <v>0</v>
      </c>
      <c r="I485" t="n">
        <v>0</v>
      </c>
      <c r="J485" t="n">
        <v>0</v>
      </c>
      <c r="K485" t="n">
        <v>0</v>
      </c>
      <c r="L485" t="n">
        <v>0</v>
      </c>
      <c r="M485" t="n">
        <v>0</v>
      </c>
      <c r="N485" t="n">
        <v>0</v>
      </c>
      <c r="O485" t="n">
        <v>0</v>
      </c>
      <c r="P485" t="n">
        <v>0</v>
      </c>
      <c r="Q485" t="n">
        <v>0</v>
      </c>
      <c r="R485" s="2" t="inlineStr"/>
    </row>
    <row r="486" ht="15" customHeight="1">
      <c r="A486" t="inlineStr">
        <is>
          <t>A 2011-2019</t>
        </is>
      </c>
      <c r="B486" s="1" t="n">
        <v>43475</v>
      </c>
      <c r="C486" s="1" t="n">
        <v>45224</v>
      </c>
      <c r="D486" t="inlineStr">
        <is>
          <t>STOCKHOLMS LÄN</t>
        </is>
      </c>
      <c r="E486" t="inlineStr">
        <is>
          <t>NORRTÄLJE</t>
        </is>
      </c>
      <c r="G486" t="n">
        <v>2.9</v>
      </c>
      <c r="H486" t="n">
        <v>0</v>
      </c>
      <c r="I486" t="n">
        <v>0</v>
      </c>
      <c r="J486" t="n">
        <v>0</v>
      </c>
      <c r="K486" t="n">
        <v>0</v>
      </c>
      <c r="L486" t="n">
        <v>0</v>
      </c>
      <c r="M486" t="n">
        <v>0</v>
      </c>
      <c r="N486" t="n">
        <v>0</v>
      </c>
      <c r="O486" t="n">
        <v>0</v>
      </c>
      <c r="P486" t="n">
        <v>0</v>
      </c>
      <c r="Q486" t="n">
        <v>0</v>
      </c>
      <c r="R486" s="2" t="inlineStr"/>
    </row>
    <row r="487" ht="15" customHeight="1">
      <c r="A487" t="inlineStr">
        <is>
          <t>A 2215-2019</t>
        </is>
      </c>
      <c r="B487" s="1" t="n">
        <v>43475</v>
      </c>
      <c r="C487" s="1" t="n">
        <v>45224</v>
      </c>
      <c r="D487" t="inlineStr">
        <is>
          <t>STOCKHOLMS LÄN</t>
        </is>
      </c>
      <c r="E487" t="inlineStr">
        <is>
          <t>NORRTÄLJE</t>
        </is>
      </c>
      <c r="G487" t="n">
        <v>4.4</v>
      </c>
      <c r="H487" t="n">
        <v>0</v>
      </c>
      <c r="I487" t="n">
        <v>0</v>
      </c>
      <c r="J487" t="n">
        <v>0</v>
      </c>
      <c r="K487" t="n">
        <v>0</v>
      </c>
      <c r="L487" t="n">
        <v>0</v>
      </c>
      <c r="M487" t="n">
        <v>0</v>
      </c>
      <c r="N487" t="n">
        <v>0</v>
      </c>
      <c r="O487" t="n">
        <v>0</v>
      </c>
      <c r="P487" t="n">
        <v>0</v>
      </c>
      <c r="Q487" t="n">
        <v>0</v>
      </c>
      <c r="R487" s="2" t="inlineStr"/>
    </row>
    <row r="488" ht="15" customHeight="1">
      <c r="A488" t="inlineStr">
        <is>
          <t>A 2281-2019</t>
        </is>
      </c>
      <c r="B488" s="1" t="n">
        <v>43475</v>
      </c>
      <c r="C488" s="1" t="n">
        <v>45224</v>
      </c>
      <c r="D488" t="inlineStr">
        <is>
          <t>STOCKHOLMS LÄN</t>
        </is>
      </c>
      <c r="E488" t="inlineStr">
        <is>
          <t>NORRTÄLJE</t>
        </is>
      </c>
      <c r="G488" t="n">
        <v>4.4</v>
      </c>
      <c r="H488" t="n">
        <v>0</v>
      </c>
      <c r="I488" t="n">
        <v>0</v>
      </c>
      <c r="J488" t="n">
        <v>0</v>
      </c>
      <c r="K488" t="n">
        <v>0</v>
      </c>
      <c r="L488" t="n">
        <v>0</v>
      </c>
      <c r="M488" t="n">
        <v>0</v>
      </c>
      <c r="N488" t="n">
        <v>0</v>
      </c>
      <c r="O488" t="n">
        <v>0</v>
      </c>
      <c r="P488" t="n">
        <v>0</v>
      </c>
      <c r="Q488" t="n">
        <v>0</v>
      </c>
      <c r="R488" s="2" t="inlineStr"/>
    </row>
    <row r="489" ht="15" customHeight="1">
      <c r="A489" t="inlineStr">
        <is>
          <t>A 2143-2019</t>
        </is>
      </c>
      <c r="B489" s="1" t="n">
        <v>43475</v>
      </c>
      <c r="C489" s="1" t="n">
        <v>45224</v>
      </c>
      <c r="D489" t="inlineStr">
        <is>
          <t>STOCKHOLMS LÄN</t>
        </is>
      </c>
      <c r="E489" t="inlineStr">
        <is>
          <t>NORRTÄLJE</t>
        </is>
      </c>
      <c r="G489" t="n">
        <v>1.4</v>
      </c>
      <c r="H489" t="n">
        <v>0</v>
      </c>
      <c r="I489" t="n">
        <v>0</v>
      </c>
      <c r="J489" t="n">
        <v>0</v>
      </c>
      <c r="K489" t="n">
        <v>0</v>
      </c>
      <c r="L489" t="n">
        <v>0</v>
      </c>
      <c r="M489" t="n">
        <v>0</v>
      </c>
      <c r="N489" t="n">
        <v>0</v>
      </c>
      <c r="O489" t="n">
        <v>0</v>
      </c>
      <c r="P489" t="n">
        <v>0</v>
      </c>
      <c r="Q489" t="n">
        <v>0</v>
      </c>
      <c r="R489" s="2" t="inlineStr"/>
    </row>
    <row r="490" ht="15" customHeight="1">
      <c r="A490" t="inlineStr">
        <is>
          <t>A 2251-2019</t>
        </is>
      </c>
      <c r="B490" s="1" t="n">
        <v>43475</v>
      </c>
      <c r="C490" s="1" t="n">
        <v>45224</v>
      </c>
      <c r="D490" t="inlineStr">
        <is>
          <t>STOCKHOLMS LÄN</t>
        </is>
      </c>
      <c r="E490" t="inlineStr">
        <is>
          <t>NORRTÄLJE</t>
        </is>
      </c>
      <c r="G490" t="n">
        <v>3.9</v>
      </c>
      <c r="H490" t="n">
        <v>0</v>
      </c>
      <c r="I490" t="n">
        <v>0</v>
      </c>
      <c r="J490" t="n">
        <v>0</v>
      </c>
      <c r="K490" t="n">
        <v>0</v>
      </c>
      <c r="L490" t="n">
        <v>0</v>
      </c>
      <c r="M490" t="n">
        <v>0</v>
      </c>
      <c r="N490" t="n">
        <v>0</v>
      </c>
      <c r="O490" t="n">
        <v>0</v>
      </c>
      <c r="P490" t="n">
        <v>0</v>
      </c>
      <c r="Q490" t="n">
        <v>0</v>
      </c>
      <c r="R490" s="2" t="inlineStr"/>
    </row>
    <row r="491" ht="15" customHeight="1">
      <c r="A491" t="inlineStr">
        <is>
          <t>A 2259-2019</t>
        </is>
      </c>
      <c r="B491" s="1" t="n">
        <v>43475</v>
      </c>
      <c r="C491" s="1" t="n">
        <v>45224</v>
      </c>
      <c r="D491" t="inlineStr">
        <is>
          <t>STOCKHOLMS LÄN</t>
        </is>
      </c>
      <c r="E491" t="inlineStr">
        <is>
          <t>NORRTÄLJE</t>
        </is>
      </c>
      <c r="G491" t="n">
        <v>6.3</v>
      </c>
      <c r="H491" t="n">
        <v>0</v>
      </c>
      <c r="I491" t="n">
        <v>0</v>
      </c>
      <c r="J491" t="n">
        <v>0</v>
      </c>
      <c r="K491" t="n">
        <v>0</v>
      </c>
      <c r="L491" t="n">
        <v>0</v>
      </c>
      <c r="M491" t="n">
        <v>0</v>
      </c>
      <c r="N491" t="n">
        <v>0</v>
      </c>
      <c r="O491" t="n">
        <v>0</v>
      </c>
      <c r="P491" t="n">
        <v>0</v>
      </c>
      <c r="Q491" t="n">
        <v>0</v>
      </c>
      <c r="R491" s="2" t="inlineStr"/>
    </row>
    <row r="492" ht="15" customHeight="1">
      <c r="A492" t="inlineStr">
        <is>
          <t>A 3848-2019</t>
        </is>
      </c>
      <c r="B492" s="1" t="n">
        <v>43475</v>
      </c>
      <c r="C492" s="1" t="n">
        <v>45224</v>
      </c>
      <c r="D492" t="inlineStr">
        <is>
          <t>STOCKHOLMS LÄN</t>
        </is>
      </c>
      <c r="E492" t="inlineStr">
        <is>
          <t>NORRTÄLJE</t>
        </is>
      </c>
      <c r="G492" t="n">
        <v>2.5</v>
      </c>
      <c r="H492" t="n">
        <v>0</v>
      </c>
      <c r="I492" t="n">
        <v>0</v>
      </c>
      <c r="J492" t="n">
        <v>0</v>
      </c>
      <c r="K492" t="n">
        <v>0</v>
      </c>
      <c r="L492" t="n">
        <v>0</v>
      </c>
      <c r="M492" t="n">
        <v>0</v>
      </c>
      <c r="N492" t="n">
        <v>0</v>
      </c>
      <c r="O492" t="n">
        <v>0</v>
      </c>
      <c r="P492" t="n">
        <v>0</v>
      </c>
      <c r="Q492" t="n">
        <v>0</v>
      </c>
      <c r="R492" s="2" t="inlineStr"/>
    </row>
    <row r="493" ht="15" customHeight="1">
      <c r="A493" t="inlineStr">
        <is>
          <t>A 1996-2019</t>
        </is>
      </c>
      <c r="B493" s="1" t="n">
        <v>43475</v>
      </c>
      <c r="C493" s="1" t="n">
        <v>45224</v>
      </c>
      <c r="D493" t="inlineStr">
        <is>
          <t>STOCKHOLMS LÄN</t>
        </is>
      </c>
      <c r="E493" t="inlineStr">
        <is>
          <t>NORRTÄLJE</t>
        </is>
      </c>
      <c r="G493" t="n">
        <v>3.3</v>
      </c>
      <c r="H493" t="n">
        <v>0</v>
      </c>
      <c r="I493" t="n">
        <v>0</v>
      </c>
      <c r="J493" t="n">
        <v>0</v>
      </c>
      <c r="K493" t="n">
        <v>0</v>
      </c>
      <c r="L493" t="n">
        <v>0</v>
      </c>
      <c r="M493" t="n">
        <v>0</v>
      </c>
      <c r="N493" t="n">
        <v>0</v>
      </c>
      <c r="O493" t="n">
        <v>0</v>
      </c>
      <c r="P493" t="n">
        <v>0</v>
      </c>
      <c r="Q493" t="n">
        <v>0</v>
      </c>
      <c r="R493" s="2" t="inlineStr"/>
    </row>
    <row r="494" ht="15" customHeight="1">
      <c r="A494" t="inlineStr">
        <is>
          <t>A 2571-2019</t>
        </is>
      </c>
      <c r="B494" s="1" t="n">
        <v>43476</v>
      </c>
      <c r="C494" s="1" t="n">
        <v>45224</v>
      </c>
      <c r="D494" t="inlineStr">
        <is>
          <t>STOCKHOLMS LÄN</t>
        </is>
      </c>
      <c r="E494" t="inlineStr">
        <is>
          <t>NORRTÄLJE</t>
        </is>
      </c>
      <c r="G494" t="n">
        <v>16.5</v>
      </c>
      <c r="H494" t="n">
        <v>0</v>
      </c>
      <c r="I494" t="n">
        <v>0</v>
      </c>
      <c r="J494" t="n">
        <v>0</v>
      </c>
      <c r="K494" t="n">
        <v>0</v>
      </c>
      <c r="L494" t="n">
        <v>0</v>
      </c>
      <c r="M494" t="n">
        <v>0</v>
      </c>
      <c r="N494" t="n">
        <v>0</v>
      </c>
      <c r="O494" t="n">
        <v>0</v>
      </c>
      <c r="P494" t="n">
        <v>0</v>
      </c>
      <c r="Q494" t="n">
        <v>0</v>
      </c>
      <c r="R494" s="2" t="inlineStr"/>
    </row>
    <row r="495" ht="15" customHeight="1">
      <c r="A495" t="inlineStr">
        <is>
          <t>A 2575-2019</t>
        </is>
      </c>
      <c r="B495" s="1" t="n">
        <v>43476</v>
      </c>
      <c r="C495" s="1" t="n">
        <v>45224</v>
      </c>
      <c r="D495" t="inlineStr">
        <is>
          <t>STOCKHOLMS LÄN</t>
        </is>
      </c>
      <c r="E495" t="inlineStr">
        <is>
          <t>HANINGE</t>
        </is>
      </c>
      <c r="F495" t="inlineStr">
        <is>
          <t>Kommuner</t>
        </is>
      </c>
      <c r="G495" t="n">
        <v>2.6</v>
      </c>
      <c r="H495" t="n">
        <v>0</v>
      </c>
      <c r="I495" t="n">
        <v>0</v>
      </c>
      <c r="J495" t="n">
        <v>0</v>
      </c>
      <c r="K495" t="n">
        <v>0</v>
      </c>
      <c r="L495" t="n">
        <v>0</v>
      </c>
      <c r="M495" t="n">
        <v>0</v>
      </c>
      <c r="N495" t="n">
        <v>0</v>
      </c>
      <c r="O495" t="n">
        <v>0</v>
      </c>
      <c r="P495" t="n">
        <v>0</v>
      </c>
      <c r="Q495" t="n">
        <v>0</v>
      </c>
      <c r="R495" s="2" t="inlineStr"/>
    </row>
    <row r="496" ht="15" customHeight="1">
      <c r="A496" t="inlineStr">
        <is>
          <t>A 2568-2019</t>
        </is>
      </c>
      <c r="B496" s="1" t="n">
        <v>43476</v>
      </c>
      <c r="C496" s="1" t="n">
        <v>45224</v>
      </c>
      <c r="D496" t="inlineStr">
        <is>
          <t>STOCKHOLMS LÄN</t>
        </is>
      </c>
      <c r="E496" t="inlineStr">
        <is>
          <t>NORRTÄLJE</t>
        </is>
      </c>
      <c r="G496" t="n">
        <v>7.4</v>
      </c>
      <c r="H496" t="n">
        <v>0</v>
      </c>
      <c r="I496" t="n">
        <v>0</v>
      </c>
      <c r="J496" t="n">
        <v>0</v>
      </c>
      <c r="K496" t="n">
        <v>0</v>
      </c>
      <c r="L496" t="n">
        <v>0</v>
      </c>
      <c r="M496" t="n">
        <v>0</v>
      </c>
      <c r="N496" t="n">
        <v>0</v>
      </c>
      <c r="O496" t="n">
        <v>0</v>
      </c>
      <c r="P496" t="n">
        <v>0</v>
      </c>
      <c r="Q496" t="n">
        <v>0</v>
      </c>
      <c r="R496" s="2" t="inlineStr"/>
    </row>
    <row r="497" ht="15" customHeight="1">
      <c r="A497" t="inlineStr">
        <is>
          <t>A 2626-2019</t>
        </is>
      </c>
      <c r="B497" s="1" t="n">
        <v>43477</v>
      </c>
      <c r="C497" s="1" t="n">
        <v>45224</v>
      </c>
      <c r="D497" t="inlineStr">
        <is>
          <t>STOCKHOLMS LÄN</t>
        </is>
      </c>
      <c r="E497" t="inlineStr">
        <is>
          <t>NORRTÄLJE</t>
        </is>
      </c>
      <c r="G497" t="n">
        <v>4.5</v>
      </c>
      <c r="H497" t="n">
        <v>0</v>
      </c>
      <c r="I497" t="n">
        <v>0</v>
      </c>
      <c r="J497" t="n">
        <v>0</v>
      </c>
      <c r="K497" t="n">
        <v>0</v>
      </c>
      <c r="L497" t="n">
        <v>0</v>
      </c>
      <c r="M497" t="n">
        <v>0</v>
      </c>
      <c r="N497" t="n">
        <v>0</v>
      </c>
      <c r="O497" t="n">
        <v>0</v>
      </c>
      <c r="P497" t="n">
        <v>0</v>
      </c>
      <c r="Q497" t="n">
        <v>0</v>
      </c>
      <c r="R497" s="2" t="inlineStr"/>
    </row>
    <row r="498" ht="15" customHeight="1">
      <c r="A498" t="inlineStr">
        <is>
          <t>A 2628-2019</t>
        </is>
      </c>
      <c r="B498" s="1" t="n">
        <v>43477</v>
      </c>
      <c r="C498" s="1" t="n">
        <v>45224</v>
      </c>
      <c r="D498" t="inlineStr">
        <is>
          <t>STOCKHOLMS LÄN</t>
        </is>
      </c>
      <c r="E498" t="inlineStr">
        <is>
          <t>NORRTÄLJE</t>
        </is>
      </c>
      <c r="G498" t="n">
        <v>2.9</v>
      </c>
      <c r="H498" t="n">
        <v>0</v>
      </c>
      <c r="I498" t="n">
        <v>0</v>
      </c>
      <c r="J498" t="n">
        <v>0</v>
      </c>
      <c r="K498" t="n">
        <v>0</v>
      </c>
      <c r="L498" t="n">
        <v>0</v>
      </c>
      <c r="M498" t="n">
        <v>0</v>
      </c>
      <c r="N498" t="n">
        <v>0</v>
      </c>
      <c r="O498" t="n">
        <v>0</v>
      </c>
      <c r="P498" t="n">
        <v>0</v>
      </c>
      <c r="Q498" t="n">
        <v>0</v>
      </c>
      <c r="R498" s="2" t="inlineStr"/>
    </row>
    <row r="499" ht="15" customHeight="1">
      <c r="A499" t="inlineStr">
        <is>
          <t>A 2635-2019</t>
        </is>
      </c>
      <c r="B499" s="1" t="n">
        <v>43478</v>
      </c>
      <c r="C499" s="1" t="n">
        <v>45224</v>
      </c>
      <c r="D499" t="inlineStr">
        <is>
          <t>STOCKHOLMS LÄN</t>
        </is>
      </c>
      <c r="E499" t="inlineStr">
        <is>
          <t>NORRTÄLJE</t>
        </is>
      </c>
      <c r="G499" t="n">
        <v>5</v>
      </c>
      <c r="H499" t="n">
        <v>0</v>
      </c>
      <c r="I499" t="n">
        <v>0</v>
      </c>
      <c r="J499" t="n">
        <v>0</v>
      </c>
      <c r="K499" t="n">
        <v>0</v>
      </c>
      <c r="L499" t="n">
        <v>0</v>
      </c>
      <c r="M499" t="n">
        <v>0</v>
      </c>
      <c r="N499" t="n">
        <v>0</v>
      </c>
      <c r="O499" t="n">
        <v>0</v>
      </c>
      <c r="P499" t="n">
        <v>0</v>
      </c>
      <c r="Q499" t="n">
        <v>0</v>
      </c>
      <c r="R499" s="2" t="inlineStr"/>
    </row>
    <row r="500" ht="15" customHeight="1">
      <c r="A500" t="inlineStr">
        <is>
          <t>A 2651-2019</t>
        </is>
      </c>
      <c r="B500" s="1" t="n">
        <v>43478</v>
      </c>
      <c r="C500" s="1" t="n">
        <v>45224</v>
      </c>
      <c r="D500" t="inlineStr">
        <is>
          <t>STOCKHOLMS LÄN</t>
        </is>
      </c>
      <c r="E500" t="inlineStr">
        <is>
          <t>NORRTÄLJE</t>
        </is>
      </c>
      <c r="G500" t="n">
        <v>2.2</v>
      </c>
      <c r="H500" t="n">
        <v>0</v>
      </c>
      <c r="I500" t="n">
        <v>0</v>
      </c>
      <c r="J500" t="n">
        <v>0</v>
      </c>
      <c r="K500" t="n">
        <v>0</v>
      </c>
      <c r="L500" t="n">
        <v>0</v>
      </c>
      <c r="M500" t="n">
        <v>0</v>
      </c>
      <c r="N500" t="n">
        <v>0</v>
      </c>
      <c r="O500" t="n">
        <v>0</v>
      </c>
      <c r="P500" t="n">
        <v>0</v>
      </c>
      <c r="Q500" t="n">
        <v>0</v>
      </c>
      <c r="R500" s="2" t="inlineStr"/>
    </row>
    <row r="501" ht="15" customHeight="1">
      <c r="A501" t="inlineStr">
        <is>
          <t>A 2657-2019</t>
        </is>
      </c>
      <c r="B501" s="1" t="n">
        <v>43478</v>
      </c>
      <c r="C501" s="1" t="n">
        <v>45224</v>
      </c>
      <c r="D501" t="inlineStr">
        <is>
          <t>STOCKHOLMS LÄN</t>
        </is>
      </c>
      <c r="E501" t="inlineStr">
        <is>
          <t>NORRTÄLJE</t>
        </is>
      </c>
      <c r="G501" t="n">
        <v>2.4</v>
      </c>
      <c r="H501" t="n">
        <v>0</v>
      </c>
      <c r="I501" t="n">
        <v>0</v>
      </c>
      <c r="J501" t="n">
        <v>0</v>
      </c>
      <c r="K501" t="n">
        <v>0</v>
      </c>
      <c r="L501" t="n">
        <v>0</v>
      </c>
      <c r="M501" t="n">
        <v>0</v>
      </c>
      <c r="N501" t="n">
        <v>0</v>
      </c>
      <c r="O501" t="n">
        <v>0</v>
      </c>
      <c r="P501" t="n">
        <v>0</v>
      </c>
      <c r="Q501" t="n">
        <v>0</v>
      </c>
      <c r="R501" s="2" t="inlineStr"/>
    </row>
    <row r="502" ht="15" customHeight="1">
      <c r="A502" t="inlineStr">
        <is>
          <t>A 2646-2019</t>
        </is>
      </c>
      <c r="B502" s="1" t="n">
        <v>43478</v>
      </c>
      <c r="C502" s="1" t="n">
        <v>45224</v>
      </c>
      <c r="D502" t="inlineStr">
        <is>
          <t>STOCKHOLMS LÄN</t>
        </is>
      </c>
      <c r="E502" t="inlineStr">
        <is>
          <t>NORRTÄLJE</t>
        </is>
      </c>
      <c r="G502" t="n">
        <v>1.8</v>
      </c>
      <c r="H502" t="n">
        <v>0</v>
      </c>
      <c r="I502" t="n">
        <v>0</v>
      </c>
      <c r="J502" t="n">
        <v>0</v>
      </c>
      <c r="K502" t="n">
        <v>0</v>
      </c>
      <c r="L502" t="n">
        <v>0</v>
      </c>
      <c r="M502" t="n">
        <v>0</v>
      </c>
      <c r="N502" t="n">
        <v>0</v>
      </c>
      <c r="O502" t="n">
        <v>0</v>
      </c>
      <c r="P502" t="n">
        <v>0</v>
      </c>
      <c r="Q502" t="n">
        <v>0</v>
      </c>
      <c r="R502" s="2" t="inlineStr"/>
    </row>
    <row r="503" ht="15" customHeight="1">
      <c r="A503" t="inlineStr">
        <is>
          <t>A 2659-2019</t>
        </is>
      </c>
      <c r="B503" s="1" t="n">
        <v>43478</v>
      </c>
      <c r="C503" s="1" t="n">
        <v>45224</v>
      </c>
      <c r="D503" t="inlineStr">
        <is>
          <t>STOCKHOLMS LÄN</t>
        </is>
      </c>
      <c r="E503" t="inlineStr">
        <is>
          <t>NORRTÄLJE</t>
        </is>
      </c>
      <c r="G503" t="n">
        <v>6.8</v>
      </c>
      <c r="H503" t="n">
        <v>0</v>
      </c>
      <c r="I503" t="n">
        <v>0</v>
      </c>
      <c r="J503" t="n">
        <v>0</v>
      </c>
      <c r="K503" t="n">
        <v>0</v>
      </c>
      <c r="L503" t="n">
        <v>0</v>
      </c>
      <c r="M503" t="n">
        <v>0</v>
      </c>
      <c r="N503" t="n">
        <v>0</v>
      </c>
      <c r="O503" t="n">
        <v>0</v>
      </c>
      <c r="P503" t="n">
        <v>0</v>
      </c>
      <c r="Q503" t="n">
        <v>0</v>
      </c>
      <c r="R503" s="2" t="inlineStr"/>
    </row>
    <row r="504" ht="15" customHeight="1">
      <c r="A504" t="inlineStr">
        <is>
          <t>A 2658-2019</t>
        </is>
      </c>
      <c r="B504" s="1" t="n">
        <v>43478</v>
      </c>
      <c r="C504" s="1" t="n">
        <v>45224</v>
      </c>
      <c r="D504" t="inlineStr">
        <is>
          <t>STOCKHOLMS LÄN</t>
        </is>
      </c>
      <c r="E504" t="inlineStr">
        <is>
          <t>NORRTÄLJE</t>
        </is>
      </c>
      <c r="G504" t="n">
        <v>3</v>
      </c>
      <c r="H504" t="n">
        <v>0</v>
      </c>
      <c r="I504" t="n">
        <v>0</v>
      </c>
      <c r="J504" t="n">
        <v>0</v>
      </c>
      <c r="K504" t="n">
        <v>0</v>
      </c>
      <c r="L504" t="n">
        <v>0</v>
      </c>
      <c r="M504" t="n">
        <v>0</v>
      </c>
      <c r="N504" t="n">
        <v>0</v>
      </c>
      <c r="O504" t="n">
        <v>0</v>
      </c>
      <c r="P504" t="n">
        <v>0</v>
      </c>
      <c r="Q504" t="n">
        <v>0</v>
      </c>
      <c r="R504" s="2" t="inlineStr"/>
    </row>
    <row r="505" ht="15" customHeight="1">
      <c r="A505" t="inlineStr">
        <is>
          <t>A 2634-2019</t>
        </is>
      </c>
      <c r="B505" s="1" t="n">
        <v>43478</v>
      </c>
      <c r="C505" s="1" t="n">
        <v>45224</v>
      </c>
      <c r="D505" t="inlineStr">
        <is>
          <t>STOCKHOLMS LÄN</t>
        </is>
      </c>
      <c r="E505" t="inlineStr">
        <is>
          <t>NORRTÄLJE</t>
        </is>
      </c>
      <c r="G505" t="n">
        <v>2.7</v>
      </c>
      <c r="H505" t="n">
        <v>0</v>
      </c>
      <c r="I505" t="n">
        <v>0</v>
      </c>
      <c r="J505" t="n">
        <v>0</v>
      </c>
      <c r="K505" t="n">
        <v>0</v>
      </c>
      <c r="L505" t="n">
        <v>0</v>
      </c>
      <c r="M505" t="n">
        <v>0</v>
      </c>
      <c r="N505" t="n">
        <v>0</v>
      </c>
      <c r="O505" t="n">
        <v>0</v>
      </c>
      <c r="P505" t="n">
        <v>0</v>
      </c>
      <c r="Q505" t="n">
        <v>0</v>
      </c>
      <c r="R505" s="2" t="inlineStr"/>
    </row>
    <row r="506" ht="15" customHeight="1">
      <c r="A506" t="inlineStr">
        <is>
          <t>A 2655-2019</t>
        </is>
      </c>
      <c r="B506" s="1" t="n">
        <v>43478</v>
      </c>
      <c r="C506" s="1" t="n">
        <v>45224</v>
      </c>
      <c r="D506" t="inlineStr">
        <is>
          <t>STOCKHOLMS LÄN</t>
        </is>
      </c>
      <c r="E506" t="inlineStr">
        <is>
          <t>NORRTÄLJE</t>
        </is>
      </c>
      <c r="G506" t="n">
        <v>3.6</v>
      </c>
      <c r="H506" t="n">
        <v>0</v>
      </c>
      <c r="I506" t="n">
        <v>0</v>
      </c>
      <c r="J506" t="n">
        <v>0</v>
      </c>
      <c r="K506" t="n">
        <v>0</v>
      </c>
      <c r="L506" t="n">
        <v>0</v>
      </c>
      <c r="M506" t="n">
        <v>0</v>
      </c>
      <c r="N506" t="n">
        <v>0</v>
      </c>
      <c r="O506" t="n">
        <v>0</v>
      </c>
      <c r="P506" t="n">
        <v>0</v>
      </c>
      <c r="Q506" t="n">
        <v>0</v>
      </c>
      <c r="R506" s="2" t="inlineStr"/>
    </row>
    <row r="507" ht="15" customHeight="1">
      <c r="A507" t="inlineStr">
        <is>
          <t>A 2833-2019</t>
        </is>
      </c>
      <c r="B507" s="1" t="n">
        <v>43479</v>
      </c>
      <c r="C507" s="1" t="n">
        <v>45224</v>
      </c>
      <c r="D507" t="inlineStr">
        <is>
          <t>STOCKHOLMS LÄN</t>
        </is>
      </c>
      <c r="E507" t="inlineStr">
        <is>
          <t>NORRTÄLJE</t>
        </is>
      </c>
      <c r="G507" t="n">
        <v>3.9</v>
      </c>
      <c r="H507" t="n">
        <v>0</v>
      </c>
      <c r="I507" t="n">
        <v>0</v>
      </c>
      <c r="J507" t="n">
        <v>0</v>
      </c>
      <c r="K507" t="n">
        <v>0</v>
      </c>
      <c r="L507" t="n">
        <v>0</v>
      </c>
      <c r="M507" t="n">
        <v>0</v>
      </c>
      <c r="N507" t="n">
        <v>0</v>
      </c>
      <c r="O507" t="n">
        <v>0</v>
      </c>
      <c r="P507" t="n">
        <v>0</v>
      </c>
      <c r="Q507" t="n">
        <v>0</v>
      </c>
      <c r="R507" s="2" t="inlineStr"/>
    </row>
    <row r="508" ht="15" customHeight="1">
      <c r="A508" t="inlineStr">
        <is>
          <t>A 2839-2019</t>
        </is>
      </c>
      <c r="B508" s="1" t="n">
        <v>43479</v>
      </c>
      <c r="C508" s="1" t="n">
        <v>45224</v>
      </c>
      <c r="D508" t="inlineStr">
        <is>
          <t>STOCKHOLMS LÄN</t>
        </is>
      </c>
      <c r="E508" t="inlineStr">
        <is>
          <t>NORRTÄLJE</t>
        </is>
      </c>
      <c r="G508" t="n">
        <v>4</v>
      </c>
      <c r="H508" t="n">
        <v>0</v>
      </c>
      <c r="I508" t="n">
        <v>0</v>
      </c>
      <c r="J508" t="n">
        <v>0</v>
      </c>
      <c r="K508" t="n">
        <v>0</v>
      </c>
      <c r="L508" t="n">
        <v>0</v>
      </c>
      <c r="M508" t="n">
        <v>0</v>
      </c>
      <c r="N508" t="n">
        <v>0</v>
      </c>
      <c r="O508" t="n">
        <v>0</v>
      </c>
      <c r="P508" t="n">
        <v>0</v>
      </c>
      <c r="Q508" t="n">
        <v>0</v>
      </c>
      <c r="R508" s="2" t="inlineStr"/>
    </row>
    <row r="509" ht="15" customHeight="1">
      <c r="A509" t="inlineStr">
        <is>
          <t>A 2967-2019</t>
        </is>
      </c>
      <c r="B509" s="1" t="n">
        <v>43479</v>
      </c>
      <c r="C509" s="1" t="n">
        <v>45224</v>
      </c>
      <c r="D509" t="inlineStr">
        <is>
          <t>STOCKHOLMS LÄN</t>
        </is>
      </c>
      <c r="E509" t="inlineStr">
        <is>
          <t>NYNÄSHAMN</t>
        </is>
      </c>
      <c r="G509" t="n">
        <v>2.2</v>
      </c>
      <c r="H509" t="n">
        <v>0</v>
      </c>
      <c r="I509" t="n">
        <v>0</v>
      </c>
      <c r="J509" t="n">
        <v>0</v>
      </c>
      <c r="K509" t="n">
        <v>0</v>
      </c>
      <c r="L509" t="n">
        <v>0</v>
      </c>
      <c r="M509" t="n">
        <v>0</v>
      </c>
      <c r="N509" t="n">
        <v>0</v>
      </c>
      <c r="O509" t="n">
        <v>0</v>
      </c>
      <c r="P509" t="n">
        <v>0</v>
      </c>
      <c r="Q509" t="n">
        <v>0</v>
      </c>
      <c r="R509" s="2" t="inlineStr"/>
    </row>
    <row r="510" ht="15" customHeight="1">
      <c r="A510" t="inlineStr">
        <is>
          <t>A 3054-2019</t>
        </is>
      </c>
      <c r="B510" s="1" t="n">
        <v>43479</v>
      </c>
      <c r="C510" s="1" t="n">
        <v>45224</v>
      </c>
      <c r="D510" t="inlineStr">
        <is>
          <t>STOCKHOLMS LÄN</t>
        </is>
      </c>
      <c r="E510" t="inlineStr">
        <is>
          <t>SIGTUNA</t>
        </is>
      </c>
      <c r="G510" t="n">
        <v>1.4</v>
      </c>
      <c r="H510" t="n">
        <v>0</v>
      </c>
      <c r="I510" t="n">
        <v>0</v>
      </c>
      <c r="J510" t="n">
        <v>0</v>
      </c>
      <c r="K510" t="n">
        <v>0</v>
      </c>
      <c r="L510" t="n">
        <v>0</v>
      </c>
      <c r="M510" t="n">
        <v>0</v>
      </c>
      <c r="N510" t="n">
        <v>0</v>
      </c>
      <c r="O510" t="n">
        <v>0</v>
      </c>
      <c r="P510" t="n">
        <v>0</v>
      </c>
      <c r="Q510" t="n">
        <v>0</v>
      </c>
      <c r="R510" s="2" t="inlineStr"/>
    </row>
    <row r="511" ht="15" customHeight="1">
      <c r="A511" t="inlineStr">
        <is>
          <t>A 4731-2019</t>
        </is>
      </c>
      <c r="B511" s="1" t="n">
        <v>43479</v>
      </c>
      <c r="C511" s="1" t="n">
        <v>45224</v>
      </c>
      <c r="D511" t="inlineStr">
        <is>
          <t>STOCKHOLMS LÄN</t>
        </is>
      </c>
      <c r="E511" t="inlineStr">
        <is>
          <t>NORRTÄLJE</t>
        </is>
      </c>
      <c r="G511" t="n">
        <v>1</v>
      </c>
      <c r="H511" t="n">
        <v>0</v>
      </c>
      <c r="I511" t="n">
        <v>0</v>
      </c>
      <c r="J511" t="n">
        <v>0</v>
      </c>
      <c r="K511" t="n">
        <v>0</v>
      </c>
      <c r="L511" t="n">
        <v>0</v>
      </c>
      <c r="M511" t="n">
        <v>0</v>
      </c>
      <c r="N511" t="n">
        <v>0</v>
      </c>
      <c r="O511" t="n">
        <v>0</v>
      </c>
      <c r="P511" t="n">
        <v>0</v>
      </c>
      <c r="Q511" t="n">
        <v>0</v>
      </c>
      <c r="R511" s="2" t="inlineStr"/>
    </row>
    <row r="512" ht="15" customHeight="1">
      <c r="A512" t="inlineStr">
        <is>
          <t>A 2823-2019</t>
        </is>
      </c>
      <c r="B512" s="1" t="n">
        <v>43479</v>
      </c>
      <c r="C512" s="1" t="n">
        <v>45224</v>
      </c>
      <c r="D512" t="inlineStr">
        <is>
          <t>STOCKHOLMS LÄN</t>
        </is>
      </c>
      <c r="E512" t="inlineStr">
        <is>
          <t>NORRTÄLJE</t>
        </is>
      </c>
      <c r="G512" t="n">
        <v>1.2</v>
      </c>
      <c r="H512" t="n">
        <v>0</v>
      </c>
      <c r="I512" t="n">
        <v>0</v>
      </c>
      <c r="J512" t="n">
        <v>0</v>
      </c>
      <c r="K512" t="n">
        <v>0</v>
      </c>
      <c r="L512" t="n">
        <v>0</v>
      </c>
      <c r="M512" t="n">
        <v>0</v>
      </c>
      <c r="N512" t="n">
        <v>0</v>
      </c>
      <c r="O512" t="n">
        <v>0</v>
      </c>
      <c r="P512" t="n">
        <v>0</v>
      </c>
      <c r="Q512" t="n">
        <v>0</v>
      </c>
      <c r="R512" s="2" t="inlineStr"/>
    </row>
    <row r="513" ht="15" customHeight="1">
      <c r="A513" t="inlineStr">
        <is>
          <t>A 2966-2019</t>
        </is>
      </c>
      <c r="B513" s="1" t="n">
        <v>43479</v>
      </c>
      <c r="C513" s="1" t="n">
        <v>45224</v>
      </c>
      <c r="D513" t="inlineStr">
        <is>
          <t>STOCKHOLMS LÄN</t>
        </is>
      </c>
      <c r="E513" t="inlineStr">
        <is>
          <t>NORRTÄLJE</t>
        </is>
      </c>
      <c r="G513" t="n">
        <v>4.2</v>
      </c>
      <c r="H513" t="n">
        <v>0</v>
      </c>
      <c r="I513" t="n">
        <v>0</v>
      </c>
      <c r="J513" t="n">
        <v>0</v>
      </c>
      <c r="K513" t="n">
        <v>0</v>
      </c>
      <c r="L513" t="n">
        <v>0</v>
      </c>
      <c r="M513" t="n">
        <v>0</v>
      </c>
      <c r="N513" t="n">
        <v>0</v>
      </c>
      <c r="O513" t="n">
        <v>0</v>
      </c>
      <c r="P513" t="n">
        <v>0</v>
      </c>
      <c r="Q513" t="n">
        <v>0</v>
      </c>
      <c r="R513" s="2" t="inlineStr"/>
    </row>
    <row r="514" ht="15" customHeight="1">
      <c r="A514" t="inlineStr">
        <is>
          <t>A 3079-2019</t>
        </is>
      </c>
      <c r="B514" s="1" t="n">
        <v>43479</v>
      </c>
      <c r="C514" s="1" t="n">
        <v>45224</v>
      </c>
      <c r="D514" t="inlineStr">
        <is>
          <t>STOCKHOLMS LÄN</t>
        </is>
      </c>
      <c r="E514" t="inlineStr">
        <is>
          <t>NORRTÄLJE</t>
        </is>
      </c>
      <c r="G514" t="n">
        <v>13.6</v>
      </c>
      <c r="H514" t="n">
        <v>0</v>
      </c>
      <c r="I514" t="n">
        <v>0</v>
      </c>
      <c r="J514" t="n">
        <v>0</v>
      </c>
      <c r="K514" t="n">
        <v>0</v>
      </c>
      <c r="L514" t="n">
        <v>0</v>
      </c>
      <c r="M514" t="n">
        <v>0</v>
      </c>
      <c r="N514" t="n">
        <v>0</v>
      </c>
      <c r="O514" t="n">
        <v>0</v>
      </c>
      <c r="P514" t="n">
        <v>0</v>
      </c>
      <c r="Q514" t="n">
        <v>0</v>
      </c>
      <c r="R514" s="2" t="inlineStr"/>
    </row>
    <row r="515" ht="15" customHeight="1">
      <c r="A515" t="inlineStr">
        <is>
          <t>A 2731-2019</t>
        </is>
      </c>
      <c r="B515" s="1" t="n">
        <v>43479</v>
      </c>
      <c r="C515" s="1" t="n">
        <v>45224</v>
      </c>
      <c r="D515" t="inlineStr">
        <is>
          <t>STOCKHOLMS LÄN</t>
        </is>
      </c>
      <c r="E515" t="inlineStr">
        <is>
          <t>NYKVARN</t>
        </is>
      </c>
      <c r="G515" t="n">
        <v>1.3</v>
      </c>
      <c r="H515" t="n">
        <v>0</v>
      </c>
      <c r="I515" t="n">
        <v>0</v>
      </c>
      <c r="J515" t="n">
        <v>0</v>
      </c>
      <c r="K515" t="n">
        <v>0</v>
      </c>
      <c r="L515" t="n">
        <v>0</v>
      </c>
      <c r="M515" t="n">
        <v>0</v>
      </c>
      <c r="N515" t="n">
        <v>0</v>
      </c>
      <c r="O515" t="n">
        <v>0</v>
      </c>
      <c r="P515" t="n">
        <v>0</v>
      </c>
      <c r="Q515" t="n">
        <v>0</v>
      </c>
      <c r="R515" s="2" t="inlineStr"/>
    </row>
    <row r="516" ht="15" customHeight="1">
      <c r="A516" t="inlineStr">
        <is>
          <t>A 2796-2019</t>
        </is>
      </c>
      <c r="B516" s="1" t="n">
        <v>43479</v>
      </c>
      <c r="C516" s="1" t="n">
        <v>45224</v>
      </c>
      <c r="D516" t="inlineStr">
        <is>
          <t>STOCKHOLMS LÄN</t>
        </is>
      </c>
      <c r="E516" t="inlineStr">
        <is>
          <t>NORRTÄLJE</t>
        </is>
      </c>
      <c r="G516" t="n">
        <v>2.3</v>
      </c>
      <c r="H516" t="n">
        <v>0</v>
      </c>
      <c r="I516" t="n">
        <v>0</v>
      </c>
      <c r="J516" t="n">
        <v>0</v>
      </c>
      <c r="K516" t="n">
        <v>0</v>
      </c>
      <c r="L516" t="n">
        <v>0</v>
      </c>
      <c r="M516" t="n">
        <v>0</v>
      </c>
      <c r="N516" t="n">
        <v>0</v>
      </c>
      <c r="O516" t="n">
        <v>0</v>
      </c>
      <c r="P516" t="n">
        <v>0</v>
      </c>
      <c r="Q516" t="n">
        <v>0</v>
      </c>
      <c r="R516" s="2" t="inlineStr"/>
    </row>
    <row r="517" ht="15" customHeight="1">
      <c r="A517" t="inlineStr">
        <is>
          <t>A 3088-2019</t>
        </is>
      </c>
      <c r="B517" s="1" t="n">
        <v>43479</v>
      </c>
      <c r="C517" s="1" t="n">
        <v>45224</v>
      </c>
      <c r="D517" t="inlineStr">
        <is>
          <t>STOCKHOLMS LÄN</t>
        </is>
      </c>
      <c r="E517" t="inlineStr">
        <is>
          <t>NORRTÄLJE</t>
        </is>
      </c>
      <c r="G517" t="n">
        <v>5.2</v>
      </c>
      <c r="H517" t="n">
        <v>0</v>
      </c>
      <c r="I517" t="n">
        <v>0</v>
      </c>
      <c r="J517" t="n">
        <v>0</v>
      </c>
      <c r="K517" t="n">
        <v>0</v>
      </c>
      <c r="L517" t="n">
        <v>0</v>
      </c>
      <c r="M517" t="n">
        <v>0</v>
      </c>
      <c r="N517" t="n">
        <v>0</v>
      </c>
      <c r="O517" t="n">
        <v>0</v>
      </c>
      <c r="P517" t="n">
        <v>0</v>
      </c>
      <c r="Q517" t="n">
        <v>0</v>
      </c>
      <c r="R517" s="2" t="inlineStr"/>
    </row>
    <row r="518" ht="15" customHeight="1">
      <c r="A518" t="inlineStr">
        <is>
          <t>A 3133-2019</t>
        </is>
      </c>
      <c r="B518" s="1" t="n">
        <v>43480</v>
      </c>
      <c r="C518" s="1" t="n">
        <v>45224</v>
      </c>
      <c r="D518" t="inlineStr">
        <is>
          <t>STOCKHOLMS LÄN</t>
        </is>
      </c>
      <c r="E518" t="inlineStr">
        <is>
          <t>NORRTÄLJE</t>
        </is>
      </c>
      <c r="G518" t="n">
        <v>0.3</v>
      </c>
      <c r="H518" t="n">
        <v>0</v>
      </c>
      <c r="I518" t="n">
        <v>0</v>
      </c>
      <c r="J518" t="n">
        <v>0</v>
      </c>
      <c r="K518" t="n">
        <v>0</v>
      </c>
      <c r="L518" t="n">
        <v>0</v>
      </c>
      <c r="M518" t="n">
        <v>0</v>
      </c>
      <c r="N518" t="n">
        <v>0</v>
      </c>
      <c r="O518" t="n">
        <v>0</v>
      </c>
      <c r="P518" t="n">
        <v>0</v>
      </c>
      <c r="Q518" t="n">
        <v>0</v>
      </c>
      <c r="R518" s="2" t="inlineStr"/>
    </row>
    <row r="519" ht="15" customHeight="1">
      <c r="A519" t="inlineStr">
        <is>
          <t>A 3156-2019</t>
        </is>
      </c>
      <c r="B519" s="1" t="n">
        <v>43480</v>
      </c>
      <c r="C519" s="1" t="n">
        <v>45224</v>
      </c>
      <c r="D519" t="inlineStr">
        <is>
          <t>STOCKHOLMS LÄN</t>
        </is>
      </c>
      <c r="E519" t="inlineStr">
        <is>
          <t>NORRTÄLJE</t>
        </is>
      </c>
      <c r="G519" t="n">
        <v>0.1</v>
      </c>
      <c r="H519" t="n">
        <v>0</v>
      </c>
      <c r="I519" t="n">
        <v>0</v>
      </c>
      <c r="J519" t="n">
        <v>0</v>
      </c>
      <c r="K519" t="n">
        <v>0</v>
      </c>
      <c r="L519" t="n">
        <v>0</v>
      </c>
      <c r="M519" t="n">
        <v>0</v>
      </c>
      <c r="N519" t="n">
        <v>0</v>
      </c>
      <c r="O519" t="n">
        <v>0</v>
      </c>
      <c r="P519" t="n">
        <v>0</v>
      </c>
      <c r="Q519" t="n">
        <v>0</v>
      </c>
      <c r="R519" s="2" t="inlineStr"/>
    </row>
    <row r="520" ht="15" customHeight="1">
      <c r="A520" t="inlineStr">
        <is>
          <t>A 3232-2019</t>
        </is>
      </c>
      <c r="B520" s="1" t="n">
        <v>43480</v>
      </c>
      <c r="C520" s="1" t="n">
        <v>45224</v>
      </c>
      <c r="D520" t="inlineStr">
        <is>
          <t>STOCKHOLMS LÄN</t>
        </is>
      </c>
      <c r="E520" t="inlineStr">
        <is>
          <t>NORRTÄLJE</t>
        </is>
      </c>
      <c r="G520" t="n">
        <v>9.1</v>
      </c>
      <c r="H520" t="n">
        <v>0</v>
      </c>
      <c r="I520" t="n">
        <v>0</v>
      </c>
      <c r="J520" t="n">
        <v>0</v>
      </c>
      <c r="K520" t="n">
        <v>0</v>
      </c>
      <c r="L520" t="n">
        <v>0</v>
      </c>
      <c r="M520" t="n">
        <v>0</v>
      </c>
      <c r="N520" t="n">
        <v>0</v>
      </c>
      <c r="O520" t="n">
        <v>0</v>
      </c>
      <c r="P520" t="n">
        <v>0</v>
      </c>
      <c r="Q520" t="n">
        <v>0</v>
      </c>
      <c r="R520" s="2" t="inlineStr"/>
    </row>
    <row r="521" ht="15" customHeight="1">
      <c r="A521" t="inlineStr">
        <is>
          <t>A 3361-2019</t>
        </is>
      </c>
      <c r="B521" s="1" t="n">
        <v>43480</v>
      </c>
      <c r="C521" s="1" t="n">
        <v>45224</v>
      </c>
      <c r="D521" t="inlineStr">
        <is>
          <t>STOCKHOLMS LÄN</t>
        </is>
      </c>
      <c r="E521" t="inlineStr">
        <is>
          <t>NORRTÄLJE</t>
        </is>
      </c>
      <c r="G521" t="n">
        <v>3.6</v>
      </c>
      <c r="H521" t="n">
        <v>0</v>
      </c>
      <c r="I521" t="n">
        <v>0</v>
      </c>
      <c r="J521" t="n">
        <v>0</v>
      </c>
      <c r="K521" t="n">
        <v>0</v>
      </c>
      <c r="L521" t="n">
        <v>0</v>
      </c>
      <c r="M521" t="n">
        <v>0</v>
      </c>
      <c r="N521" t="n">
        <v>0</v>
      </c>
      <c r="O521" t="n">
        <v>0</v>
      </c>
      <c r="P521" t="n">
        <v>0</v>
      </c>
      <c r="Q521" t="n">
        <v>0</v>
      </c>
      <c r="R521" s="2" t="inlineStr"/>
    </row>
    <row r="522" ht="15" customHeight="1">
      <c r="A522" t="inlineStr">
        <is>
          <t>A 3372-2019</t>
        </is>
      </c>
      <c r="B522" s="1" t="n">
        <v>43480</v>
      </c>
      <c r="C522" s="1" t="n">
        <v>45224</v>
      </c>
      <c r="D522" t="inlineStr">
        <is>
          <t>STOCKHOLMS LÄN</t>
        </is>
      </c>
      <c r="E522" t="inlineStr">
        <is>
          <t>NORRTÄLJE</t>
        </is>
      </c>
      <c r="G522" t="n">
        <v>1.8</v>
      </c>
      <c r="H522" t="n">
        <v>0</v>
      </c>
      <c r="I522" t="n">
        <v>0</v>
      </c>
      <c r="J522" t="n">
        <v>0</v>
      </c>
      <c r="K522" t="n">
        <v>0</v>
      </c>
      <c r="L522" t="n">
        <v>0</v>
      </c>
      <c r="M522" t="n">
        <v>0</v>
      </c>
      <c r="N522" t="n">
        <v>0</v>
      </c>
      <c r="O522" t="n">
        <v>0</v>
      </c>
      <c r="P522" t="n">
        <v>0</v>
      </c>
      <c r="Q522" t="n">
        <v>0</v>
      </c>
      <c r="R522" s="2" t="inlineStr"/>
    </row>
    <row r="523" ht="15" customHeight="1">
      <c r="A523" t="inlineStr">
        <is>
          <t>A 3342-2019</t>
        </is>
      </c>
      <c r="B523" s="1" t="n">
        <v>43480</v>
      </c>
      <c r="C523" s="1" t="n">
        <v>45224</v>
      </c>
      <c r="D523" t="inlineStr">
        <is>
          <t>STOCKHOLMS LÄN</t>
        </is>
      </c>
      <c r="E523" t="inlineStr">
        <is>
          <t>NYNÄSHAMN</t>
        </is>
      </c>
      <c r="G523" t="n">
        <v>2.1</v>
      </c>
      <c r="H523" t="n">
        <v>0</v>
      </c>
      <c r="I523" t="n">
        <v>0</v>
      </c>
      <c r="J523" t="n">
        <v>0</v>
      </c>
      <c r="K523" t="n">
        <v>0</v>
      </c>
      <c r="L523" t="n">
        <v>0</v>
      </c>
      <c r="M523" t="n">
        <v>0</v>
      </c>
      <c r="N523" t="n">
        <v>0</v>
      </c>
      <c r="O523" t="n">
        <v>0</v>
      </c>
      <c r="P523" t="n">
        <v>0</v>
      </c>
      <c r="Q523" t="n">
        <v>0</v>
      </c>
      <c r="R523" s="2" t="inlineStr"/>
    </row>
    <row r="524" ht="15" customHeight="1">
      <c r="A524" t="inlineStr">
        <is>
          <t>A 3376-2019</t>
        </is>
      </c>
      <c r="B524" s="1" t="n">
        <v>43480</v>
      </c>
      <c r="C524" s="1" t="n">
        <v>45224</v>
      </c>
      <c r="D524" t="inlineStr">
        <is>
          <t>STOCKHOLMS LÄN</t>
        </is>
      </c>
      <c r="E524" t="inlineStr">
        <is>
          <t>NORRTÄLJE</t>
        </is>
      </c>
      <c r="G524" t="n">
        <v>4.9</v>
      </c>
      <c r="H524" t="n">
        <v>0</v>
      </c>
      <c r="I524" t="n">
        <v>0</v>
      </c>
      <c r="J524" t="n">
        <v>0</v>
      </c>
      <c r="K524" t="n">
        <v>0</v>
      </c>
      <c r="L524" t="n">
        <v>0</v>
      </c>
      <c r="M524" t="n">
        <v>0</v>
      </c>
      <c r="N524" t="n">
        <v>0</v>
      </c>
      <c r="O524" t="n">
        <v>0</v>
      </c>
      <c r="P524" t="n">
        <v>0</v>
      </c>
      <c r="Q524" t="n">
        <v>0</v>
      </c>
      <c r="R524" s="2" t="inlineStr"/>
    </row>
    <row r="525" ht="15" customHeight="1">
      <c r="A525" t="inlineStr">
        <is>
          <t>A 3456-2019</t>
        </is>
      </c>
      <c r="B525" s="1" t="n">
        <v>43481</v>
      </c>
      <c r="C525" s="1" t="n">
        <v>45224</v>
      </c>
      <c r="D525" t="inlineStr">
        <is>
          <t>STOCKHOLMS LÄN</t>
        </is>
      </c>
      <c r="E525" t="inlineStr">
        <is>
          <t>NORRTÄLJE</t>
        </is>
      </c>
      <c r="G525" t="n">
        <v>0.9</v>
      </c>
      <c r="H525" t="n">
        <v>0</v>
      </c>
      <c r="I525" t="n">
        <v>0</v>
      </c>
      <c r="J525" t="n">
        <v>0</v>
      </c>
      <c r="K525" t="n">
        <v>0</v>
      </c>
      <c r="L525" t="n">
        <v>0</v>
      </c>
      <c r="M525" t="n">
        <v>0</v>
      </c>
      <c r="N525" t="n">
        <v>0</v>
      </c>
      <c r="O525" t="n">
        <v>0</v>
      </c>
      <c r="P525" t="n">
        <v>0</v>
      </c>
      <c r="Q525" t="n">
        <v>0</v>
      </c>
      <c r="R525" s="2" t="inlineStr"/>
    </row>
    <row r="526" ht="15" customHeight="1">
      <c r="A526" t="inlineStr">
        <is>
          <t>A 3475-2019</t>
        </is>
      </c>
      <c r="B526" s="1" t="n">
        <v>43481</v>
      </c>
      <c r="C526" s="1" t="n">
        <v>45224</v>
      </c>
      <c r="D526" t="inlineStr">
        <is>
          <t>STOCKHOLMS LÄN</t>
        </is>
      </c>
      <c r="E526" t="inlineStr">
        <is>
          <t>NORRTÄLJE</t>
        </is>
      </c>
      <c r="G526" t="n">
        <v>1.9</v>
      </c>
      <c r="H526" t="n">
        <v>0</v>
      </c>
      <c r="I526" t="n">
        <v>0</v>
      </c>
      <c r="J526" t="n">
        <v>0</v>
      </c>
      <c r="K526" t="n">
        <v>0</v>
      </c>
      <c r="L526" t="n">
        <v>0</v>
      </c>
      <c r="M526" t="n">
        <v>0</v>
      </c>
      <c r="N526" t="n">
        <v>0</v>
      </c>
      <c r="O526" t="n">
        <v>0</v>
      </c>
      <c r="P526" t="n">
        <v>0</v>
      </c>
      <c r="Q526" t="n">
        <v>0</v>
      </c>
      <c r="R526" s="2" t="inlineStr"/>
    </row>
    <row r="527" ht="15" customHeight="1">
      <c r="A527" t="inlineStr">
        <is>
          <t>A 3502-2019</t>
        </is>
      </c>
      <c r="B527" s="1" t="n">
        <v>43481</v>
      </c>
      <c r="C527" s="1" t="n">
        <v>45224</v>
      </c>
      <c r="D527" t="inlineStr">
        <is>
          <t>STOCKHOLMS LÄN</t>
        </is>
      </c>
      <c r="E527" t="inlineStr">
        <is>
          <t>NORRTÄLJE</t>
        </is>
      </c>
      <c r="G527" t="n">
        <v>2</v>
      </c>
      <c r="H527" t="n">
        <v>0</v>
      </c>
      <c r="I527" t="n">
        <v>0</v>
      </c>
      <c r="J527" t="n">
        <v>0</v>
      </c>
      <c r="K527" t="n">
        <v>0</v>
      </c>
      <c r="L527" t="n">
        <v>0</v>
      </c>
      <c r="M527" t="n">
        <v>0</v>
      </c>
      <c r="N527" t="n">
        <v>0</v>
      </c>
      <c r="O527" t="n">
        <v>0</v>
      </c>
      <c r="P527" t="n">
        <v>0</v>
      </c>
      <c r="Q527" t="n">
        <v>0</v>
      </c>
      <c r="R527" s="2" t="inlineStr"/>
    </row>
    <row r="528" ht="15" customHeight="1">
      <c r="A528" t="inlineStr">
        <is>
          <t>A 3741-2019</t>
        </is>
      </c>
      <c r="B528" s="1" t="n">
        <v>43481</v>
      </c>
      <c r="C528" s="1" t="n">
        <v>45224</v>
      </c>
      <c r="D528" t="inlineStr">
        <is>
          <t>STOCKHOLMS LÄN</t>
        </is>
      </c>
      <c r="E528" t="inlineStr">
        <is>
          <t>NORRTÄLJE</t>
        </is>
      </c>
      <c r="G528" t="n">
        <v>1.6</v>
      </c>
      <c r="H528" t="n">
        <v>0</v>
      </c>
      <c r="I528" t="n">
        <v>0</v>
      </c>
      <c r="J528" t="n">
        <v>0</v>
      </c>
      <c r="K528" t="n">
        <v>0</v>
      </c>
      <c r="L528" t="n">
        <v>0</v>
      </c>
      <c r="M528" t="n">
        <v>0</v>
      </c>
      <c r="N528" t="n">
        <v>0</v>
      </c>
      <c r="O528" t="n">
        <v>0</v>
      </c>
      <c r="P528" t="n">
        <v>0</v>
      </c>
      <c r="Q528" t="n">
        <v>0</v>
      </c>
      <c r="R528" s="2" t="inlineStr"/>
    </row>
    <row r="529" ht="15" customHeight="1">
      <c r="A529" t="inlineStr">
        <is>
          <t>A 3480-2019</t>
        </is>
      </c>
      <c r="B529" s="1" t="n">
        <v>43481</v>
      </c>
      <c r="C529" s="1" t="n">
        <v>45224</v>
      </c>
      <c r="D529" t="inlineStr">
        <is>
          <t>STOCKHOLMS LÄN</t>
        </is>
      </c>
      <c r="E529" t="inlineStr">
        <is>
          <t>NORRTÄLJE</t>
        </is>
      </c>
      <c r="G529" t="n">
        <v>3</v>
      </c>
      <c r="H529" t="n">
        <v>0</v>
      </c>
      <c r="I529" t="n">
        <v>0</v>
      </c>
      <c r="J529" t="n">
        <v>0</v>
      </c>
      <c r="K529" t="n">
        <v>0</v>
      </c>
      <c r="L529" t="n">
        <v>0</v>
      </c>
      <c r="M529" t="n">
        <v>0</v>
      </c>
      <c r="N529" t="n">
        <v>0</v>
      </c>
      <c r="O529" t="n">
        <v>0</v>
      </c>
      <c r="P529" t="n">
        <v>0</v>
      </c>
      <c r="Q529" t="n">
        <v>0</v>
      </c>
      <c r="R529" s="2" t="inlineStr"/>
    </row>
    <row r="530" ht="15" customHeight="1">
      <c r="A530" t="inlineStr">
        <is>
          <t>A 3743-2019</t>
        </is>
      </c>
      <c r="B530" s="1" t="n">
        <v>43481</v>
      </c>
      <c r="C530" s="1" t="n">
        <v>45224</v>
      </c>
      <c r="D530" t="inlineStr">
        <is>
          <t>STOCKHOLMS LÄN</t>
        </is>
      </c>
      <c r="E530" t="inlineStr">
        <is>
          <t>NORRTÄLJE</t>
        </is>
      </c>
      <c r="G530" t="n">
        <v>1.3</v>
      </c>
      <c r="H530" t="n">
        <v>0</v>
      </c>
      <c r="I530" t="n">
        <v>0</v>
      </c>
      <c r="J530" t="n">
        <v>0</v>
      </c>
      <c r="K530" t="n">
        <v>0</v>
      </c>
      <c r="L530" t="n">
        <v>0</v>
      </c>
      <c r="M530" t="n">
        <v>0</v>
      </c>
      <c r="N530" t="n">
        <v>0</v>
      </c>
      <c r="O530" t="n">
        <v>0</v>
      </c>
      <c r="P530" t="n">
        <v>0</v>
      </c>
      <c r="Q530" t="n">
        <v>0</v>
      </c>
      <c r="R530" s="2" t="inlineStr"/>
    </row>
    <row r="531" ht="15" customHeight="1">
      <c r="A531" t="inlineStr">
        <is>
          <t>A 5507-2019</t>
        </is>
      </c>
      <c r="B531" s="1" t="n">
        <v>43482</v>
      </c>
      <c r="C531" s="1" t="n">
        <v>45224</v>
      </c>
      <c r="D531" t="inlineStr">
        <is>
          <t>STOCKHOLMS LÄN</t>
        </is>
      </c>
      <c r="E531" t="inlineStr">
        <is>
          <t>VALLENTUNA</t>
        </is>
      </c>
      <c r="G531" t="n">
        <v>2.5</v>
      </c>
      <c r="H531" t="n">
        <v>0</v>
      </c>
      <c r="I531" t="n">
        <v>0</v>
      </c>
      <c r="J531" t="n">
        <v>0</v>
      </c>
      <c r="K531" t="n">
        <v>0</v>
      </c>
      <c r="L531" t="n">
        <v>0</v>
      </c>
      <c r="M531" t="n">
        <v>0</v>
      </c>
      <c r="N531" t="n">
        <v>0</v>
      </c>
      <c r="O531" t="n">
        <v>0</v>
      </c>
      <c r="P531" t="n">
        <v>0</v>
      </c>
      <c r="Q531" t="n">
        <v>0</v>
      </c>
      <c r="R531" s="2" t="inlineStr"/>
    </row>
    <row r="532" ht="15" customHeight="1">
      <c r="A532" t="inlineStr">
        <is>
          <t>A 4037-2019</t>
        </is>
      </c>
      <c r="B532" s="1" t="n">
        <v>43482</v>
      </c>
      <c r="C532" s="1" t="n">
        <v>45224</v>
      </c>
      <c r="D532" t="inlineStr">
        <is>
          <t>STOCKHOLMS LÄN</t>
        </is>
      </c>
      <c r="E532" t="inlineStr">
        <is>
          <t>NORRTÄLJE</t>
        </is>
      </c>
      <c r="G532" t="n">
        <v>5.1</v>
      </c>
      <c r="H532" t="n">
        <v>0</v>
      </c>
      <c r="I532" t="n">
        <v>0</v>
      </c>
      <c r="J532" t="n">
        <v>0</v>
      </c>
      <c r="K532" t="n">
        <v>0</v>
      </c>
      <c r="L532" t="n">
        <v>0</v>
      </c>
      <c r="M532" t="n">
        <v>0</v>
      </c>
      <c r="N532" t="n">
        <v>0</v>
      </c>
      <c r="O532" t="n">
        <v>0</v>
      </c>
      <c r="P532" t="n">
        <v>0</v>
      </c>
      <c r="Q532" t="n">
        <v>0</v>
      </c>
      <c r="R532" s="2" t="inlineStr"/>
    </row>
    <row r="533" ht="15" customHeight="1">
      <c r="A533" t="inlineStr">
        <is>
          <t>A 4107-2019</t>
        </is>
      </c>
      <c r="B533" s="1" t="n">
        <v>43482</v>
      </c>
      <c r="C533" s="1" t="n">
        <v>45224</v>
      </c>
      <c r="D533" t="inlineStr">
        <is>
          <t>STOCKHOLMS LÄN</t>
        </is>
      </c>
      <c r="E533" t="inlineStr">
        <is>
          <t>NORRTÄLJE</t>
        </is>
      </c>
      <c r="G533" t="n">
        <v>1.8</v>
      </c>
      <c r="H533" t="n">
        <v>0</v>
      </c>
      <c r="I533" t="n">
        <v>0</v>
      </c>
      <c r="J533" t="n">
        <v>0</v>
      </c>
      <c r="K533" t="n">
        <v>0</v>
      </c>
      <c r="L533" t="n">
        <v>0</v>
      </c>
      <c r="M533" t="n">
        <v>0</v>
      </c>
      <c r="N533" t="n">
        <v>0</v>
      </c>
      <c r="O533" t="n">
        <v>0</v>
      </c>
      <c r="P533" t="n">
        <v>0</v>
      </c>
      <c r="Q533" t="n">
        <v>0</v>
      </c>
      <c r="R533" s="2" t="inlineStr"/>
    </row>
    <row r="534" ht="15" customHeight="1">
      <c r="A534" t="inlineStr">
        <is>
          <t>A 3864-2019</t>
        </is>
      </c>
      <c r="B534" s="1" t="n">
        <v>43482</v>
      </c>
      <c r="C534" s="1" t="n">
        <v>45224</v>
      </c>
      <c r="D534" t="inlineStr">
        <is>
          <t>STOCKHOLMS LÄN</t>
        </is>
      </c>
      <c r="E534" t="inlineStr">
        <is>
          <t>NORRTÄLJE</t>
        </is>
      </c>
      <c r="G534" t="n">
        <v>1.5</v>
      </c>
      <c r="H534" t="n">
        <v>0</v>
      </c>
      <c r="I534" t="n">
        <v>0</v>
      </c>
      <c r="J534" t="n">
        <v>0</v>
      </c>
      <c r="K534" t="n">
        <v>0</v>
      </c>
      <c r="L534" t="n">
        <v>0</v>
      </c>
      <c r="M534" t="n">
        <v>0</v>
      </c>
      <c r="N534" t="n">
        <v>0</v>
      </c>
      <c r="O534" t="n">
        <v>0</v>
      </c>
      <c r="P534" t="n">
        <v>0</v>
      </c>
      <c r="Q534" t="n">
        <v>0</v>
      </c>
      <c r="R534" s="2" t="inlineStr"/>
    </row>
    <row r="535" ht="15" customHeight="1">
      <c r="A535" t="inlineStr">
        <is>
          <t>A 3879-2019</t>
        </is>
      </c>
      <c r="B535" s="1" t="n">
        <v>43482</v>
      </c>
      <c r="C535" s="1" t="n">
        <v>45224</v>
      </c>
      <c r="D535" t="inlineStr">
        <is>
          <t>STOCKHOLMS LÄN</t>
        </is>
      </c>
      <c r="E535" t="inlineStr">
        <is>
          <t>NORRTÄLJE</t>
        </is>
      </c>
      <c r="G535" t="n">
        <v>1.6</v>
      </c>
      <c r="H535" t="n">
        <v>0</v>
      </c>
      <c r="I535" t="n">
        <v>0</v>
      </c>
      <c r="J535" t="n">
        <v>0</v>
      </c>
      <c r="K535" t="n">
        <v>0</v>
      </c>
      <c r="L535" t="n">
        <v>0</v>
      </c>
      <c r="M535" t="n">
        <v>0</v>
      </c>
      <c r="N535" t="n">
        <v>0</v>
      </c>
      <c r="O535" t="n">
        <v>0</v>
      </c>
      <c r="P535" t="n">
        <v>0</v>
      </c>
      <c r="Q535" t="n">
        <v>0</v>
      </c>
      <c r="R535" s="2" t="inlineStr"/>
    </row>
    <row r="536" ht="15" customHeight="1">
      <c r="A536" t="inlineStr">
        <is>
          <t>A 4027-2019</t>
        </is>
      </c>
      <c r="B536" s="1" t="n">
        <v>43482</v>
      </c>
      <c r="C536" s="1" t="n">
        <v>45224</v>
      </c>
      <c r="D536" t="inlineStr">
        <is>
          <t>STOCKHOLMS LÄN</t>
        </is>
      </c>
      <c r="E536" t="inlineStr">
        <is>
          <t>NORRTÄLJE</t>
        </is>
      </c>
      <c r="G536" t="n">
        <v>2.7</v>
      </c>
      <c r="H536" t="n">
        <v>0</v>
      </c>
      <c r="I536" t="n">
        <v>0</v>
      </c>
      <c r="J536" t="n">
        <v>0</v>
      </c>
      <c r="K536" t="n">
        <v>0</v>
      </c>
      <c r="L536" t="n">
        <v>0</v>
      </c>
      <c r="M536" t="n">
        <v>0</v>
      </c>
      <c r="N536" t="n">
        <v>0</v>
      </c>
      <c r="O536" t="n">
        <v>0</v>
      </c>
      <c r="P536" t="n">
        <v>0</v>
      </c>
      <c r="Q536" t="n">
        <v>0</v>
      </c>
      <c r="R536" s="2" t="inlineStr"/>
    </row>
    <row r="537" ht="15" customHeight="1">
      <c r="A537" t="inlineStr">
        <is>
          <t>A 4036-2019</t>
        </is>
      </c>
      <c r="B537" s="1" t="n">
        <v>43482</v>
      </c>
      <c r="C537" s="1" t="n">
        <v>45224</v>
      </c>
      <c r="D537" t="inlineStr">
        <is>
          <t>STOCKHOLMS LÄN</t>
        </is>
      </c>
      <c r="E537" t="inlineStr">
        <is>
          <t>NORRTÄLJE</t>
        </is>
      </c>
      <c r="G537" t="n">
        <v>6</v>
      </c>
      <c r="H537" t="n">
        <v>0</v>
      </c>
      <c r="I537" t="n">
        <v>0</v>
      </c>
      <c r="J537" t="n">
        <v>0</v>
      </c>
      <c r="K537" t="n">
        <v>0</v>
      </c>
      <c r="L537" t="n">
        <v>0</v>
      </c>
      <c r="M537" t="n">
        <v>0</v>
      </c>
      <c r="N537" t="n">
        <v>0</v>
      </c>
      <c r="O537" t="n">
        <v>0</v>
      </c>
      <c r="P537" t="n">
        <v>0</v>
      </c>
      <c r="Q537" t="n">
        <v>0</v>
      </c>
      <c r="R537" s="2" t="inlineStr"/>
    </row>
    <row r="538" ht="15" customHeight="1">
      <c r="A538" t="inlineStr">
        <is>
          <t>A 4040-2019</t>
        </is>
      </c>
      <c r="B538" s="1" t="n">
        <v>43482</v>
      </c>
      <c r="C538" s="1" t="n">
        <v>45224</v>
      </c>
      <c r="D538" t="inlineStr">
        <is>
          <t>STOCKHOLMS LÄN</t>
        </is>
      </c>
      <c r="E538" t="inlineStr">
        <is>
          <t>NORRTÄLJE</t>
        </is>
      </c>
      <c r="F538" t="inlineStr">
        <is>
          <t>Övriga statliga verk och myndigheter</t>
        </is>
      </c>
      <c r="G538" t="n">
        <v>10.7</v>
      </c>
      <c r="H538" t="n">
        <v>0</v>
      </c>
      <c r="I538" t="n">
        <v>0</v>
      </c>
      <c r="J538" t="n">
        <v>0</v>
      </c>
      <c r="K538" t="n">
        <v>0</v>
      </c>
      <c r="L538" t="n">
        <v>0</v>
      </c>
      <c r="M538" t="n">
        <v>0</v>
      </c>
      <c r="N538" t="n">
        <v>0</v>
      </c>
      <c r="O538" t="n">
        <v>0</v>
      </c>
      <c r="P538" t="n">
        <v>0</v>
      </c>
      <c r="Q538" t="n">
        <v>0</v>
      </c>
      <c r="R538" s="2" t="inlineStr"/>
    </row>
    <row r="539" ht="15" customHeight="1">
      <c r="A539" t="inlineStr">
        <is>
          <t>A 4069-2019</t>
        </is>
      </c>
      <c r="B539" s="1" t="n">
        <v>43482</v>
      </c>
      <c r="C539" s="1" t="n">
        <v>45224</v>
      </c>
      <c r="D539" t="inlineStr">
        <is>
          <t>STOCKHOLMS LÄN</t>
        </is>
      </c>
      <c r="E539" t="inlineStr">
        <is>
          <t>SÖDERTÄLJE</t>
        </is>
      </c>
      <c r="G539" t="n">
        <v>6.5</v>
      </c>
      <c r="H539" t="n">
        <v>0</v>
      </c>
      <c r="I539" t="n">
        <v>0</v>
      </c>
      <c r="J539" t="n">
        <v>0</v>
      </c>
      <c r="K539" t="n">
        <v>0</v>
      </c>
      <c r="L539" t="n">
        <v>0</v>
      </c>
      <c r="M539" t="n">
        <v>0</v>
      </c>
      <c r="N539" t="n">
        <v>0</v>
      </c>
      <c r="O539" t="n">
        <v>0</v>
      </c>
      <c r="P539" t="n">
        <v>0</v>
      </c>
      <c r="Q539" t="n">
        <v>0</v>
      </c>
      <c r="R539" s="2" t="inlineStr"/>
    </row>
    <row r="540" ht="15" customHeight="1">
      <c r="A540" t="inlineStr">
        <is>
          <t>A 4230-2019</t>
        </is>
      </c>
      <c r="B540" s="1" t="n">
        <v>43483</v>
      </c>
      <c r="C540" s="1" t="n">
        <v>45224</v>
      </c>
      <c r="D540" t="inlineStr">
        <is>
          <t>STOCKHOLMS LÄN</t>
        </is>
      </c>
      <c r="E540" t="inlineStr">
        <is>
          <t>VALLENTUNA</t>
        </is>
      </c>
      <c r="G540" t="n">
        <v>1.7</v>
      </c>
      <c r="H540" t="n">
        <v>0</v>
      </c>
      <c r="I540" t="n">
        <v>0</v>
      </c>
      <c r="J540" t="n">
        <v>0</v>
      </c>
      <c r="K540" t="n">
        <v>0</v>
      </c>
      <c r="L540" t="n">
        <v>0</v>
      </c>
      <c r="M540" t="n">
        <v>0</v>
      </c>
      <c r="N540" t="n">
        <v>0</v>
      </c>
      <c r="O540" t="n">
        <v>0</v>
      </c>
      <c r="P540" t="n">
        <v>0</v>
      </c>
      <c r="Q540" t="n">
        <v>0</v>
      </c>
      <c r="R540" s="2" t="inlineStr"/>
    </row>
    <row r="541" ht="15" customHeight="1">
      <c r="A541" t="inlineStr">
        <is>
          <t>A 4133-2019</t>
        </is>
      </c>
      <c r="B541" s="1" t="n">
        <v>43483</v>
      </c>
      <c r="C541" s="1" t="n">
        <v>45224</v>
      </c>
      <c r="D541" t="inlineStr">
        <is>
          <t>STOCKHOLMS LÄN</t>
        </is>
      </c>
      <c r="E541" t="inlineStr">
        <is>
          <t>NORRTÄLJE</t>
        </is>
      </c>
      <c r="G541" t="n">
        <v>3.9</v>
      </c>
      <c r="H541" t="n">
        <v>0</v>
      </c>
      <c r="I541" t="n">
        <v>0</v>
      </c>
      <c r="J541" t="n">
        <v>0</v>
      </c>
      <c r="K541" t="n">
        <v>0</v>
      </c>
      <c r="L541" t="n">
        <v>0</v>
      </c>
      <c r="M541" t="n">
        <v>0</v>
      </c>
      <c r="N541" t="n">
        <v>0</v>
      </c>
      <c r="O541" t="n">
        <v>0</v>
      </c>
      <c r="P541" t="n">
        <v>0</v>
      </c>
      <c r="Q541" t="n">
        <v>0</v>
      </c>
      <c r="R541" s="2" t="inlineStr"/>
    </row>
    <row r="542" ht="15" customHeight="1">
      <c r="A542" t="inlineStr">
        <is>
          <t>A 4394-2019</t>
        </is>
      </c>
      <c r="B542" s="1" t="n">
        <v>43484</v>
      </c>
      <c r="C542" s="1" t="n">
        <v>45224</v>
      </c>
      <c r="D542" t="inlineStr">
        <is>
          <t>STOCKHOLMS LÄN</t>
        </is>
      </c>
      <c r="E542" t="inlineStr">
        <is>
          <t>NORRTÄLJE</t>
        </is>
      </c>
      <c r="G542" t="n">
        <v>2</v>
      </c>
      <c r="H542" t="n">
        <v>0</v>
      </c>
      <c r="I542" t="n">
        <v>0</v>
      </c>
      <c r="J542" t="n">
        <v>0</v>
      </c>
      <c r="K542" t="n">
        <v>0</v>
      </c>
      <c r="L542" t="n">
        <v>0</v>
      </c>
      <c r="M542" t="n">
        <v>0</v>
      </c>
      <c r="N542" t="n">
        <v>0</v>
      </c>
      <c r="O542" t="n">
        <v>0</v>
      </c>
      <c r="P542" t="n">
        <v>0</v>
      </c>
      <c r="Q542" t="n">
        <v>0</v>
      </c>
      <c r="R542" s="2" t="inlineStr"/>
    </row>
    <row r="543" ht="15" customHeight="1">
      <c r="A543" t="inlineStr">
        <is>
          <t>A 4395-2019</t>
        </is>
      </c>
      <c r="B543" s="1" t="n">
        <v>43484</v>
      </c>
      <c r="C543" s="1" t="n">
        <v>45224</v>
      </c>
      <c r="D543" t="inlineStr">
        <is>
          <t>STOCKHOLMS LÄN</t>
        </is>
      </c>
      <c r="E543" t="inlineStr">
        <is>
          <t>NORRTÄLJE</t>
        </is>
      </c>
      <c r="G543" t="n">
        <v>1.2</v>
      </c>
      <c r="H543" t="n">
        <v>0</v>
      </c>
      <c r="I543" t="n">
        <v>0</v>
      </c>
      <c r="J543" t="n">
        <v>0</v>
      </c>
      <c r="K543" t="n">
        <v>0</v>
      </c>
      <c r="L543" t="n">
        <v>0</v>
      </c>
      <c r="M543" t="n">
        <v>0</v>
      </c>
      <c r="N543" t="n">
        <v>0</v>
      </c>
      <c r="O543" t="n">
        <v>0</v>
      </c>
      <c r="P543" t="n">
        <v>0</v>
      </c>
      <c r="Q543" t="n">
        <v>0</v>
      </c>
      <c r="R543" s="2" t="inlineStr"/>
    </row>
    <row r="544" ht="15" customHeight="1">
      <c r="A544" t="inlineStr">
        <is>
          <t>A 4393-2019</t>
        </is>
      </c>
      <c r="B544" s="1" t="n">
        <v>43484</v>
      </c>
      <c r="C544" s="1" t="n">
        <v>45224</v>
      </c>
      <c r="D544" t="inlineStr">
        <is>
          <t>STOCKHOLMS LÄN</t>
        </is>
      </c>
      <c r="E544" t="inlineStr">
        <is>
          <t>NORRTÄLJE</t>
        </is>
      </c>
      <c r="G544" t="n">
        <v>2.3</v>
      </c>
      <c r="H544" t="n">
        <v>0</v>
      </c>
      <c r="I544" t="n">
        <v>0</v>
      </c>
      <c r="J544" t="n">
        <v>0</v>
      </c>
      <c r="K544" t="n">
        <v>0</v>
      </c>
      <c r="L544" t="n">
        <v>0</v>
      </c>
      <c r="M544" t="n">
        <v>0</v>
      </c>
      <c r="N544" t="n">
        <v>0</v>
      </c>
      <c r="O544" t="n">
        <v>0</v>
      </c>
      <c r="P544" t="n">
        <v>0</v>
      </c>
      <c r="Q544" t="n">
        <v>0</v>
      </c>
      <c r="R544" s="2" t="inlineStr"/>
    </row>
    <row r="545" ht="15" customHeight="1">
      <c r="A545" t="inlineStr">
        <is>
          <t>A 4397-2019</t>
        </is>
      </c>
      <c r="B545" s="1" t="n">
        <v>43484</v>
      </c>
      <c r="C545" s="1" t="n">
        <v>45224</v>
      </c>
      <c r="D545" t="inlineStr">
        <is>
          <t>STOCKHOLMS LÄN</t>
        </is>
      </c>
      <c r="E545" t="inlineStr">
        <is>
          <t>NORRTÄLJE</t>
        </is>
      </c>
      <c r="G545" t="n">
        <v>1</v>
      </c>
      <c r="H545" t="n">
        <v>0</v>
      </c>
      <c r="I545" t="n">
        <v>0</v>
      </c>
      <c r="J545" t="n">
        <v>0</v>
      </c>
      <c r="K545" t="n">
        <v>0</v>
      </c>
      <c r="L545" t="n">
        <v>0</v>
      </c>
      <c r="M545" t="n">
        <v>0</v>
      </c>
      <c r="N545" t="n">
        <v>0</v>
      </c>
      <c r="O545" t="n">
        <v>0</v>
      </c>
      <c r="P545" t="n">
        <v>0</v>
      </c>
      <c r="Q545" t="n">
        <v>0</v>
      </c>
      <c r="R545" s="2" t="inlineStr"/>
    </row>
    <row r="546" ht="15" customHeight="1">
      <c r="A546" t="inlineStr">
        <is>
          <t>A 4457-2019</t>
        </is>
      </c>
      <c r="B546" s="1" t="n">
        <v>43485</v>
      </c>
      <c r="C546" s="1" t="n">
        <v>45224</v>
      </c>
      <c r="D546" t="inlineStr">
        <is>
          <t>STOCKHOLMS LÄN</t>
        </is>
      </c>
      <c r="E546" t="inlineStr">
        <is>
          <t>NORRTÄLJE</t>
        </is>
      </c>
      <c r="G546" t="n">
        <v>3.6</v>
      </c>
      <c r="H546" t="n">
        <v>0</v>
      </c>
      <c r="I546" t="n">
        <v>0</v>
      </c>
      <c r="J546" t="n">
        <v>0</v>
      </c>
      <c r="K546" t="n">
        <v>0</v>
      </c>
      <c r="L546" t="n">
        <v>0</v>
      </c>
      <c r="M546" t="n">
        <v>0</v>
      </c>
      <c r="N546" t="n">
        <v>0</v>
      </c>
      <c r="O546" t="n">
        <v>0</v>
      </c>
      <c r="P546" t="n">
        <v>0</v>
      </c>
      <c r="Q546" t="n">
        <v>0</v>
      </c>
      <c r="R546" s="2" t="inlineStr"/>
    </row>
    <row r="547" ht="15" customHeight="1">
      <c r="A547" t="inlineStr">
        <is>
          <t>A 4548-2019</t>
        </is>
      </c>
      <c r="B547" s="1" t="n">
        <v>43486</v>
      </c>
      <c r="C547" s="1" t="n">
        <v>45224</v>
      </c>
      <c r="D547" t="inlineStr">
        <is>
          <t>STOCKHOLMS LÄN</t>
        </is>
      </c>
      <c r="E547" t="inlineStr">
        <is>
          <t>NORRTÄLJE</t>
        </is>
      </c>
      <c r="F547" t="inlineStr">
        <is>
          <t>Kommuner</t>
        </is>
      </c>
      <c r="G547" t="n">
        <v>2</v>
      </c>
      <c r="H547" t="n">
        <v>0</v>
      </c>
      <c r="I547" t="n">
        <v>0</v>
      </c>
      <c r="J547" t="n">
        <v>0</v>
      </c>
      <c r="K547" t="n">
        <v>0</v>
      </c>
      <c r="L547" t="n">
        <v>0</v>
      </c>
      <c r="M547" t="n">
        <v>0</v>
      </c>
      <c r="N547" t="n">
        <v>0</v>
      </c>
      <c r="O547" t="n">
        <v>0</v>
      </c>
      <c r="P547" t="n">
        <v>0</v>
      </c>
      <c r="Q547" t="n">
        <v>0</v>
      </c>
      <c r="R547" s="2" t="inlineStr"/>
    </row>
    <row r="548" ht="15" customHeight="1">
      <c r="A548" t="inlineStr">
        <is>
          <t>A 4862-2019</t>
        </is>
      </c>
      <c r="B548" s="1" t="n">
        <v>43486</v>
      </c>
      <c r="C548" s="1" t="n">
        <v>45224</v>
      </c>
      <c r="D548" t="inlineStr">
        <is>
          <t>STOCKHOLMS LÄN</t>
        </is>
      </c>
      <c r="E548" t="inlineStr">
        <is>
          <t>NORRTÄLJE</t>
        </is>
      </c>
      <c r="G548" t="n">
        <v>14</v>
      </c>
      <c r="H548" t="n">
        <v>0</v>
      </c>
      <c r="I548" t="n">
        <v>0</v>
      </c>
      <c r="J548" t="n">
        <v>0</v>
      </c>
      <c r="K548" t="n">
        <v>0</v>
      </c>
      <c r="L548" t="n">
        <v>0</v>
      </c>
      <c r="M548" t="n">
        <v>0</v>
      </c>
      <c r="N548" t="n">
        <v>0</v>
      </c>
      <c r="O548" t="n">
        <v>0</v>
      </c>
      <c r="P548" t="n">
        <v>0</v>
      </c>
      <c r="Q548" t="n">
        <v>0</v>
      </c>
      <c r="R548" s="2" t="inlineStr"/>
    </row>
    <row r="549" ht="15" customHeight="1">
      <c r="A549" t="inlineStr">
        <is>
          <t>A 4528-2019</t>
        </is>
      </c>
      <c r="B549" s="1" t="n">
        <v>43486</v>
      </c>
      <c r="C549" s="1" t="n">
        <v>45224</v>
      </c>
      <c r="D549" t="inlineStr">
        <is>
          <t>STOCKHOLMS LÄN</t>
        </is>
      </c>
      <c r="E549" t="inlineStr">
        <is>
          <t>NORRTÄLJE</t>
        </is>
      </c>
      <c r="G549" t="n">
        <v>3.1</v>
      </c>
      <c r="H549" t="n">
        <v>0</v>
      </c>
      <c r="I549" t="n">
        <v>0</v>
      </c>
      <c r="J549" t="n">
        <v>0</v>
      </c>
      <c r="K549" t="n">
        <v>0</v>
      </c>
      <c r="L549" t="n">
        <v>0</v>
      </c>
      <c r="M549" t="n">
        <v>0</v>
      </c>
      <c r="N549" t="n">
        <v>0</v>
      </c>
      <c r="O549" t="n">
        <v>0</v>
      </c>
      <c r="P549" t="n">
        <v>0</v>
      </c>
      <c r="Q549" t="n">
        <v>0</v>
      </c>
      <c r="R549" s="2" t="inlineStr"/>
    </row>
    <row r="550" ht="15" customHeight="1">
      <c r="A550" t="inlineStr">
        <is>
          <t>A 4664-2019</t>
        </is>
      </c>
      <c r="B550" s="1" t="n">
        <v>43486</v>
      </c>
      <c r="C550" s="1" t="n">
        <v>45224</v>
      </c>
      <c r="D550" t="inlineStr">
        <is>
          <t>STOCKHOLMS LÄN</t>
        </is>
      </c>
      <c r="E550" t="inlineStr">
        <is>
          <t>VALLENTUNA</t>
        </is>
      </c>
      <c r="G550" t="n">
        <v>1.4</v>
      </c>
      <c r="H550" t="n">
        <v>0</v>
      </c>
      <c r="I550" t="n">
        <v>0</v>
      </c>
      <c r="J550" t="n">
        <v>0</v>
      </c>
      <c r="K550" t="n">
        <v>0</v>
      </c>
      <c r="L550" t="n">
        <v>0</v>
      </c>
      <c r="M550" t="n">
        <v>0</v>
      </c>
      <c r="N550" t="n">
        <v>0</v>
      </c>
      <c r="O550" t="n">
        <v>0</v>
      </c>
      <c r="P550" t="n">
        <v>0</v>
      </c>
      <c r="Q550" t="n">
        <v>0</v>
      </c>
      <c r="R550" s="2" t="inlineStr"/>
    </row>
    <row r="551" ht="15" customHeight="1">
      <c r="A551" t="inlineStr">
        <is>
          <t>A 4894-2019</t>
        </is>
      </c>
      <c r="B551" s="1" t="n">
        <v>43486</v>
      </c>
      <c r="C551" s="1" t="n">
        <v>45224</v>
      </c>
      <c r="D551" t="inlineStr">
        <is>
          <t>STOCKHOLMS LÄN</t>
        </is>
      </c>
      <c r="E551" t="inlineStr">
        <is>
          <t>VALLENTUNA</t>
        </is>
      </c>
      <c r="G551" t="n">
        <v>11.2</v>
      </c>
      <c r="H551" t="n">
        <v>0</v>
      </c>
      <c r="I551" t="n">
        <v>0</v>
      </c>
      <c r="J551" t="n">
        <v>0</v>
      </c>
      <c r="K551" t="n">
        <v>0</v>
      </c>
      <c r="L551" t="n">
        <v>0</v>
      </c>
      <c r="M551" t="n">
        <v>0</v>
      </c>
      <c r="N551" t="n">
        <v>0</v>
      </c>
      <c r="O551" t="n">
        <v>0</v>
      </c>
      <c r="P551" t="n">
        <v>0</v>
      </c>
      <c r="Q551" t="n">
        <v>0</v>
      </c>
      <c r="R551" s="2" t="inlineStr"/>
    </row>
    <row r="552" ht="15" customHeight="1">
      <c r="A552" t="inlineStr">
        <is>
          <t>A 4584-2019</t>
        </is>
      </c>
      <c r="B552" s="1" t="n">
        <v>43486</v>
      </c>
      <c r="C552" s="1" t="n">
        <v>45224</v>
      </c>
      <c r="D552" t="inlineStr">
        <is>
          <t>STOCKHOLMS LÄN</t>
        </is>
      </c>
      <c r="E552" t="inlineStr">
        <is>
          <t>SIGTUNA</t>
        </is>
      </c>
      <c r="G552" t="n">
        <v>3.9</v>
      </c>
      <c r="H552" t="n">
        <v>0</v>
      </c>
      <c r="I552" t="n">
        <v>0</v>
      </c>
      <c r="J552" t="n">
        <v>0</v>
      </c>
      <c r="K552" t="n">
        <v>0</v>
      </c>
      <c r="L552" t="n">
        <v>0</v>
      </c>
      <c r="M552" t="n">
        <v>0</v>
      </c>
      <c r="N552" t="n">
        <v>0</v>
      </c>
      <c r="O552" t="n">
        <v>0</v>
      </c>
      <c r="P552" t="n">
        <v>0</v>
      </c>
      <c r="Q552" t="n">
        <v>0</v>
      </c>
      <c r="R552" s="2" t="inlineStr"/>
    </row>
    <row r="553" ht="15" customHeight="1">
      <c r="A553" t="inlineStr">
        <is>
          <t>A 4800-2019</t>
        </is>
      </c>
      <c r="B553" s="1" t="n">
        <v>43486</v>
      </c>
      <c r="C553" s="1" t="n">
        <v>45224</v>
      </c>
      <c r="D553" t="inlineStr">
        <is>
          <t>STOCKHOLMS LÄN</t>
        </is>
      </c>
      <c r="E553" t="inlineStr">
        <is>
          <t>SIGTUNA</t>
        </is>
      </c>
      <c r="G553" t="n">
        <v>6</v>
      </c>
      <c r="H553" t="n">
        <v>0</v>
      </c>
      <c r="I553" t="n">
        <v>0</v>
      </c>
      <c r="J553" t="n">
        <v>0</v>
      </c>
      <c r="K553" t="n">
        <v>0</v>
      </c>
      <c r="L553" t="n">
        <v>0</v>
      </c>
      <c r="M553" t="n">
        <v>0</v>
      </c>
      <c r="N553" t="n">
        <v>0</v>
      </c>
      <c r="O553" t="n">
        <v>0</v>
      </c>
      <c r="P553" t="n">
        <v>0</v>
      </c>
      <c r="Q553" t="n">
        <v>0</v>
      </c>
      <c r="R553" s="2" t="inlineStr"/>
    </row>
    <row r="554" ht="15" customHeight="1">
      <c r="A554" t="inlineStr">
        <is>
          <t>A 4833-2019</t>
        </is>
      </c>
      <c r="B554" s="1" t="n">
        <v>43486</v>
      </c>
      <c r="C554" s="1" t="n">
        <v>45224</v>
      </c>
      <c r="D554" t="inlineStr">
        <is>
          <t>STOCKHOLMS LÄN</t>
        </is>
      </c>
      <c r="E554" t="inlineStr">
        <is>
          <t>NORRTÄLJE</t>
        </is>
      </c>
      <c r="G554" t="n">
        <v>7.5</v>
      </c>
      <c r="H554" t="n">
        <v>0</v>
      </c>
      <c r="I554" t="n">
        <v>0</v>
      </c>
      <c r="J554" t="n">
        <v>0</v>
      </c>
      <c r="K554" t="n">
        <v>0</v>
      </c>
      <c r="L554" t="n">
        <v>0</v>
      </c>
      <c r="M554" t="n">
        <v>0</v>
      </c>
      <c r="N554" t="n">
        <v>0</v>
      </c>
      <c r="O554" t="n">
        <v>0</v>
      </c>
      <c r="P554" t="n">
        <v>0</v>
      </c>
      <c r="Q554" t="n">
        <v>0</v>
      </c>
      <c r="R554" s="2" t="inlineStr"/>
    </row>
    <row r="555" ht="15" customHeight="1">
      <c r="A555" t="inlineStr">
        <is>
          <t>A 4885-2019</t>
        </is>
      </c>
      <c r="B555" s="1" t="n">
        <v>43486</v>
      </c>
      <c r="C555" s="1" t="n">
        <v>45224</v>
      </c>
      <c r="D555" t="inlineStr">
        <is>
          <t>STOCKHOLMS LÄN</t>
        </is>
      </c>
      <c r="E555" t="inlineStr">
        <is>
          <t>NORRTÄLJE</t>
        </is>
      </c>
      <c r="G555" t="n">
        <v>11.4</v>
      </c>
      <c r="H555" t="n">
        <v>0</v>
      </c>
      <c r="I555" t="n">
        <v>0</v>
      </c>
      <c r="J555" t="n">
        <v>0</v>
      </c>
      <c r="K555" t="n">
        <v>0</v>
      </c>
      <c r="L555" t="n">
        <v>0</v>
      </c>
      <c r="M555" t="n">
        <v>0</v>
      </c>
      <c r="N555" t="n">
        <v>0</v>
      </c>
      <c r="O555" t="n">
        <v>0</v>
      </c>
      <c r="P555" t="n">
        <v>0</v>
      </c>
      <c r="Q555" t="n">
        <v>0</v>
      </c>
      <c r="R555" s="2" t="inlineStr"/>
    </row>
    <row r="556" ht="15" customHeight="1">
      <c r="A556" t="inlineStr">
        <is>
          <t>A 4857-2019</t>
        </is>
      </c>
      <c r="B556" s="1" t="n">
        <v>43487</v>
      </c>
      <c r="C556" s="1" t="n">
        <v>45224</v>
      </c>
      <c r="D556" t="inlineStr">
        <is>
          <t>STOCKHOLMS LÄN</t>
        </is>
      </c>
      <c r="E556" t="inlineStr">
        <is>
          <t>NORRTÄLJE</t>
        </is>
      </c>
      <c r="G556" t="n">
        <v>1.3</v>
      </c>
      <c r="H556" t="n">
        <v>0</v>
      </c>
      <c r="I556" t="n">
        <v>0</v>
      </c>
      <c r="J556" t="n">
        <v>0</v>
      </c>
      <c r="K556" t="n">
        <v>0</v>
      </c>
      <c r="L556" t="n">
        <v>0</v>
      </c>
      <c r="M556" t="n">
        <v>0</v>
      </c>
      <c r="N556" t="n">
        <v>0</v>
      </c>
      <c r="O556" t="n">
        <v>0</v>
      </c>
      <c r="P556" t="n">
        <v>0</v>
      </c>
      <c r="Q556" t="n">
        <v>0</v>
      </c>
      <c r="R556" s="2" t="inlineStr"/>
    </row>
    <row r="557" ht="15" customHeight="1">
      <c r="A557" t="inlineStr">
        <is>
          <t>A 5109-2019</t>
        </is>
      </c>
      <c r="B557" s="1" t="n">
        <v>43487</v>
      </c>
      <c r="C557" s="1" t="n">
        <v>45224</v>
      </c>
      <c r="D557" t="inlineStr">
        <is>
          <t>STOCKHOLMS LÄN</t>
        </is>
      </c>
      <c r="E557" t="inlineStr">
        <is>
          <t>NORRTÄLJE</t>
        </is>
      </c>
      <c r="G557" t="n">
        <v>1.3</v>
      </c>
      <c r="H557" t="n">
        <v>0</v>
      </c>
      <c r="I557" t="n">
        <v>0</v>
      </c>
      <c r="J557" t="n">
        <v>0</v>
      </c>
      <c r="K557" t="n">
        <v>0</v>
      </c>
      <c r="L557" t="n">
        <v>0</v>
      </c>
      <c r="M557" t="n">
        <v>0</v>
      </c>
      <c r="N557" t="n">
        <v>0</v>
      </c>
      <c r="O557" t="n">
        <v>0</v>
      </c>
      <c r="P557" t="n">
        <v>0</v>
      </c>
      <c r="Q557" t="n">
        <v>0</v>
      </c>
      <c r="R557" s="2" t="inlineStr"/>
    </row>
    <row r="558" ht="15" customHeight="1">
      <c r="A558" t="inlineStr">
        <is>
          <t>A 4922-2019</t>
        </is>
      </c>
      <c r="B558" s="1" t="n">
        <v>43487</v>
      </c>
      <c r="C558" s="1" t="n">
        <v>45224</v>
      </c>
      <c r="D558" t="inlineStr">
        <is>
          <t>STOCKHOLMS LÄN</t>
        </is>
      </c>
      <c r="E558" t="inlineStr">
        <is>
          <t>SÖDERTÄLJE</t>
        </is>
      </c>
      <c r="F558" t="inlineStr">
        <is>
          <t>Sveaskog</t>
        </is>
      </c>
      <c r="G558" t="n">
        <v>0.9</v>
      </c>
      <c r="H558" t="n">
        <v>0</v>
      </c>
      <c r="I558" t="n">
        <v>0</v>
      </c>
      <c r="J558" t="n">
        <v>0</v>
      </c>
      <c r="K558" t="n">
        <v>0</v>
      </c>
      <c r="L558" t="n">
        <v>0</v>
      </c>
      <c r="M558" t="n">
        <v>0</v>
      </c>
      <c r="N558" t="n">
        <v>0</v>
      </c>
      <c r="O558" t="n">
        <v>0</v>
      </c>
      <c r="P558" t="n">
        <v>0</v>
      </c>
      <c r="Q558" t="n">
        <v>0</v>
      </c>
      <c r="R558" s="2" t="inlineStr"/>
    </row>
    <row r="559" ht="15" customHeight="1">
      <c r="A559" t="inlineStr">
        <is>
          <t>A 4947-2019</t>
        </is>
      </c>
      <c r="B559" s="1" t="n">
        <v>43487</v>
      </c>
      <c r="C559" s="1" t="n">
        <v>45224</v>
      </c>
      <c r="D559" t="inlineStr">
        <is>
          <t>STOCKHOLMS LÄN</t>
        </is>
      </c>
      <c r="E559" t="inlineStr">
        <is>
          <t>NORRTÄLJE</t>
        </is>
      </c>
      <c r="G559" t="n">
        <v>0.9</v>
      </c>
      <c r="H559" t="n">
        <v>0</v>
      </c>
      <c r="I559" t="n">
        <v>0</v>
      </c>
      <c r="J559" t="n">
        <v>0</v>
      </c>
      <c r="K559" t="n">
        <v>0</v>
      </c>
      <c r="L559" t="n">
        <v>0</v>
      </c>
      <c r="M559" t="n">
        <v>0</v>
      </c>
      <c r="N559" t="n">
        <v>0</v>
      </c>
      <c r="O559" t="n">
        <v>0</v>
      </c>
      <c r="P559" t="n">
        <v>0</v>
      </c>
      <c r="Q559" t="n">
        <v>0</v>
      </c>
      <c r="R559" s="2" t="inlineStr"/>
    </row>
    <row r="560" ht="15" customHeight="1">
      <c r="A560" t="inlineStr">
        <is>
          <t>A 5080-2019</t>
        </is>
      </c>
      <c r="B560" s="1" t="n">
        <v>43487</v>
      </c>
      <c r="C560" s="1" t="n">
        <v>45224</v>
      </c>
      <c r="D560" t="inlineStr">
        <is>
          <t>STOCKHOLMS LÄN</t>
        </is>
      </c>
      <c r="E560" t="inlineStr">
        <is>
          <t>NORRTÄLJE</t>
        </is>
      </c>
      <c r="G560" t="n">
        <v>2.6</v>
      </c>
      <c r="H560" t="n">
        <v>0</v>
      </c>
      <c r="I560" t="n">
        <v>0</v>
      </c>
      <c r="J560" t="n">
        <v>0</v>
      </c>
      <c r="K560" t="n">
        <v>0</v>
      </c>
      <c r="L560" t="n">
        <v>0</v>
      </c>
      <c r="M560" t="n">
        <v>0</v>
      </c>
      <c r="N560" t="n">
        <v>0</v>
      </c>
      <c r="O560" t="n">
        <v>0</v>
      </c>
      <c r="P560" t="n">
        <v>0</v>
      </c>
      <c r="Q560" t="n">
        <v>0</v>
      </c>
      <c r="R560" s="2" t="inlineStr"/>
    </row>
    <row r="561" ht="15" customHeight="1">
      <c r="A561" t="inlineStr">
        <is>
          <t>A 5106-2019</t>
        </is>
      </c>
      <c r="B561" s="1" t="n">
        <v>43487</v>
      </c>
      <c r="C561" s="1" t="n">
        <v>45224</v>
      </c>
      <c r="D561" t="inlineStr">
        <is>
          <t>STOCKHOLMS LÄN</t>
        </is>
      </c>
      <c r="E561" t="inlineStr">
        <is>
          <t>NORRTÄLJE</t>
        </is>
      </c>
      <c r="G561" t="n">
        <v>1.5</v>
      </c>
      <c r="H561" t="n">
        <v>0</v>
      </c>
      <c r="I561" t="n">
        <v>0</v>
      </c>
      <c r="J561" t="n">
        <v>0</v>
      </c>
      <c r="K561" t="n">
        <v>0</v>
      </c>
      <c r="L561" t="n">
        <v>0</v>
      </c>
      <c r="M561" t="n">
        <v>0</v>
      </c>
      <c r="N561" t="n">
        <v>0</v>
      </c>
      <c r="O561" t="n">
        <v>0</v>
      </c>
      <c r="P561" t="n">
        <v>0</v>
      </c>
      <c r="Q561" t="n">
        <v>0</v>
      </c>
      <c r="R561" s="2" t="inlineStr"/>
    </row>
    <row r="562" ht="15" customHeight="1">
      <c r="A562" t="inlineStr">
        <is>
          <t>A 6606-2019</t>
        </is>
      </c>
      <c r="B562" s="1" t="n">
        <v>43487</v>
      </c>
      <c r="C562" s="1" t="n">
        <v>45224</v>
      </c>
      <c r="D562" t="inlineStr">
        <is>
          <t>STOCKHOLMS LÄN</t>
        </is>
      </c>
      <c r="E562" t="inlineStr">
        <is>
          <t>NORRTÄLJE</t>
        </is>
      </c>
      <c r="G562" t="n">
        <v>1.7</v>
      </c>
      <c r="H562" t="n">
        <v>0</v>
      </c>
      <c r="I562" t="n">
        <v>0</v>
      </c>
      <c r="J562" t="n">
        <v>0</v>
      </c>
      <c r="K562" t="n">
        <v>0</v>
      </c>
      <c r="L562" t="n">
        <v>0</v>
      </c>
      <c r="M562" t="n">
        <v>0</v>
      </c>
      <c r="N562" t="n">
        <v>0</v>
      </c>
      <c r="O562" t="n">
        <v>0</v>
      </c>
      <c r="P562" t="n">
        <v>0</v>
      </c>
      <c r="Q562" t="n">
        <v>0</v>
      </c>
      <c r="R562" s="2" t="inlineStr"/>
    </row>
    <row r="563" ht="15" customHeight="1">
      <c r="A563" t="inlineStr">
        <is>
          <t>A 5314-2019</t>
        </is>
      </c>
      <c r="B563" s="1" t="n">
        <v>43488</v>
      </c>
      <c r="C563" s="1" t="n">
        <v>45224</v>
      </c>
      <c r="D563" t="inlineStr">
        <is>
          <t>STOCKHOLMS LÄN</t>
        </is>
      </c>
      <c r="E563" t="inlineStr">
        <is>
          <t>NORRTÄLJE</t>
        </is>
      </c>
      <c r="G563" t="n">
        <v>0.3</v>
      </c>
      <c r="H563" t="n">
        <v>0</v>
      </c>
      <c r="I563" t="n">
        <v>0</v>
      </c>
      <c r="J563" t="n">
        <v>0</v>
      </c>
      <c r="K563" t="n">
        <v>0</v>
      </c>
      <c r="L563" t="n">
        <v>0</v>
      </c>
      <c r="M563" t="n">
        <v>0</v>
      </c>
      <c r="N563" t="n">
        <v>0</v>
      </c>
      <c r="O563" t="n">
        <v>0</v>
      </c>
      <c r="P563" t="n">
        <v>0</v>
      </c>
      <c r="Q563" t="n">
        <v>0</v>
      </c>
      <c r="R563" s="2" t="inlineStr"/>
    </row>
    <row r="564" ht="15" customHeight="1">
      <c r="A564" t="inlineStr">
        <is>
          <t>A 5386-2019</t>
        </is>
      </c>
      <c r="B564" s="1" t="n">
        <v>43488</v>
      </c>
      <c r="C564" s="1" t="n">
        <v>45224</v>
      </c>
      <c r="D564" t="inlineStr">
        <is>
          <t>STOCKHOLMS LÄN</t>
        </is>
      </c>
      <c r="E564" t="inlineStr">
        <is>
          <t>NORRTÄLJE</t>
        </is>
      </c>
      <c r="G564" t="n">
        <v>1.3</v>
      </c>
      <c r="H564" t="n">
        <v>0</v>
      </c>
      <c r="I564" t="n">
        <v>0</v>
      </c>
      <c r="J564" t="n">
        <v>0</v>
      </c>
      <c r="K564" t="n">
        <v>0</v>
      </c>
      <c r="L564" t="n">
        <v>0</v>
      </c>
      <c r="M564" t="n">
        <v>0</v>
      </c>
      <c r="N564" t="n">
        <v>0</v>
      </c>
      <c r="O564" t="n">
        <v>0</v>
      </c>
      <c r="P564" t="n">
        <v>0</v>
      </c>
      <c r="Q564" t="n">
        <v>0</v>
      </c>
      <c r="R564" s="2" t="inlineStr"/>
    </row>
    <row r="565" ht="15" customHeight="1">
      <c r="A565" t="inlineStr">
        <is>
          <t>A 5504-2019</t>
        </is>
      </c>
      <c r="B565" s="1" t="n">
        <v>43489</v>
      </c>
      <c r="C565" s="1" t="n">
        <v>45224</v>
      </c>
      <c r="D565" t="inlineStr">
        <is>
          <t>STOCKHOLMS LÄN</t>
        </is>
      </c>
      <c r="E565" t="inlineStr">
        <is>
          <t>NORRTÄLJE</t>
        </is>
      </c>
      <c r="G565" t="n">
        <v>1.7</v>
      </c>
      <c r="H565" t="n">
        <v>0</v>
      </c>
      <c r="I565" t="n">
        <v>0</v>
      </c>
      <c r="J565" t="n">
        <v>0</v>
      </c>
      <c r="K565" t="n">
        <v>0</v>
      </c>
      <c r="L565" t="n">
        <v>0</v>
      </c>
      <c r="M565" t="n">
        <v>0</v>
      </c>
      <c r="N565" t="n">
        <v>0</v>
      </c>
      <c r="O565" t="n">
        <v>0</v>
      </c>
      <c r="P565" t="n">
        <v>0</v>
      </c>
      <c r="Q565" t="n">
        <v>0</v>
      </c>
      <c r="R565" s="2" t="inlineStr"/>
    </row>
    <row r="566" ht="15" customHeight="1">
      <c r="A566" t="inlineStr">
        <is>
          <t>A 5640-2019</t>
        </is>
      </c>
      <c r="B566" s="1" t="n">
        <v>43489</v>
      </c>
      <c r="C566" s="1" t="n">
        <v>45224</v>
      </c>
      <c r="D566" t="inlineStr">
        <is>
          <t>STOCKHOLMS LÄN</t>
        </is>
      </c>
      <c r="E566" t="inlineStr">
        <is>
          <t>NORRTÄLJE</t>
        </is>
      </c>
      <c r="G566" t="n">
        <v>1.2</v>
      </c>
      <c r="H566" t="n">
        <v>0</v>
      </c>
      <c r="I566" t="n">
        <v>0</v>
      </c>
      <c r="J566" t="n">
        <v>0</v>
      </c>
      <c r="K566" t="n">
        <v>0</v>
      </c>
      <c r="L566" t="n">
        <v>0</v>
      </c>
      <c r="M566" t="n">
        <v>0</v>
      </c>
      <c r="N566" t="n">
        <v>0</v>
      </c>
      <c r="O566" t="n">
        <v>0</v>
      </c>
      <c r="P566" t="n">
        <v>0</v>
      </c>
      <c r="Q566" t="n">
        <v>0</v>
      </c>
      <c r="R566" s="2" t="inlineStr"/>
    </row>
    <row r="567" ht="15" customHeight="1">
      <c r="A567" t="inlineStr">
        <is>
          <t>A 5517-2019</t>
        </is>
      </c>
      <c r="B567" s="1" t="n">
        <v>43489</v>
      </c>
      <c r="C567" s="1" t="n">
        <v>45224</v>
      </c>
      <c r="D567" t="inlineStr">
        <is>
          <t>STOCKHOLMS LÄN</t>
        </is>
      </c>
      <c r="E567" t="inlineStr">
        <is>
          <t>NORRTÄLJE</t>
        </is>
      </c>
      <c r="G567" t="n">
        <v>3.3</v>
      </c>
      <c r="H567" t="n">
        <v>0</v>
      </c>
      <c r="I567" t="n">
        <v>0</v>
      </c>
      <c r="J567" t="n">
        <v>0</v>
      </c>
      <c r="K567" t="n">
        <v>0</v>
      </c>
      <c r="L567" t="n">
        <v>0</v>
      </c>
      <c r="M567" t="n">
        <v>0</v>
      </c>
      <c r="N567" t="n">
        <v>0</v>
      </c>
      <c r="O567" t="n">
        <v>0</v>
      </c>
      <c r="P567" t="n">
        <v>0</v>
      </c>
      <c r="Q567" t="n">
        <v>0</v>
      </c>
      <c r="R567" s="2" t="inlineStr"/>
    </row>
    <row r="568" ht="15" customHeight="1">
      <c r="A568" t="inlineStr">
        <is>
          <t>A 5548-2019</t>
        </is>
      </c>
      <c r="B568" s="1" t="n">
        <v>43489</v>
      </c>
      <c r="C568" s="1" t="n">
        <v>45224</v>
      </c>
      <c r="D568" t="inlineStr">
        <is>
          <t>STOCKHOLMS LÄN</t>
        </is>
      </c>
      <c r="E568" t="inlineStr">
        <is>
          <t>NORRTÄLJE</t>
        </is>
      </c>
      <c r="G568" t="n">
        <v>1.8</v>
      </c>
      <c r="H568" t="n">
        <v>0</v>
      </c>
      <c r="I568" t="n">
        <v>0</v>
      </c>
      <c r="J568" t="n">
        <v>0</v>
      </c>
      <c r="K568" t="n">
        <v>0</v>
      </c>
      <c r="L568" t="n">
        <v>0</v>
      </c>
      <c r="M568" t="n">
        <v>0</v>
      </c>
      <c r="N568" t="n">
        <v>0</v>
      </c>
      <c r="O568" t="n">
        <v>0</v>
      </c>
      <c r="P568" t="n">
        <v>0</v>
      </c>
      <c r="Q568" t="n">
        <v>0</v>
      </c>
      <c r="R568" s="2" t="inlineStr"/>
    </row>
    <row r="569" ht="15" customHeight="1">
      <c r="A569" t="inlineStr">
        <is>
          <t>A 5664-2019</t>
        </is>
      </c>
      <c r="B569" s="1" t="n">
        <v>43489</v>
      </c>
      <c r="C569" s="1" t="n">
        <v>45224</v>
      </c>
      <c r="D569" t="inlineStr">
        <is>
          <t>STOCKHOLMS LÄN</t>
        </is>
      </c>
      <c r="E569" t="inlineStr">
        <is>
          <t>NORRTÄLJE</t>
        </is>
      </c>
      <c r="G569" t="n">
        <v>2.2</v>
      </c>
      <c r="H569" t="n">
        <v>0</v>
      </c>
      <c r="I569" t="n">
        <v>0</v>
      </c>
      <c r="J569" t="n">
        <v>0</v>
      </c>
      <c r="K569" t="n">
        <v>0</v>
      </c>
      <c r="L569" t="n">
        <v>0</v>
      </c>
      <c r="M569" t="n">
        <v>0</v>
      </c>
      <c r="N569" t="n">
        <v>0</v>
      </c>
      <c r="O569" t="n">
        <v>0</v>
      </c>
      <c r="P569" t="n">
        <v>0</v>
      </c>
      <c r="Q569" t="n">
        <v>0</v>
      </c>
      <c r="R569" s="2" t="inlineStr"/>
    </row>
    <row r="570" ht="15" customHeight="1">
      <c r="A570" t="inlineStr">
        <is>
          <t>A 5486-2019</t>
        </is>
      </c>
      <c r="B570" s="1" t="n">
        <v>43489</v>
      </c>
      <c r="C570" s="1" t="n">
        <v>45224</v>
      </c>
      <c r="D570" t="inlineStr">
        <is>
          <t>STOCKHOLMS LÄN</t>
        </is>
      </c>
      <c r="E570" t="inlineStr">
        <is>
          <t>NORRTÄLJE</t>
        </is>
      </c>
      <c r="F570" t="inlineStr">
        <is>
          <t>Övriga Aktiebolag</t>
        </is>
      </c>
      <c r="G570" t="n">
        <v>3.9</v>
      </c>
      <c r="H570" t="n">
        <v>0</v>
      </c>
      <c r="I570" t="n">
        <v>0</v>
      </c>
      <c r="J570" t="n">
        <v>0</v>
      </c>
      <c r="K570" t="n">
        <v>0</v>
      </c>
      <c r="L570" t="n">
        <v>0</v>
      </c>
      <c r="M570" t="n">
        <v>0</v>
      </c>
      <c r="N570" t="n">
        <v>0</v>
      </c>
      <c r="O570" t="n">
        <v>0</v>
      </c>
      <c r="P570" t="n">
        <v>0</v>
      </c>
      <c r="Q570" t="n">
        <v>0</v>
      </c>
      <c r="R570" s="2" t="inlineStr"/>
    </row>
    <row r="571" ht="15" customHeight="1">
      <c r="A571" t="inlineStr">
        <is>
          <t>A 5717-2019</t>
        </is>
      </c>
      <c r="B571" s="1" t="n">
        <v>43489</v>
      </c>
      <c r="C571" s="1" t="n">
        <v>45224</v>
      </c>
      <c r="D571" t="inlineStr">
        <is>
          <t>STOCKHOLMS LÄN</t>
        </is>
      </c>
      <c r="E571" t="inlineStr">
        <is>
          <t>EKERÖ</t>
        </is>
      </c>
      <c r="F571" t="inlineStr">
        <is>
          <t>Övriga statliga verk och myndigheter</t>
        </is>
      </c>
      <c r="G571" t="n">
        <v>0.8</v>
      </c>
      <c r="H571" t="n">
        <v>0</v>
      </c>
      <c r="I571" t="n">
        <v>0</v>
      </c>
      <c r="J571" t="n">
        <v>0</v>
      </c>
      <c r="K571" t="n">
        <v>0</v>
      </c>
      <c r="L571" t="n">
        <v>0</v>
      </c>
      <c r="M571" t="n">
        <v>0</v>
      </c>
      <c r="N571" t="n">
        <v>0</v>
      </c>
      <c r="O571" t="n">
        <v>0</v>
      </c>
      <c r="P571" t="n">
        <v>0</v>
      </c>
      <c r="Q571" t="n">
        <v>0</v>
      </c>
      <c r="R571" s="2" t="inlineStr"/>
    </row>
    <row r="572" ht="15" customHeight="1">
      <c r="A572" t="inlineStr">
        <is>
          <t>A 5580-2019</t>
        </is>
      </c>
      <c r="B572" s="1" t="n">
        <v>43489</v>
      </c>
      <c r="C572" s="1" t="n">
        <v>45224</v>
      </c>
      <c r="D572" t="inlineStr">
        <is>
          <t>STOCKHOLMS LÄN</t>
        </is>
      </c>
      <c r="E572" t="inlineStr">
        <is>
          <t>NORRTÄLJE</t>
        </is>
      </c>
      <c r="G572" t="n">
        <v>1.4</v>
      </c>
      <c r="H572" t="n">
        <v>0</v>
      </c>
      <c r="I572" t="n">
        <v>0</v>
      </c>
      <c r="J572" t="n">
        <v>0</v>
      </c>
      <c r="K572" t="n">
        <v>0</v>
      </c>
      <c r="L572" t="n">
        <v>0</v>
      </c>
      <c r="M572" t="n">
        <v>0</v>
      </c>
      <c r="N572" t="n">
        <v>0</v>
      </c>
      <c r="O572" t="n">
        <v>0</v>
      </c>
      <c r="P572" t="n">
        <v>0</v>
      </c>
      <c r="Q572" t="n">
        <v>0</v>
      </c>
      <c r="R572" s="2" t="inlineStr"/>
    </row>
    <row r="573" ht="15" customHeight="1">
      <c r="A573" t="inlineStr">
        <is>
          <t>A 5919-2019</t>
        </is>
      </c>
      <c r="B573" s="1" t="n">
        <v>43490</v>
      </c>
      <c r="C573" s="1" t="n">
        <v>45224</v>
      </c>
      <c r="D573" t="inlineStr">
        <is>
          <t>STOCKHOLMS LÄN</t>
        </is>
      </c>
      <c r="E573" t="inlineStr">
        <is>
          <t>NORRTÄLJE</t>
        </is>
      </c>
      <c r="G573" t="n">
        <v>0.6</v>
      </c>
      <c r="H573" t="n">
        <v>0</v>
      </c>
      <c r="I573" t="n">
        <v>0</v>
      </c>
      <c r="J573" t="n">
        <v>0</v>
      </c>
      <c r="K573" t="n">
        <v>0</v>
      </c>
      <c r="L573" t="n">
        <v>0</v>
      </c>
      <c r="M573" t="n">
        <v>0</v>
      </c>
      <c r="N573" t="n">
        <v>0</v>
      </c>
      <c r="O573" t="n">
        <v>0</v>
      </c>
      <c r="P573" t="n">
        <v>0</v>
      </c>
      <c r="Q573" t="n">
        <v>0</v>
      </c>
      <c r="R573" s="2" t="inlineStr"/>
    </row>
    <row r="574" ht="15" customHeight="1">
      <c r="A574" t="inlineStr">
        <is>
          <t>A 5959-2019</t>
        </is>
      </c>
      <c r="B574" s="1" t="n">
        <v>43492</v>
      </c>
      <c r="C574" s="1" t="n">
        <v>45224</v>
      </c>
      <c r="D574" t="inlineStr">
        <is>
          <t>STOCKHOLMS LÄN</t>
        </is>
      </c>
      <c r="E574" t="inlineStr">
        <is>
          <t>NORRTÄLJE</t>
        </is>
      </c>
      <c r="G574" t="n">
        <v>1.6</v>
      </c>
      <c r="H574" t="n">
        <v>0</v>
      </c>
      <c r="I574" t="n">
        <v>0</v>
      </c>
      <c r="J574" t="n">
        <v>0</v>
      </c>
      <c r="K574" t="n">
        <v>0</v>
      </c>
      <c r="L574" t="n">
        <v>0</v>
      </c>
      <c r="M574" t="n">
        <v>0</v>
      </c>
      <c r="N574" t="n">
        <v>0</v>
      </c>
      <c r="O574" t="n">
        <v>0</v>
      </c>
      <c r="P574" t="n">
        <v>0</v>
      </c>
      <c r="Q574" t="n">
        <v>0</v>
      </c>
      <c r="R574" s="2" t="inlineStr"/>
    </row>
    <row r="575" ht="15" customHeight="1">
      <c r="A575" t="inlineStr">
        <is>
          <t>A 6121-2019</t>
        </is>
      </c>
      <c r="B575" s="1" t="n">
        <v>43493</v>
      </c>
      <c r="C575" s="1" t="n">
        <v>45224</v>
      </c>
      <c r="D575" t="inlineStr">
        <is>
          <t>STOCKHOLMS LÄN</t>
        </is>
      </c>
      <c r="E575" t="inlineStr">
        <is>
          <t>NORRTÄLJE</t>
        </is>
      </c>
      <c r="G575" t="n">
        <v>4.8</v>
      </c>
      <c r="H575" t="n">
        <v>0</v>
      </c>
      <c r="I575" t="n">
        <v>0</v>
      </c>
      <c r="J575" t="n">
        <v>0</v>
      </c>
      <c r="K575" t="n">
        <v>0</v>
      </c>
      <c r="L575" t="n">
        <v>0</v>
      </c>
      <c r="M575" t="n">
        <v>0</v>
      </c>
      <c r="N575" t="n">
        <v>0</v>
      </c>
      <c r="O575" t="n">
        <v>0</v>
      </c>
      <c r="P575" t="n">
        <v>0</v>
      </c>
      <c r="Q575" t="n">
        <v>0</v>
      </c>
      <c r="R575" s="2" t="inlineStr"/>
    </row>
    <row r="576" ht="15" customHeight="1">
      <c r="A576" t="inlineStr">
        <is>
          <t>A 6184-2019</t>
        </is>
      </c>
      <c r="B576" s="1" t="n">
        <v>43493</v>
      </c>
      <c r="C576" s="1" t="n">
        <v>45224</v>
      </c>
      <c r="D576" t="inlineStr">
        <is>
          <t>STOCKHOLMS LÄN</t>
        </is>
      </c>
      <c r="E576" t="inlineStr">
        <is>
          <t>NORRTÄLJE</t>
        </is>
      </c>
      <c r="F576" t="inlineStr">
        <is>
          <t>Holmen skog AB</t>
        </is>
      </c>
      <c r="G576" t="n">
        <v>1.2</v>
      </c>
      <c r="H576" t="n">
        <v>0</v>
      </c>
      <c r="I576" t="n">
        <v>0</v>
      </c>
      <c r="J576" t="n">
        <v>0</v>
      </c>
      <c r="K576" t="n">
        <v>0</v>
      </c>
      <c r="L576" t="n">
        <v>0</v>
      </c>
      <c r="M576" t="n">
        <v>0</v>
      </c>
      <c r="N576" t="n">
        <v>0</v>
      </c>
      <c r="O576" t="n">
        <v>0</v>
      </c>
      <c r="P576" t="n">
        <v>0</v>
      </c>
      <c r="Q576" t="n">
        <v>0</v>
      </c>
      <c r="R576" s="2" t="inlineStr"/>
    </row>
    <row r="577" ht="15" customHeight="1">
      <c r="A577" t="inlineStr">
        <is>
          <t>A 6170-2019</t>
        </is>
      </c>
      <c r="B577" s="1" t="n">
        <v>43493</v>
      </c>
      <c r="C577" s="1" t="n">
        <v>45224</v>
      </c>
      <c r="D577" t="inlineStr">
        <is>
          <t>STOCKHOLMS LÄN</t>
        </is>
      </c>
      <c r="E577" t="inlineStr">
        <is>
          <t>NORRTÄLJE</t>
        </is>
      </c>
      <c r="G577" t="n">
        <v>2.4</v>
      </c>
      <c r="H577" t="n">
        <v>0</v>
      </c>
      <c r="I577" t="n">
        <v>0</v>
      </c>
      <c r="J577" t="n">
        <v>0</v>
      </c>
      <c r="K577" t="n">
        <v>0</v>
      </c>
      <c r="L577" t="n">
        <v>0</v>
      </c>
      <c r="M577" t="n">
        <v>0</v>
      </c>
      <c r="N577" t="n">
        <v>0</v>
      </c>
      <c r="O577" t="n">
        <v>0</v>
      </c>
      <c r="P577" t="n">
        <v>0</v>
      </c>
      <c r="Q577" t="n">
        <v>0</v>
      </c>
      <c r="R577" s="2" t="inlineStr"/>
    </row>
    <row r="578" ht="15" customHeight="1">
      <c r="A578" t="inlineStr">
        <is>
          <t>A 6187-2019</t>
        </is>
      </c>
      <c r="B578" s="1" t="n">
        <v>43493</v>
      </c>
      <c r="C578" s="1" t="n">
        <v>45224</v>
      </c>
      <c r="D578" t="inlineStr">
        <is>
          <t>STOCKHOLMS LÄN</t>
        </is>
      </c>
      <c r="E578" t="inlineStr">
        <is>
          <t>NORRTÄLJE</t>
        </is>
      </c>
      <c r="G578" t="n">
        <v>1.5</v>
      </c>
      <c r="H578" t="n">
        <v>0</v>
      </c>
      <c r="I578" t="n">
        <v>0</v>
      </c>
      <c r="J578" t="n">
        <v>0</v>
      </c>
      <c r="K578" t="n">
        <v>0</v>
      </c>
      <c r="L578" t="n">
        <v>0</v>
      </c>
      <c r="M578" t="n">
        <v>0</v>
      </c>
      <c r="N578" t="n">
        <v>0</v>
      </c>
      <c r="O578" t="n">
        <v>0</v>
      </c>
      <c r="P578" t="n">
        <v>0</v>
      </c>
      <c r="Q578" t="n">
        <v>0</v>
      </c>
      <c r="R578" s="2" t="inlineStr"/>
    </row>
    <row r="579" ht="15" customHeight="1">
      <c r="A579" t="inlineStr">
        <is>
          <t>A 6222-2019</t>
        </is>
      </c>
      <c r="B579" s="1" t="n">
        <v>43493</v>
      </c>
      <c r="C579" s="1" t="n">
        <v>45224</v>
      </c>
      <c r="D579" t="inlineStr">
        <is>
          <t>STOCKHOLMS LÄN</t>
        </is>
      </c>
      <c r="E579" t="inlineStr">
        <is>
          <t>VALLENTUNA</t>
        </is>
      </c>
      <c r="G579" t="n">
        <v>1.9</v>
      </c>
      <c r="H579" t="n">
        <v>0</v>
      </c>
      <c r="I579" t="n">
        <v>0</v>
      </c>
      <c r="J579" t="n">
        <v>0</v>
      </c>
      <c r="K579" t="n">
        <v>0</v>
      </c>
      <c r="L579" t="n">
        <v>0</v>
      </c>
      <c r="M579" t="n">
        <v>0</v>
      </c>
      <c r="N579" t="n">
        <v>0</v>
      </c>
      <c r="O579" t="n">
        <v>0</v>
      </c>
      <c r="P579" t="n">
        <v>0</v>
      </c>
      <c r="Q579" t="n">
        <v>0</v>
      </c>
      <c r="R579" s="2" t="inlineStr"/>
    </row>
    <row r="580" ht="15" customHeight="1">
      <c r="A580" t="inlineStr">
        <is>
          <t>A 6530-2019</t>
        </is>
      </c>
      <c r="B580" s="1" t="n">
        <v>43494</v>
      </c>
      <c r="C580" s="1" t="n">
        <v>45224</v>
      </c>
      <c r="D580" t="inlineStr">
        <is>
          <t>STOCKHOLMS LÄN</t>
        </is>
      </c>
      <c r="E580" t="inlineStr">
        <is>
          <t>NORRTÄLJE</t>
        </is>
      </c>
      <c r="G580" t="n">
        <v>0.6</v>
      </c>
      <c r="H580" t="n">
        <v>0</v>
      </c>
      <c r="I580" t="n">
        <v>0</v>
      </c>
      <c r="J580" t="n">
        <v>0</v>
      </c>
      <c r="K580" t="n">
        <v>0</v>
      </c>
      <c r="L580" t="n">
        <v>0</v>
      </c>
      <c r="M580" t="n">
        <v>0</v>
      </c>
      <c r="N580" t="n">
        <v>0</v>
      </c>
      <c r="O580" t="n">
        <v>0</v>
      </c>
      <c r="P580" t="n">
        <v>0</v>
      </c>
      <c r="Q580" t="n">
        <v>0</v>
      </c>
      <c r="R580" s="2" t="inlineStr"/>
    </row>
    <row r="581" ht="15" customHeight="1">
      <c r="A581" t="inlineStr">
        <is>
          <t>A 6671-2019</t>
        </is>
      </c>
      <c r="B581" s="1" t="n">
        <v>43494</v>
      </c>
      <c r="C581" s="1" t="n">
        <v>45224</v>
      </c>
      <c r="D581" t="inlineStr">
        <is>
          <t>STOCKHOLMS LÄN</t>
        </is>
      </c>
      <c r="E581" t="inlineStr">
        <is>
          <t>VAXHOLM</t>
        </is>
      </c>
      <c r="F581" t="inlineStr">
        <is>
          <t>Övriga statliga verk och myndigheter</t>
        </is>
      </c>
      <c r="G581" t="n">
        <v>0.8</v>
      </c>
      <c r="H581" t="n">
        <v>0</v>
      </c>
      <c r="I581" t="n">
        <v>0</v>
      </c>
      <c r="J581" t="n">
        <v>0</v>
      </c>
      <c r="K581" t="n">
        <v>0</v>
      </c>
      <c r="L581" t="n">
        <v>0</v>
      </c>
      <c r="M581" t="n">
        <v>0</v>
      </c>
      <c r="N581" t="n">
        <v>0</v>
      </c>
      <c r="O581" t="n">
        <v>0</v>
      </c>
      <c r="P581" t="n">
        <v>0</v>
      </c>
      <c r="Q581" t="n">
        <v>0</v>
      </c>
      <c r="R581" s="2" t="inlineStr"/>
    </row>
    <row r="582" ht="15" customHeight="1">
      <c r="A582" t="inlineStr">
        <is>
          <t>A 6740-2019</t>
        </is>
      </c>
      <c r="B582" s="1" t="n">
        <v>43494</v>
      </c>
      <c r="C582" s="1" t="n">
        <v>45224</v>
      </c>
      <c r="D582" t="inlineStr">
        <is>
          <t>STOCKHOLMS LÄN</t>
        </is>
      </c>
      <c r="E582" t="inlineStr">
        <is>
          <t>NORRTÄLJE</t>
        </is>
      </c>
      <c r="G582" t="n">
        <v>4.9</v>
      </c>
      <c r="H582" t="n">
        <v>0</v>
      </c>
      <c r="I582" t="n">
        <v>0</v>
      </c>
      <c r="J582" t="n">
        <v>0</v>
      </c>
      <c r="K582" t="n">
        <v>0</v>
      </c>
      <c r="L582" t="n">
        <v>0</v>
      </c>
      <c r="M582" t="n">
        <v>0</v>
      </c>
      <c r="N582" t="n">
        <v>0</v>
      </c>
      <c r="O582" t="n">
        <v>0</v>
      </c>
      <c r="P582" t="n">
        <v>0</v>
      </c>
      <c r="Q582" t="n">
        <v>0</v>
      </c>
      <c r="R582" s="2" t="inlineStr"/>
    </row>
    <row r="583" ht="15" customHeight="1">
      <c r="A583" t="inlineStr">
        <is>
          <t>A 6563-2019</t>
        </is>
      </c>
      <c r="B583" s="1" t="n">
        <v>43494</v>
      </c>
      <c r="C583" s="1" t="n">
        <v>45224</v>
      </c>
      <c r="D583" t="inlineStr">
        <is>
          <t>STOCKHOLMS LÄN</t>
        </is>
      </c>
      <c r="E583" t="inlineStr">
        <is>
          <t>NORRTÄLJE</t>
        </is>
      </c>
      <c r="G583" t="n">
        <v>0.4</v>
      </c>
      <c r="H583" t="n">
        <v>0</v>
      </c>
      <c r="I583" t="n">
        <v>0</v>
      </c>
      <c r="J583" t="n">
        <v>0</v>
      </c>
      <c r="K583" t="n">
        <v>0</v>
      </c>
      <c r="L583" t="n">
        <v>0</v>
      </c>
      <c r="M583" t="n">
        <v>0</v>
      </c>
      <c r="N583" t="n">
        <v>0</v>
      </c>
      <c r="O583" t="n">
        <v>0</v>
      </c>
      <c r="P583" t="n">
        <v>0</v>
      </c>
      <c r="Q583" t="n">
        <v>0</v>
      </c>
      <c r="R583" s="2" t="inlineStr"/>
    </row>
    <row r="584" ht="15" customHeight="1">
      <c r="A584" t="inlineStr">
        <is>
          <t>A 6545-2019</t>
        </is>
      </c>
      <c r="B584" s="1" t="n">
        <v>43494</v>
      </c>
      <c r="C584" s="1" t="n">
        <v>45224</v>
      </c>
      <c r="D584" t="inlineStr">
        <is>
          <t>STOCKHOLMS LÄN</t>
        </is>
      </c>
      <c r="E584" t="inlineStr">
        <is>
          <t>NORRTÄLJE</t>
        </is>
      </c>
      <c r="G584" t="n">
        <v>2.1</v>
      </c>
      <c r="H584" t="n">
        <v>0</v>
      </c>
      <c r="I584" t="n">
        <v>0</v>
      </c>
      <c r="J584" t="n">
        <v>0</v>
      </c>
      <c r="K584" t="n">
        <v>0</v>
      </c>
      <c r="L584" t="n">
        <v>0</v>
      </c>
      <c r="M584" t="n">
        <v>0</v>
      </c>
      <c r="N584" t="n">
        <v>0</v>
      </c>
      <c r="O584" t="n">
        <v>0</v>
      </c>
      <c r="P584" t="n">
        <v>0</v>
      </c>
      <c r="Q584" t="n">
        <v>0</v>
      </c>
      <c r="R584" s="2" t="inlineStr"/>
    </row>
    <row r="585" ht="15" customHeight="1">
      <c r="A585" t="inlineStr">
        <is>
          <t>A 6560-2019</t>
        </is>
      </c>
      <c r="B585" s="1" t="n">
        <v>43494</v>
      </c>
      <c r="C585" s="1" t="n">
        <v>45224</v>
      </c>
      <c r="D585" t="inlineStr">
        <is>
          <t>STOCKHOLMS LÄN</t>
        </is>
      </c>
      <c r="E585" t="inlineStr">
        <is>
          <t>NORRTÄLJE</t>
        </is>
      </c>
      <c r="G585" t="n">
        <v>0.7</v>
      </c>
      <c r="H585" t="n">
        <v>0</v>
      </c>
      <c r="I585" t="n">
        <v>0</v>
      </c>
      <c r="J585" t="n">
        <v>0</v>
      </c>
      <c r="K585" t="n">
        <v>0</v>
      </c>
      <c r="L585" t="n">
        <v>0</v>
      </c>
      <c r="M585" t="n">
        <v>0</v>
      </c>
      <c r="N585" t="n">
        <v>0</v>
      </c>
      <c r="O585" t="n">
        <v>0</v>
      </c>
      <c r="P585" t="n">
        <v>0</v>
      </c>
      <c r="Q585" t="n">
        <v>0</v>
      </c>
      <c r="R585" s="2" t="inlineStr"/>
    </row>
    <row r="586" ht="15" customHeight="1">
      <c r="A586" t="inlineStr">
        <is>
          <t>A 6496-2019</t>
        </is>
      </c>
      <c r="B586" s="1" t="n">
        <v>43494</v>
      </c>
      <c r="C586" s="1" t="n">
        <v>45224</v>
      </c>
      <c r="D586" t="inlineStr">
        <is>
          <t>STOCKHOLMS LÄN</t>
        </is>
      </c>
      <c r="E586" t="inlineStr">
        <is>
          <t>NORRTÄLJE</t>
        </is>
      </c>
      <c r="G586" t="n">
        <v>0.6</v>
      </c>
      <c r="H586" t="n">
        <v>0</v>
      </c>
      <c r="I586" t="n">
        <v>0</v>
      </c>
      <c r="J586" t="n">
        <v>0</v>
      </c>
      <c r="K586" t="n">
        <v>0</v>
      </c>
      <c r="L586" t="n">
        <v>0</v>
      </c>
      <c r="M586" t="n">
        <v>0</v>
      </c>
      <c r="N586" t="n">
        <v>0</v>
      </c>
      <c r="O586" t="n">
        <v>0</v>
      </c>
      <c r="P586" t="n">
        <v>0</v>
      </c>
      <c r="Q586" t="n">
        <v>0</v>
      </c>
      <c r="R586" s="2" t="inlineStr"/>
    </row>
    <row r="587" ht="15" customHeight="1">
      <c r="A587" t="inlineStr">
        <is>
          <t>A 6672-2019</t>
        </is>
      </c>
      <c r="B587" s="1" t="n">
        <v>43494</v>
      </c>
      <c r="C587" s="1" t="n">
        <v>45224</v>
      </c>
      <c r="D587" t="inlineStr">
        <is>
          <t>STOCKHOLMS LÄN</t>
        </is>
      </c>
      <c r="E587" t="inlineStr">
        <is>
          <t>VAXHOLM</t>
        </is>
      </c>
      <c r="F587" t="inlineStr">
        <is>
          <t>Övriga statliga verk och myndigheter</t>
        </is>
      </c>
      <c r="G587" t="n">
        <v>2.1</v>
      </c>
      <c r="H587" t="n">
        <v>0</v>
      </c>
      <c r="I587" t="n">
        <v>0</v>
      </c>
      <c r="J587" t="n">
        <v>0</v>
      </c>
      <c r="K587" t="n">
        <v>0</v>
      </c>
      <c r="L587" t="n">
        <v>0</v>
      </c>
      <c r="M587" t="n">
        <v>0</v>
      </c>
      <c r="N587" t="n">
        <v>0</v>
      </c>
      <c r="O587" t="n">
        <v>0</v>
      </c>
      <c r="P587" t="n">
        <v>0</v>
      </c>
      <c r="Q587" t="n">
        <v>0</v>
      </c>
      <c r="R587" s="2" t="inlineStr"/>
    </row>
    <row r="588" ht="15" customHeight="1">
      <c r="A588" t="inlineStr">
        <is>
          <t>A 6921-2019</t>
        </is>
      </c>
      <c r="B588" s="1" t="n">
        <v>43495</v>
      </c>
      <c r="C588" s="1" t="n">
        <v>45224</v>
      </c>
      <c r="D588" t="inlineStr">
        <is>
          <t>STOCKHOLMS LÄN</t>
        </is>
      </c>
      <c r="E588" t="inlineStr">
        <is>
          <t>NORRTÄLJE</t>
        </is>
      </c>
      <c r="G588" t="n">
        <v>5.8</v>
      </c>
      <c r="H588" t="n">
        <v>0</v>
      </c>
      <c r="I588" t="n">
        <v>0</v>
      </c>
      <c r="J588" t="n">
        <v>0</v>
      </c>
      <c r="K588" t="n">
        <v>0</v>
      </c>
      <c r="L588" t="n">
        <v>0</v>
      </c>
      <c r="M588" t="n">
        <v>0</v>
      </c>
      <c r="N588" t="n">
        <v>0</v>
      </c>
      <c r="O588" t="n">
        <v>0</v>
      </c>
      <c r="P588" t="n">
        <v>0</v>
      </c>
      <c r="Q588" t="n">
        <v>0</v>
      </c>
      <c r="R588" s="2" t="inlineStr"/>
    </row>
    <row r="589" ht="15" customHeight="1">
      <c r="A589" t="inlineStr">
        <is>
          <t>A 6985-2019</t>
        </is>
      </c>
      <c r="B589" s="1" t="n">
        <v>43495</v>
      </c>
      <c r="C589" s="1" t="n">
        <v>45224</v>
      </c>
      <c r="D589" t="inlineStr">
        <is>
          <t>STOCKHOLMS LÄN</t>
        </is>
      </c>
      <c r="E589" t="inlineStr">
        <is>
          <t>NORRTÄLJE</t>
        </is>
      </c>
      <c r="G589" t="n">
        <v>75.09999999999999</v>
      </c>
      <c r="H589" t="n">
        <v>0</v>
      </c>
      <c r="I589" t="n">
        <v>0</v>
      </c>
      <c r="J589" t="n">
        <v>0</v>
      </c>
      <c r="K589" t="n">
        <v>0</v>
      </c>
      <c r="L589" t="n">
        <v>0</v>
      </c>
      <c r="M589" t="n">
        <v>0</v>
      </c>
      <c r="N589" t="n">
        <v>0</v>
      </c>
      <c r="O589" t="n">
        <v>0</v>
      </c>
      <c r="P589" t="n">
        <v>0</v>
      </c>
      <c r="Q589" t="n">
        <v>0</v>
      </c>
      <c r="R589" s="2" t="inlineStr"/>
    </row>
    <row r="590" ht="15" customHeight="1">
      <c r="A590" t="inlineStr">
        <is>
          <t>A 7003-2019</t>
        </is>
      </c>
      <c r="B590" s="1" t="n">
        <v>43495</v>
      </c>
      <c r="C590" s="1" t="n">
        <v>45224</v>
      </c>
      <c r="D590" t="inlineStr">
        <is>
          <t>STOCKHOLMS LÄN</t>
        </is>
      </c>
      <c r="E590" t="inlineStr">
        <is>
          <t>NORRTÄLJE</t>
        </is>
      </c>
      <c r="G590" t="n">
        <v>3</v>
      </c>
      <c r="H590" t="n">
        <v>0</v>
      </c>
      <c r="I590" t="n">
        <v>0</v>
      </c>
      <c r="J590" t="n">
        <v>0</v>
      </c>
      <c r="K590" t="n">
        <v>0</v>
      </c>
      <c r="L590" t="n">
        <v>0</v>
      </c>
      <c r="M590" t="n">
        <v>0</v>
      </c>
      <c r="N590" t="n">
        <v>0</v>
      </c>
      <c r="O590" t="n">
        <v>0</v>
      </c>
      <c r="P590" t="n">
        <v>0</v>
      </c>
      <c r="Q590" t="n">
        <v>0</v>
      </c>
      <c r="R590" s="2" t="inlineStr"/>
    </row>
    <row r="591" ht="15" customHeight="1">
      <c r="A591" t="inlineStr">
        <is>
          <t>A 7040-2019</t>
        </is>
      </c>
      <c r="B591" s="1" t="n">
        <v>43495</v>
      </c>
      <c r="C591" s="1" t="n">
        <v>45224</v>
      </c>
      <c r="D591" t="inlineStr">
        <is>
          <t>STOCKHOLMS LÄN</t>
        </is>
      </c>
      <c r="E591" t="inlineStr">
        <is>
          <t>NORRTÄLJE</t>
        </is>
      </c>
      <c r="G591" t="n">
        <v>0.7</v>
      </c>
      <c r="H591" t="n">
        <v>0</v>
      </c>
      <c r="I591" t="n">
        <v>0</v>
      </c>
      <c r="J591" t="n">
        <v>0</v>
      </c>
      <c r="K591" t="n">
        <v>0</v>
      </c>
      <c r="L591" t="n">
        <v>0</v>
      </c>
      <c r="M591" t="n">
        <v>0</v>
      </c>
      <c r="N591" t="n">
        <v>0</v>
      </c>
      <c r="O591" t="n">
        <v>0</v>
      </c>
      <c r="P591" t="n">
        <v>0</v>
      </c>
      <c r="Q591" t="n">
        <v>0</v>
      </c>
      <c r="R591" s="2" t="inlineStr"/>
    </row>
    <row r="592" ht="15" customHeight="1">
      <c r="A592" t="inlineStr">
        <is>
          <t>A 7015-2019</t>
        </is>
      </c>
      <c r="B592" s="1" t="n">
        <v>43495</v>
      </c>
      <c r="C592" s="1" t="n">
        <v>45224</v>
      </c>
      <c r="D592" t="inlineStr">
        <is>
          <t>STOCKHOLMS LÄN</t>
        </is>
      </c>
      <c r="E592" t="inlineStr">
        <is>
          <t>NORRTÄLJE</t>
        </is>
      </c>
      <c r="G592" t="n">
        <v>1</v>
      </c>
      <c r="H592" t="n">
        <v>0</v>
      </c>
      <c r="I592" t="n">
        <v>0</v>
      </c>
      <c r="J592" t="n">
        <v>0</v>
      </c>
      <c r="K592" t="n">
        <v>0</v>
      </c>
      <c r="L592" t="n">
        <v>0</v>
      </c>
      <c r="M592" t="n">
        <v>0</v>
      </c>
      <c r="N592" t="n">
        <v>0</v>
      </c>
      <c r="O592" t="n">
        <v>0</v>
      </c>
      <c r="P592" t="n">
        <v>0</v>
      </c>
      <c r="Q592" t="n">
        <v>0</v>
      </c>
      <c r="R592" s="2" t="inlineStr"/>
    </row>
    <row r="593" ht="15" customHeight="1">
      <c r="A593" t="inlineStr">
        <is>
          <t>A 7041-2019</t>
        </is>
      </c>
      <c r="B593" s="1" t="n">
        <v>43495</v>
      </c>
      <c r="C593" s="1" t="n">
        <v>45224</v>
      </c>
      <c r="D593" t="inlineStr">
        <is>
          <t>STOCKHOLMS LÄN</t>
        </is>
      </c>
      <c r="E593" t="inlineStr">
        <is>
          <t>NORRTÄLJE</t>
        </is>
      </c>
      <c r="G593" t="n">
        <v>1.3</v>
      </c>
      <c r="H593" t="n">
        <v>0</v>
      </c>
      <c r="I593" t="n">
        <v>0</v>
      </c>
      <c r="J593" t="n">
        <v>0</v>
      </c>
      <c r="K593" t="n">
        <v>0</v>
      </c>
      <c r="L593" t="n">
        <v>0</v>
      </c>
      <c r="M593" t="n">
        <v>0</v>
      </c>
      <c r="N593" t="n">
        <v>0</v>
      </c>
      <c r="O593" t="n">
        <v>0</v>
      </c>
      <c r="P593" t="n">
        <v>0</v>
      </c>
      <c r="Q593" t="n">
        <v>0</v>
      </c>
      <c r="R593" s="2" t="inlineStr"/>
    </row>
    <row r="594" ht="15" customHeight="1">
      <c r="A594" t="inlineStr">
        <is>
          <t>A 7090-2019</t>
        </is>
      </c>
      <c r="B594" s="1" t="n">
        <v>43495</v>
      </c>
      <c r="C594" s="1" t="n">
        <v>45224</v>
      </c>
      <c r="D594" t="inlineStr">
        <is>
          <t>STOCKHOLMS LÄN</t>
        </is>
      </c>
      <c r="E594" t="inlineStr">
        <is>
          <t>NORRTÄLJE</t>
        </is>
      </c>
      <c r="G594" t="n">
        <v>1.1</v>
      </c>
      <c r="H594" t="n">
        <v>0</v>
      </c>
      <c r="I594" t="n">
        <v>0</v>
      </c>
      <c r="J594" t="n">
        <v>0</v>
      </c>
      <c r="K594" t="n">
        <v>0</v>
      </c>
      <c r="L594" t="n">
        <v>0</v>
      </c>
      <c r="M594" t="n">
        <v>0</v>
      </c>
      <c r="N594" t="n">
        <v>0</v>
      </c>
      <c r="O594" t="n">
        <v>0</v>
      </c>
      <c r="P594" t="n">
        <v>0</v>
      </c>
      <c r="Q594" t="n">
        <v>0</v>
      </c>
      <c r="R594" s="2" t="inlineStr"/>
    </row>
    <row r="595" ht="15" customHeight="1">
      <c r="A595" t="inlineStr">
        <is>
          <t>A 8087-2019</t>
        </is>
      </c>
      <c r="B595" s="1" t="n">
        <v>43495</v>
      </c>
      <c r="C595" s="1" t="n">
        <v>45224</v>
      </c>
      <c r="D595" t="inlineStr">
        <is>
          <t>STOCKHOLMS LÄN</t>
        </is>
      </c>
      <c r="E595" t="inlineStr">
        <is>
          <t>HANINGE</t>
        </is>
      </c>
      <c r="G595" t="n">
        <v>1.8</v>
      </c>
      <c r="H595" t="n">
        <v>0</v>
      </c>
      <c r="I595" t="n">
        <v>0</v>
      </c>
      <c r="J595" t="n">
        <v>0</v>
      </c>
      <c r="K595" t="n">
        <v>0</v>
      </c>
      <c r="L595" t="n">
        <v>0</v>
      </c>
      <c r="M595" t="n">
        <v>0</v>
      </c>
      <c r="N595" t="n">
        <v>0</v>
      </c>
      <c r="O595" t="n">
        <v>0</v>
      </c>
      <c r="P595" t="n">
        <v>0</v>
      </c>
      <c r="Q595" t="n">
        <v>0</v>
      </c>
      <c r="R595" s="2" t="inlineStr"/>
    </row>
    <row r="596" ht="15" customHeight="1">
      <c r="A596" t="inlineStr">
        <is>
          <t>A 6970-2019</t>
        </is>
      </c>
      <c r="B596" s="1" t="n">
        <v>43495</v>
      </c>
      <c r="C596" s="1" t="n">
        <v>45224</v>
      </c>
      <c r="D596" t="inlineStr">
        <is>
          <t>STOCKHOLMS LÄN</t>
        </is>
      </c>
      <c r="E596" t="inlineStr">
        <is>
          <t>NORRTÄLJE</t>
        </is>
      </c>
      <c r="G596" t="n">
        <v>0.8</v>
      </c>
      <c r="H596" t="n">
        <v>0</v>
      </c>
      <c r="I596" t="n">
        <v>0</v>
      </c>
      <c r="J596" t="n">
        <v>0</v>
      </c>
      <c r="K596" t="n">
        <v>0</v>
      </c>
      <c r="L596" t="n">
        <v>0</v>
      </c>
      <c r="M596" t="n">
        <v>0</v>
      </c>
      <c r="N596" t="n">
        <v>0</v>
      </c>
      <c r="O596" t="n">
        <v>0</v>
      </c>
      <c r="P596" t="n">
        <v>0</v>
      </c>
      <c r="Q596" t="n">
        <v>0</v>
      </c>
      <c r="R596" s="2" t="inlineStr"/>
    </row>
    <row r="597" ht="15" customHeight="1">
      <c r="A597" t="inlineStr">
        <is>
          <t>A 7255-2019</t>
        </is>
      </c>
      <c r="B597" s="1" t="n">
        <v>43496</v>
      </c>
      <c r="C597" s="1" t="n">
        <v>45224</v>
      </c>
      <c r="D597" t="inlineStr">
        <is>
          <t>STOCKHOLMS LÄN</t>
        </is>
      </c>
      <c r="E597" t="inlineStr">
        <is>
          <t>NORRTÄLJE</t>
        </is>
      </c>
      <c r="G597" t="n">
        <v>1.8</v>
      </c>
      <c r="H597" t="n">
        <v>0</v>
      </c>
      <c r="I597" t="n">
        <v>0</v>
      </c>
      <c r="J597" t="n">
        <v>0</v>
      </c>
      <c r="K597" t="n">
        <v>0</v>
      </c>
      <c r="L597" t="n">
        <v>0</v>
      </c>
      <c r="M597" t="n">
        <v>0</v>
      </c>
      <c r="N597" t="n">
        <v>0</v>
      </c>
      <c r="O597" t="n">
        <v>0</v>
      </c>
      <c r="P597" t="n">
        <v>0</v>
      </c>
      <c r="Q597" t="n">
        <v>0</v>
      </c>
      <c r="R597" s="2" t="inlineStr"/>
    </row>
    <row r="598" ht="15" customHeight="1">
      <c r="A598" t="inlineStr">
        <is>
          <t>A 7343-2019</t>
        </is>
      </c>
      <c r="B598" s="1" t="n">
        <v>43496</v>
      </c>
      <c r="C598" s="1" t="n">
        <v>45224</v>
      </c>
      <c r="D598" t="inlineStr">
        <is>
          <t>STOCKHOLMS LÄN</t>
        </is>
      </c>
      <c r="E598" t="inlineStr">
        <is>
          <t>NORRTÄLJE</t>
        </is>
      </c>
      <c r="G598" t="n">
        <v>1.4</v>
      </c>
      <c r="H598" t="n">
        <v>0</v>
      </c>
      <c r="I598" t="n">
        <v>0</v>
      </c>
      <c r="J598" t="n">
        <v>0</v>
      </c>
      <c r="K598" t="n">
        <v>0</v>
      </c>
      <c r="L598" t="n">
        <v>0</v>
      </c>
      <c r="M598" t="n">
        <v>0</v>
      </c>
      <c r="N598" t="n">
        <v>0</v>
      </c>
      <c r="O598" t="n">
        <v>0</v>
      </c>
      <c r="P598" t="n">
        <v>0</v>
      </c>
      <c r="Q598" t="n">
        <v>0</v>
      </c>
      <c r="R598" s="2" t="inlineStr"/>
    </row>
    <row r="599" ht="15" customHeight="1">
      <c r="A599" t="inlineStr">
        <is>
          <t>A 7174-2019</t>
        </is>
      </c>
      <c r="B599" s="1" t="n">
        <v>43496</v>
      </c>
      <c r="C599" s="1" t="n">
        <v>45224</v>
      </c>
      <c r="D599" t="inlineStr">
        <is>
          <t>STOCKHOLMS LÄN</t>
        </is>
      </c>
      <c r="E599" t="inlineStr">
        <is>
          <t>NORRTÄLJE</t>
        </is>
      </c>
      <c r="G599" t="n">
        <v>1.9</v>
      </c>
      <c r="H599" t="n">
        <v>0</v>
      </c>
      <c r="I599" t="n">
        <v>0</v>
      </c>
      <c r="J599" t="n">
        <v>0</v>
      </c>
      <c r="K599" t="n">
        <v>0</v>
      </c>
      <c r="L599" t="n">
        <v>0</v>
      </c>
      <c r="M599" t="n">
        <v>0</v>
      </c>
      <c r="N599" t="n">
        <v>0</v>
      </c>
      <c r="O599" t="n">
        <v>0</v>
      </c>
      <c r="P599" t="n">
        <v>0</v>
      </c>
      <c r="Q599" t="n">
        <v>0</v>
      </c>
      <c r="R599" s="2" t="inlineStr"/>
    </row>
    <row r="600" ht="15" customHeight="1">
      <c r="A600" t="inlineStr">
        <is>
          <t>A 7285-2019</t>
        </is>
      </c>
      <c r="B600" s="1" t="n">
        <v>43496</v>
      </c>
      <c r="C600" s="1" t="n">
        <v>45224</v>
      </c>
      <c r="D600" t="inlineStr">
        <is>
          <t>STOCKHOLMS LÄN</t>
        </is>
      </c>
      <c r="E600" t="inlineStr">
        <is>
          <t>NORRTÄLJE</t>
        </is>
      </c>
      <c r="G600" t="n">
        <v>7.8</v>
      </c>
      <c r="H600" t="n">
        <v>0</v>
      </c>
      <c r="I600" t="n">
        <v>0</v>
      </c>
      <c r="J600" t="n">
        <v>0</v>
      </c>
      <c r="K600" t="n">
        <v>0</v>
      </c>
      <c r="L600" t="n">
        <v>0</v>
      </c>
      <c r="M600" t="n">
        <v>0</v>
      </c>
      <c r="N600" t="n">
        <v>0</v>
      </c>
      <c r="O600" t="n">
        <v>0</v>
      </c>
      <c r="P600" t="n">
        <v>0</v>
      </c>
      <c r="Q600" t="n">
        <v>0</v>
      </c>
      <c r="R600" s="2" t="inlineStr"/>
    </row>
    <row r="601" ht="15" customHeight="1">
      <c r="A601" t="inlineStr">
        <is>
          <t>A 7117-2019</t>
        </is>
      </c>
      <c r="B601" s="1" t="n">
        <v>43496</v>
      </c>
      <c r="C601" s="1" t="n">
        <v>45224</v>
      </c>
      <c r="D601" t="inlineStr">
        <is>
          <t>STOCKHOLMS LÄN</t>
        </is>
      </c>
      <c r="E601" t="inlineStr">
        <is>
          <t>NORRTÄLJE</t>
        </is>
      </c>
      <c r="F601" t="inlineStr">
        <is>
          <t>Holmen skog AB</t>
        </is>
      </c>
      <c r="G601" t="n">
        <v>1.5</v>
      </c>
      <c r="H601" t="n">
        <v>0</v>
      </c>
      <c r="I601" t="n">
        <v>0</v>
      </c>
      <c r="J601" t="n">
        <v>0</v>
      </c>
      <c r="K601" t="n">
        <v>0</v>
      </c>
      <c r="L601" t="n">
        <v>0</v>
      </c>
      <c r="M601" t="n">
        <v>0</v>
      </c>
      <c r="N601" t="n">
        <v>0</v>
      </c>
      <c r="O601" t="n">
        <v>0</v>
      </c>
      <c r="P601" t="n">
        <v>0</v>
      </c>
      <c r="Q601" t="n">
        <v>0</v>
      </c>
      <c r="R601" s="2" t="inlineStr"/>
    </row>
    <row r="602" ht="15" customHeight="1">
      <c r="A602" t="inlineStr">
        <is>
          <t>A 7170-2019</t>
        </is>
      </c>
      <c r="B602" s="1" t="n">
        <v>43496</v>
      </c>
      <c r="C602" s="1" t="n">
        <v>45224</v>
      </c>
      <c r="D602" t="inlineStr">
        <is>
          <t>STOCKHOLMS LÄN</t>
        </is>
      </c>
      <c r="E602" t="inlineStr">
        <is>
          <t>NORRTÄLJE</t>
        </is>
      </c>
      <c r="F602" t="inlineStr">
        <is>
          <t>Holmen skog AB</t>
        </is>
      </c>
      <c r="G602" t="n">
        <v>14.6</v>
      </c>
      <c r="H602" t="n">
        <v>0</v>
      </c>
      <c r="I602" t="n">
        <v>0</v>
      </c>
      <c r="J602" t="n">
        <v>0</v>
      </c>
      <c r="K602" t="n">
        <v>0</v>
      </c>
      <c r="L602" t="n">
        <v>0</v>
      </c>
      <c r="M602" t="n">
        <v>0</v>
      </c>
      <c r="N602" t="n">
        <v>0</v>
      </c>
      <c r="O602" t="n">
        <v>0</v>
      </c>
      <c r="P602" t="n">
        <v>0</v>
      </c>
      <c r="Q602" t="n">
        <v>0</v>
      </c>
      <c r="R602" s="2" t="inlineStr"/>
    </row>
    <row r="603" ht="15" customHeight="1">
      <c r="A603" t="inlineStr">
        <is>
          <t>A 7176-2019</t>
        </is>
      </c>
      <c r="B603" s="1" t="n">
        <v>43496</v>
      </c>
      <c r="C603" s="1" t="n">
        <v>45224</v>
      </c>
      <c r="D603" t="inlineStr">
        <is>
          <t>STOCKHOLMS LÄN</t>
        </is>
      </c>
      <c r="E603" t="inlineStr">
        <is>
          <t>NORRTÄLJE</t>
        </is>
      </c>
      <c r="G603" t="n">
        <v>2</v>
      </c>
      <c r="H603" t="n">
        <v>0</v>
      </c>
      <c r="I603" t="n">
        <v>0</v>
      </c>
      <c r="J603" t="n">
        <v>0</v>
      </c>
      <c r="K603" t="n">
        <v>0</v>
      </c>
      <c r="L603" t="n">
        <v>0</v>
      </c>
      <c r="M603" t="n">
        <v>0</v>
      </c>
      <c r="N603" t="n">
        <v>0</v>
      </c>
      <c r="O603" t="n">
        <v>0</v>
      </c>
      <c r="P603" t="n">
        <v>0</v>
      </c>
      <c r="Q603" t="n">
        <v>0</v>
      </c>
      <c r="R603" s="2" t="inlineStr"/>
    </row>
    <row r="604" ht="15" customHeight="1">
      <c r="A604" t="inlineStr">
        <is>
          <t>A 7288-2019</t>
        </is>
      </c>
      <c r="B604" s="1" t="n">
        <v>43496</v>
      </c>
      <c r="C604" s="1" t="n">
        <v>45224</v>
      </c>
      <c r="D604" t="inlineStr">
        <is>
          <t>STOCKHOLMS LÄN</t>
        </is>
      </c>
      <c r="E604" t="inlineStr">
        <is>
          <t>NORRTÄLJE</t>
        </is>
      </c>
      <c r="G604" t="n">
        <v>7.6</v>
      </c>
      <c r="H604" t="n">
        <v>0</v>
      </c>
      <c r="I604" t="n">
        <v>0</v>
      </c>
      <c r="J604" t="n">
        <v>0</v>
      </c>
      <c r="K604" t="n">
        <v>0</v>
      </c>
      <c r="L604" t="n">
        <v>0</v>
      </c>
      <c r="M604" t="n">
        <v>0</v>
      </c>
      <c r="N604" t="n">
        <v>0</v>
      </c>
      <c r="O604" t="n">
        <v>0</v>
      </c>
      <c r="P604" t="n">
        <v>0</v>
      </c>
      <c r="Q604" t="n">
        <v>0</v>
      </c>
      <c r="R604" s="2" t="inlineStr"/>
    </row>
    <row r="605" ht="15" customHeight="1">
      <c r="A605" t="inlineStr">
        <is>
          <t>A 7278-2019</t>
        </is>
      </c>
      <c r="B605" s="1" t="n">
        <v>43496</v>
      </c>
      <c r="C605" s="1" t="n">
        <v>45224</v>
      </c>
      <c r="D605" t="inlineStr">
        <is>
          <t>STOCKHOLMS LÄN</t>
        </is>
      </c>
      <c r="E605" t="inlineStr">
        <is>
          <t>NORRTÄLJE</t>
        </is>
      </c>
      <c r="G605" t="n">
        <v>13.6</v>
      </c>
      <c r="H605" t="n">
        <v>0</v>
      </c>
      <c r="I605" t="n">
        <v>0</v>
      </c>
      <c r="J605" t="n">
        <v>0</v>
      </c>
      <c r="K605" t="n">
        <v>0</v>
      </c>
      <c r="L605" t="n">
        <v>0</v>
      </c>
      <c r="M605" t="n">
        <v>0</v>
      </c>
      <c r="N605" t="n">
        <v>0</v>
      </c>
      <c r="O605" t="n">
        <v>0</v>
      </c>
      <c r="P605" t="n">
        <v>0</v>
      </c>
      <c r="Q605" t="n">
        <v>0</v>
      </c>
      <c r="R605" s="2" t="inlineStr"/>
    </row>
    <row r="606" ht="15" customHeight="1">
      <c r="A606" t="inlineStr">
        <is>
          <t>A 7426-2019</t>
        </is>
      </c>
      <c r="B606" s="1" t="n">
        <v>43497</v>
      </c>
      <c r="C606" s="1" t="n">
        <v>45224</v>
      </c>
      <c r="D606" t="inlineStr">
        <is>
          <t>STOCKHOLMS LÄN</t>
        </is>
      </c>
      <c r="E606" t="inlineStr">
        <is>
          <t>NORRTÄLJE</t>
        </is>
      </c>
      <c r="G606" t="n">
        <v>3.8</v>
      </c>
      <c r="H606" t="n">
        <v>0</v>
      </c>
      <c r="I606" t="n">
        <v>0</v>
      </c>
      <c r="J606" t="n">
        <v>0</v>
      </c>
      <c r="K606" t="n">
        <v>0</v>
      </c>
      <c r="L606" t="n">
        <v>0</v>
      </c>
      <c r="M606" t="n">
        <v>0</v>
      </c>
      <c r="N606" t="n">
        <v>0</v>
      </c>
      <c r="O606" t="n">
        <v>0</v>
      </c>
      <c r="P606" t="n">
        <v>0</v>
      </c>
      <c r="Q606" t="n">
        <v>0</v>
      </c>
      <c r="R606" s="2" t="inlineStr"/>
    </row>
    <row r="607" ht="15" customHeight="1">
      <c r="A607" t="inlineStr">
        <is>
          <t>A 7429-2019</t>
        </is>
      </c>
      <c r="B607" s="1" t="n">
        <v>43497</v>
      </c>
      <c r="C607" s="1" t="n">
        <v>45224</v>
      </c>
      <c r="D607" t="inlineStr">
        <is>
          <t>STOCKHOLMS LÄN</t>
        </is>
      </c>
      <c r="E607" t="inlineStr">
        <is>
          <t>NORRTÄLJE</t>
        </is>
      </c>
      <c r="G607" t="n">
        <v>2.2</v>
      </c>
      <c r="H607" t="n">
        <v>0</v>
      </c>
      <c r="I607" t="n">
        <v>0</v>
      </c>
      <c r="J607" t="n">
        <v>0</v>
      </c>
      <c r="K607" t="n">
        <v>0</v>
      </c>
      <c r="L607" t="n">
        <v>0</v>
      </c>
      <c r="M607" t="n">
        <v>0</v>
      </c>
      <c r="N607" t="n">
        <v>0</v>
      </c>
      <c r="O607" t="n">
        <v>0</v>
      </c>
      <c r="P607" t="n">
        <v>0</v>
      </c>
      <c r="Q607" t="n">
        <v>0</v>
      </c>
      <c r="R607" s="2" t="inlineStr"/>
    </row>
    <row r="608" ht="15" customHeight="1">
      <c r="A608" t="inlineStr">
        <is>
          <t>A 7419-2019</t>
        </is>
      </c>
      <c r="B608" s="1" t="n">
        <v>43497</v>
      </c>
      <c r="C608" s="1" t="n">
        <v>45224</v>
      </c>
      <c r="D608" t="inlineStr">
        <is>
          <t>STOCKHOLMS LÄN</t>
        </is>
      </c>
      <c r="E608" t="inlineStr">
        <is>
          <t>SÖDERTÄLJE</t>
        </is>
      </c>
      <c r="G608" t="n">
        <v>1.6</v>
      </c>
      <c r="H608" t="n">
        <v>0</v>
      </c>
      <c r="I608" t="n">
        <v>0</v>
      </c>
      <c r="J608" t="n">
        <v>0</v>
      </c>
      <c r="K608" t="n">
        <v>0</v>
      </c>
      <c r="L608" t="n">
        <v>0</v>
      </c>
      <c r="M608" t="n">
        <v>0</v>
      </c>
      <c r="N608" t="n">
        <v>0</v>
      </c>
      <c r="O608" t="n">
        <v>0</v>
      </c>
      <c r="P608" t="n">
        <v>0</v>
      </c>
      <c r="Q608" t="n">
        <v>0</v>
      </c>
      <c r="R608" s="2" t="inlineStr"/>
    </row>
    <row r="609" ht="15" customHeight="1">
      <c r="A609" t="inlineStr">
        <is>
          <t>A 7502-2019</t>
        </is>
      </c>
      <c r="B609" s="1" t="n">
        <v>43497</v>
      </c>
      <c r="C609" s="1" t="n">
        <v>45224</v>
      </c>
      <c r="D609" t="inlineStr">
        <is>
          <t>STOCKHOLMS LÄN</t>
        </is>
      </c>
      <c r="E609" t="inlineStr">
        <is>
          <t>NORRTÄLJE</t>
        </is>
      </c>
      <c r="F609" t="inlineStr">
        <is>
          <t>Sveaskog</t>
        </is>
      </c>
      <c r="G609" t="n">
        <v>1.1</v>
      </c>
      <c r="H609" t="n">
        <v>0</v>
      </c>
      <c r="I609" t="n">
        <v>0</v>
      </c>
      <c r="J609" t="n">
        <v>0</v>
      </c>
      <c r="K609" t="n">
        <v>0</v>
      </c>
      <c r="L609" t="n">
        <v>0</v>
      </c>
      <c r="M609" t="n">
        <v>0</v>
      </c>
      <c r="N609" t="n">
        <v>0</v>
      </c>
      <c r="O609" t="n">
        <v>0</v>
      </c>
      <c r="P609" t="n">
        <v>0</v>
      </c>
      <c r="Q609" t="n">
        <v>0</v>
      </c>
      <c r="R609" s="2" t="inlineStr"/>
    </row>
    <row r="610" ht="15" customHeight="1">
      <c r="A610" t="inlineStr">
        <is>
          <t>A 7432-2019</t>
        </is>
      </c>
      <c r="B610" s="1" t="n">
        <v>43497</v>
      </c>
      <c r="C610" s="1" t="n">
        <v>45224</v>
      </c>
      <c r="D610" t="inlineStr">
        <is>
          <t>STOCKHOLMS LÄN</t>
        </is>
      </c>
      <c r="E610" t="inlineStr">
        <is>
          <t>NYNÄSHAMN</t>
        </is>
      </c>
      <c r="G610" t="n">
        <v>3</v>
      </c>
      <c r="H610" t="n">
        <v>0</v>
      </c>
      <c r="I610" t="n">
        <v>0</v>
      </c>
      <c r="J610" t="n">
        <v>0</v>
      </c>
      <c r="K610" t="n">
        <v>0</v>
      </c>
      <c r="L610" t="n">
        <v>0</v>
      </c>
      <c r="M610" t="n">
        <v>0</v>
      </c>
      <c r="N610" t="n">
        <v>0</v>
      </c>
      <c r="O610" t="n">
        <v>0</v>
      </c>
      <c r="P610" t="n">
        <v>0</v>
      </c>
      <c r="Q610" t="n">
        <v>0</v>
      </c>
      <c r="R610" s="2" t="inlineStr"/>
    </row>
    <row r="611" ht="15" customHeight="1">
      <c r="A611" t="inlineStr">
        <is>
          <t>A 7568-2019</t>
        </is>
      </c>
      <c r="B611" s="1" t="n">
        <v>43497</v>
      </c>
      <c r="C611" s="1" t="n">
        <v>45224</v>
      </c>
      <c r="D611" t="inlineStr">
        <is>
          <t>STOCKHOLMS LÄN</t>
        </is>
      </c>
      <c r="E611" t="inlineStr">
        <is>
          <t>NORRTÄLJE</t>
        </is>
      </c>
      <c r="G611" t="n">
        <v>4.2</v>
      </c>
      <c r="H611" t="n">
        <v>0</v>
      </c>
      <c r="I611" t="n">
        <v>0</v>
      </c>
      <c r="J611" t="n">
        <v>0</v>
      </c>
      <c r="K611" t="n">
        <v>0</v>
      </c>
      <c r="L611" t="n">
        <v>0</v>
      </c>
      <c r="M611" t="n">
        <v>0</v>
      </c>
      <c r="N611" t="n">
        <v>0</v>
      </c>
      <c r="O611" t="n">
        <v>0</v>
      </c>
      <c r="P611" t="n">
        <v>0</v>
      </c>
      <c r="Q611" t="n">
        <v>0</v>
      </c>
      <c r="R611" s="2" t="inlineStr"/>
    </row>
    <row r="612" ht="15" customHeight="1">
      <c r="A612" t="inlineStr">
        <is>
          <t>A 7579-2019</t>
        </is>
      </c>
      <c r="B612" s="1" t="n">
        <v>43498</v>
      </c>
      <c r="C612" s="1" t="n">
        <v>45224</v>
      </c>
      <c r="D612" t="inlineStr">
        <is>
          <t>STOCKHOLMS LÄN</t>
        </is>
      </c>
      <c r="E612" t="inlineStr">
        <is>
          <t>NORRTÄLJE</t>
        </is>
      </c>
      <c r="G612" t="n">
        <v>2.8</v>
      </c>
      <c r="H612" t="n">
        <v>0</v>
      </c>
      <c r="I612" t="n">
        <v>0</v>
      </c>
      <c r="J612" t="n">
        <v>0</v>
      </c>
      <c r="K612" t="n">
        <v>0</v>
      </c>
      <c r="L612" t="n">
        <v>0</v>
      </c>
      <c r="M612" t="n">
        <v>0</v>
      </c>
      <c r="N612" t="n">
        <v>0</v>
      </c>
      <c r="O612" t="n">
        <v>0</v>
      </c>
      <c r="P612" t="n">
        <v>0</v>
      </c>
      <c r="Q612" t="n">
        <v>0</v>
      </c>
      <c r="R612" s="2" t="inlineStr"/>
    </row>
    <row r="613" ht="15" customHeight="1">
      <c r="A613" t="inlineStr">
        <is>
          <t>A 7606-2019</t>
        </is>
      </c>
      <c r="B613" s="1" t="n">
        <v>43499</v>
      </c>
      <c r="C613" s="1" t="n">
        <v>45224</v>
      </c>
      <c r="D613" t="inlineStr">
        <is>
          <t>STOCKHOLMS LÄN</t>
        </is>
      </c>
      <c r="E613" t="inlineStr">
        <is>
          <t>NORRTÄLJE</t>
        </is>
      </c>
      <c r="G613" t="n">
        <v>1</v>
      </c>
      <c r="H613" t="n">
        <v>0</v>
      </c>
      <c r="I613" t="n">
        <v>0</v>
      </c>
      <c r="J613" t="n">
        <v>0</v>
      </c>
      <c r="K613" t="n">
        <v>0</v>
      </c>
      <c r="L613" t="n">
        <v>0</v>
      </c>
      <c r="M613" t="n">
        <v>0</v>
      </c>
      <c r="N613" t="n">
        <v>0</v>
      </c>
      <c r="O613" t="n">
        <v>0</v>
      </c>
      <c r="P613" t="n">
        <v>0</v>
      </c>
      <c r="Q613" t="n">
        <v>0</v>
      </c>
      <c r="R613" s="2" t="inlineStr"/>
    </row>
    <row r="614" ht="15" customHeight="1">
      <c r="A614" t="inlineStr">
        <is>
          <t>A 7608-2019</t>
        </is>
      </c>
      <c r="B614" s="1" t="n">
        <v>43499</v>
      </c>
      <c r="C614" s="1" t="n">
        <v>45224</v>
      </c>
      <c r="D614" t="inlineStr">
        <is>
          <t>STOCKHOLMS LÄN</t>
        </is>
      </c>
      <c r="E614" t="inlineStr">
        <is>
          <t>NORRTÄLJE</t>
        </is>
      </c>
      <c r="G614" t="n">
        <v>10</v>
      </c>
      <c r="H614" t="n">
        <v>0</v>
      </c>
      <c r="I614" t="n">
        <v>0</v>
      </c>
      <c r="J614" t="n">
        <v>0</v>
      </c>
      <c r="K614" t="n">
        <v>0</v>
      </c>
      <c r="L614" t="n">
        <v>0</v>
      </c>
      <c r="M614" t="n">
        <v>0</v>
      </c>
      <c r="N614" t="n">
        <v>0</v>
      </c>
      <c r="O614" t="n">
        <v>0</v>
      </c>
      <c r="P614" t="n">
        <v>0</v>
      </c>
      <c r="Q614" t="n">
        <v>0</v>
      </c>
      <c r="R614" s="2" t="inlineStr"/>
    </row>
    <row r="615" ht="15" customHeight="1">
      <c r="A615" t="inlineStr">
        <is>
          <t>A 7607-2019</t>
        </is>
      </c>
      <c r="B615" s="1" t="n">
        <v>43499</v>
      </c>
      <c r="C615" s="1" t="n">
        <v>45224</v>
      </c>
      <c r="D615" t="inlineStr">
        <is>
          <t>STOCKHOLMS LÄN</t>
        </is>
      </c>
      <c r="E615" t="inlineStr">
        <is>
          <t>NORRTÄLJE</t>
        </is>
      </c>
      <c r="G615" t="n">
        <v>1.9</v>
      </c>
      <c r="H615" t="n">
        <v>0</v>
      </c>
      <c r="I615" t="n">
        <v>0</v>
      </c>
      <c r="J615" t="n">
        <v>0</v>
      </c>
      <c r="K615" t="n">
        <v>0</v>
      </c>
      <c r="L615" t="n">
        <v>0</v>
      </c>
      <c r="M615" t="n">
        <v>0</v>
      </c>
      <c r="N615" t="n">
        <v>0</v>
      </c>
      <c r="O615" t="n">
        <v>0</v>
      </c>
      <c r="P615" t="n">
        <v>0</v>
      </c>
      <c r="Q615" t="n">
        <v>0</v>
      </c>
      <c r="R615" s="2" t="inlineStr"/>
    </row>
    <row r="616" ht="15" customHeight="1">
      <c r="A616" t="inlineStr">
        <is>
          <t>A 7892-2019</t>
        </is>
      </c>
      <c r="B616" s="1" t="n">
        <v>43500</v>
      </c>
      <c r="C616" s="1" t="n">
        <v>45224</v>
      </c>
      <c r="D616" t="inlineStr">
        <is>
          <t>STOCKHOLMS LÄN</t>
        </is>
      </c>
      <c r="E616" t="inlineStr">
        <is>
          <t>ÖSTERÅKER</t>
        </is>
      </c>
      <c r="G616" t="n">
        <v>0.8</v>
      </c>
      <c r="H616" t="n">
        <v>0</v>
      </c>
      <c r="I616" t="n">
        <v>0</v>
      </c>
      <c r="J616" t="n">
        <v>0</v>
      </c>
      <c r="K616" t="n">
        <v>0</v>
      </c>
      <c r="L616" t="n">
        <v>0</v>
      </c>
      <c r="M616" t="n">
        <v>0</v>
      </c>
      <c r="N616" t="n">
        <v>0</v>
      </c>
      <c r="O616" t="n">
        <v>0</v>
      </c>
      <c r="P616" t="n">
        <v>0</v>
      </c>
      <c r="Q616" t="n">
        <v>0</v>
      </c>
      <c r="R616" s="2" t="inlineStr"/>
    </row>
    <row r="617" ht="15" customHeight="1">
      <c r="A617" t="inlineStr">
        <is>
          <t>A 7650-2019</t>
        </is>
      </c>
      <c r="B617" s="1" t="n">
        <v>43500</v>
      </c>
      <c r="C617" s="1" t="n">
        <v>45224</v>
      </c>
      <c r="D617" t="inlineStr">
        <is>
          <t>STOCKHOLMS LÄN</t>
        </is>
      </c>
      <c r="E617" t="inlineStr">
        <is>
          <t>NORRTÄLJE</t>
        </is>
      </c>
      <c r="F617" t="inlineStr">
        <is>
          <t>Övriga Aktiebolag</t>
        </is>
      </c>
      <c r="G617" t="n">
        <v>3.8</v>
      </c>
      <c r="H617" t="n">
        <v>0</v>
      </c>
      <c r="I617" t="n">
        <v>0</v>
      </c>
      <c r="J617" t="n">
        <v>0</v>
      </c>
      <c r="K617" t="n">
        <v>0</v>
      </c>
      <c r="L617" t="n">
        <v>0</v>
      </c>
      <c r="M617" t="n">
        <v>0</v>
      </c>
      <c r="N617" t="n">
        <v>0</v>
      </c>
      <c r="O617" t="n">
        <v>0</v>
      </c>
      <c r="P617" t="n">
        <v>0</v>
      </c>
      <c r="Q617" t="n">
        <v>0</v>
      </c>
      <c r="R617" s="2" t="inlineStr"/>
    </row>
    <row r="618" ht="15" customHeight="1">
      <c r="A618" t="inlineStr">
        <is>
          <t>A 8501-2019</t>
        </is>
      </c>
      <c r="B618" s="1" t="n">
        <v>43500</v>
      </c>
      <c r="C618" s="1" t="n">
        <v>45224</v>
      </c>
      <c r="D618" t="inlineStr">
        <is>
          <t>STOCKHOLMS LÄN</t>
        </is>
      </c>
      <c r="E618" t="inlineStr">
        <is>
          <t>SIGTUNA</t>
        </is>
      </c>
      <c r="G618" t="n">
        <v>1.3</v>
      </c>
      <c r="H618" t="n">
        <v>0</v>
      </c>
      <c r="I618" t="n">
        <v>0</v>
      </c>
      <c r="J618" t="n">
        <v>0</v>
      </c>
      <c r="K618" t="n">
        <v>0</v>
      </c>
      <c r="L618" t="n">
        <v>0</v>
      </c>
      <c r="M618" t="n">
        <v>0</v>
      </c>
      <c r="N618" t="n">
        <v>0</v>
      </c>
      <c r="O618" t="n">
        <v>0</v>
      </c>
      <c r="P618" t="n">
        <v>0</v>
      </c>
      <c r="Q618" t="n">
        <v>0</v>
      </c>
      <c r="R618" s="2" t="inlineStr"/>
    </row>
    <row r="619" ht="15" customHeight="1">
      <c r="A619" t="inlineStr">
        <is>
          <t>A 8039-2019</t>
        </is>
      </c>
      <c r="B619" s="1" t="n">
        <v>43501</v>
      </c>
      <c r="C619" s="1" t="n">
        <v>45224</v>
      </c>
      <c r="D619" t="inlineStr">
        <is>
          <t>STOCKHOLMS LÄN</t>
        </is>
      </c>
      <c r="E619" t="inlineStr">
        <is>
          <t>NORRTÄLJE</t>
        </is>
      </c>
      <c r="G619" t="n">
        <v>16.8</v>
      </c>
      <c r="H619" t="n">
        <v>0</v>
      </c>
      <c r="I619" t="n">
        <v>0</v>
      </c>
      <c r="J619" t="n">
        <v>0</v>
      </c>
      <c r="K619" t="n">
        <v>0</v>
      </c>
      <c r="L619" t="n">
        <v>0</v>
      </c>
      <c r="M619" t="n">
        <v>0</v>
      </c>
      <c r="N619" t="n">
        <v>0</v>
      </c>
      <c r="O619" t="n">
        <v>0</v>
      </c>
      <c r="P619" t="n">
        <v>0</v>
      </c>
      <c r="Q619" t="n">
        <v>0</v>
      </c>
      <c r="R619" s="2" t="inlineStr"/>
    </row>
    <row r="620" ht="15" customHeight="1">
      <c r="A620" t="inlineStr">
        <is>
          <t>A 8256-2019</t>
        </is>
      </c>
      <c r="B620" s="1" t="n">
        <v>43501</v>
      </c>
      <c r="C620" s="1" t="n">
        <v>45224</v>
      </c>
      <c r="D620" t="inlineStr">
        <is>
          <t>STOCKHOLMS LÄN</t>
        </is>
      </c>
      <c r="E620" t="inlineStr">
        <is>
          <t>NORRTÄLJE</t>
        </is>
      </c>
      <c r="G620" t="n">
        <v>0.3</v>
      </c>
      <c r="H620" t="n">
        <v>0</v>
      </c>
      <c r="I620" t="n">
        <v>0</v>
      </c>
      <c r="J620" t="n">
        <v>0</v>
      </c>
      <c r="K620" t="n">
        <v>0</v>
      </c>
      <c r="L620" t="n">
        <v>0</v>
      </c>
      <c r="M620" t="n">
        <v>0</v>
      </c>
      <c r="N620" t="n">
        <v>0</v>
      </c>
      <c r="O620" t="n">
        <v>0</v>
      </c>
      <c r="P620" t="n">
        <v>0</v>
      </c>
      <c r="Q620" t="n">
        <v>0</v>
      </c>
      <c r="R620" s="2" t="inlineStr"/>
    </row>
    <row r="621" ht="15" customHeight="1">
      <c r="A621" t="inlineStr">
        <is>
          <t>A 8523-2019</t>
        </is>
      </c>
      <c r="B621" s="1" t="n">
        <v>43502</v>
      </c>
      <c r="C621" s="1" t="n">
        <v>45224</v>
      </c>
      <c r="D621" t="inlineStr">
        <is>
          <t>STOCKHOLMS LÄN</t>
        </is>
      </c>
      <c r="E621" t="inlineStr">
        <is>
          <t>BOTKYRKA</t>
        </is>
      </c>
      <c r="G621" t="n">
        <v>1.8</v>
      </c>
      <c r="H621" t="n">
        <v>0</v>
      </c>
      <c r="I621" t="n">
        <v>0</v>
      </c>
      <c r="J621" t="n">
        <v>0</v>
      </c>
      <c r="K621" t="n">
        <v>0</v>
      </c>
      <c r="L621" t="n">
        <v>0</v>
      </c>
      <c r="M621" t="n">
        <v>0</v>
      </c>
      <c r="N621" t="n">
        <v>0</v>
      </c>
      <c r="O621" t="n">
        <v>0</v>
      </c>
      <c r="P621" t="n">
        <v>0</v>
      </c>
      <c r="Q621" t="n">
        <v>0</v>
      </c>
      <c r="R621" s="2" t="inlineStr"/>
    </row>
    <row r="622" ht="15" customHeight="1">
      <c r="A622" t="inlineStr">
        <is>
          <t>A 8586-2019</t>
        </is>
      </c>
      <c r="B622" s="1" t="n">
        <v>43502</v>
      </c>
      <c r="C622" s="1" t="n">
        <v>45224</v>
      </c>
      <c r="D622" t="inlineStr">
        <is>
          <t>STOCKHOLMS LÄN</t>
        </is>
      </c>
      <c r="E622" t="inlineStr">
        <is>
          <t>NORRTÄLJE</t>
        </is>
      </c>
      <c r="G622" t="n">
        <v>12.4</v>
      </c>
      <c r="H622" t="n">
        <v>0</v>
      </c>
      <c r="I622" t="n">
        <v>0</v>
      </c>
      <c r="J622" t="n">
        <v>0</v>
      </c>
      <c r="K622" t="n">
        <v>0</v>
      </c>
      <c r="L622" t="n">
        <v>0</v>
      </c>
      <c r="M622" t="n">
        <v>0</v>
      </c>
      <c r="N622" t="n">
        <v>0</v>
      </c>
      <c r="O622" t="n">
        <v>0</v>
      </c>
      <c r="P622" t="n">
        <v>0</v>
      </c>
      <c r="Q622" t="n">
        <v>0</v>
      </c>
      <c r="R622" s="2" t="inlineStr"/>
    </row>
    <row r="623" ht="15" customHeight="1">
      <c r="A623" t="inlineStr">
        <is>
          <t>A 8574-2019</t>
        </is>
      </c>
      <c r="B623" s="1" t="n">
        <v>43502</v>
      </c>
      <c r="C623" s="1" t="n">
        <v>45224</v>
      </c>
      <c r="D623" t="inlineStr">
        <is>
          <t>STOCKHOLMS LÄN</t>
        </is>
      </c>
      <c r="E623" t="inlineStr">
        <is>
          <t>NORRTÄLJE</t>
        </is>
      </c>
      <c r="G623" t="n">
        <v>0.9</v>
      </c>
      <c r="H623" t="n">
        <v>0</v>
      </c>
      <c r="I623" t="n">
        <v>0</v>
      </c>
      <c r="J623" t="n">
        <v>0</v>
      </c>
      <c r="K623" t="n">
        <v>0</v>
      </c>
      <c r="L623" t="n">
        <v>0</v>
      </c>
      <c r="M623" t="n">
        <v>0</v>
      </c>
      <c r="N623" t="n">
        <v>0</v>
      </c>
      <c r="O623" t="n">
        <v>0</v>
      </c>
      <c r="P623" t="n">
        <v>0</v>
      </c>
      <c r="Q623" t="n">
        <v>0</v>
      </c>
      <c r="R623" s="2" t="inlineStr"/>
    </row>
    <row r="624" ht="15" customHeight="1">
      <c r="A624" t="inlineStr">
        <is>
          <t>A 8452-2019</t>
        </is>
      </c>
      <c r="B624" s="1" t="n">
        <v>43502</v>
      </c>
      <c r="C624" s="1" t="n">
        <v>45224</v>
      </c>
      <c r="D624" t="inlineStr">
        <is>
          <t>STOCKHOLMS LÄN</t>
        </is>
      </c>
      <c r="E624" t="inlineStr">
        <is>
          <t>NORRTÄLJE</t>
        </is>
      </c>
      <c r="G624" t="n">
        <v>3</v>
      </c>
      <c r="H624" t="n">
        <v>0</v>
      </c>
      <c r="I624" t="n">
        <v>0</v>
      </c>
      <c r="J624" t="n">
        <v>0</v>
      </c>
      <c r="K624" t="n">
        <v>0</v>
      </c>
      <c r="L624" t="n">
        <v>0</v>
      </c>
      <c r="M624" t="n">
        <v>0</v>
      </c>
      <c r="N624" t="n">
        <v>0</v>
      </c>
      <c r="O624" t="n">
        <v>0</v>
      </c>
      <c r="P624" t="n">
        <v>0</v>
      </c>
      <c r="Q624" t="n">
        <v>0</v>
      </c>
      <c r="R624" s="2" t="inlineStr"/>
    </row>
    <row r="625" ht="15" customHeight="1">
      <c r="A625" t="inlineStr">
        <is>
          <t>A 8469-2019</t>
        </is>
      </c>
      <c r="B625" s="1" t="n">
        <v>43502</v>
      </c>
      <c r="C625" s="1" t="n">
        <v>45224</v>
      </c>
      <c r="D625" t="inlineStr">
        <is>
          <t>STOCKHOLMS LÄN</t>
        </is>
      </c>
      <c r="E625" t="inlineStr">
        <is>
          <t>SIGTUNA</t>
        </is>
      </c>
      <c r="F625" t="inlineStr">
        <is>
          <t>Allmännings- och besparingsskogar</t>
        </is>
      </c>
      <c r="G625" t="n">
        <v>5.7</v>
      </c>
      <c r="H625" t="n">
        <v>0</v>
      </c>
      <c r="I625" t="n">
        <v>0</v>
      </c>
      <c r="J625" t="n">
        <v>0</v>
      </c>
      <c r="K625" t="n">
        <v>0</v>
      </c>
      <c r="L625" t="n">
        <v>0</v>
      </c>
      <c r="M625" t="n">
        <v>0</v>
      </c>
      <c r="N625" t="n">
        <v>0</v>
      </c>
      <c r="O625" t="n">
        <v>0</v>
      </c>
      <c r="P625" t="n">
        <v>0</v>
      </c>
      <c r="Q625" t="n">
        <v>0</v>
      </c>
      <c r="R625" s="2" t="inlineStr"/>
    </row>
    <row r="626" ht="15" customHeight="1">
      <c r="A626" t="inlineStr">
        <is>
          <t>A 8686-2019</t>
        </is>
      </c>
      <c r="B626" s="1" t="n">
        <v>43503</v>
      </c>
      <c r="C626" s="1" t="n">
        <v>45224</v>
      </c>
      <c r="D626" t="inlineStr">
        <is>
          <t>STOCKHOLMS LÄN</t>
        </is>
      </c>
      <c r="E626" t="inlineStr">
        <is>
          <t>VALLENTUNA</t>
        </is>
      </c>
      <c r="G626" t="n">
        <v>5.1</v>
      </c>
      <c r="H626" t="n">
        <v>0</v>
      </c>
      <c r="I626" t="n">
        <v>0</v>
      </c>
      <c r="J626" t="n">
        <v>0</v>
      </c>
      <c r="K626" t="n">
        <v>0</v>
      </c>
      <c r="L626" t="n">
        <v>0</v>
      </c>
      <c r="M626" t="n">
        <v>0</v>
      </c>
      <c r="N626" t="n">
        <v>0</v>
      </c>
      <c r="O626" t="n">
        <v>0</v>
      </c>
      <c r="P626" t="n">
        <v>0</v>
      </c>
      <c r="Q626" t="n">
        <v>0</v>
      </c>
      <c r="R626" s="2" t="inlineStr"/>
    </row>
    <row r="627" ht="15" customHeight="1">
      <c r="A627" t="inlineStr">
        <is>
          <t>A 8719-2019</t>
        </is>
      </c>
      <c r="B627" s="1" t="n">
        <v>43503</v>
      </c>
      <c r="C627" s="1" t="n">
        <v>45224</v>
      </c>
      <c r="D627" t="inlineStr">
        <is>
          <t>STOCKHOLMS LÄN</t>
        </is>
      </c>
      <c r="E627" t="inlineStr">
        <is>
          <t>NORRTÄLJE</t>
        </is>
      </c>
      <c r="G627" t="n">
        <v>1.9</v>
      </c>
      <c r="H627" t="n">
        <v>0</v>
      </c>
      <c r="I627" t="n">
        <v>0</v>
      </c>
      <c r="J627" t="n">
        <v>0</v>
      </c>
      <c r="K627" t="n">
        <v>0</v>
      </c>
      <c r="L627" t="n">
        <v>0</v>
      </c>
      <c r="M627" t="n">
        <v>0</v>
      </c>
      <c r="N627" t="n">
        <v>0</v>
      </c>
      <c r="O627" t="n">
        <v>0</v>
      </c>
      <c r="P627" t="n">
        <v>0</v>
      </c>
      <c r="Q627" t="n">
        <v>0</v>
      </c>
      <c r="R627" s="2" t="inlineStr"/>
    </row>
    <row r="628" ht="15" customHeight="1">
      <c r="A628" t="inlineStr">
        <is>
          <t>A 8797-2019</t>
        </is>
      </c>
      <c r="B628" s="1" t="n">
        <v>43503</v>
      </c>
      <c r="C628" s="1" t="n">
        <v>45224</v>
      </c>
      <c r="D628" t="inlineStr">
        <is>
          <t>STOCKHOLMS LÄN</t>
        </is>
      </c>
      <c r="E628" t="inlineStr">
        <is>
          <t>HANINGE</t>
        </is>
      </c>
      <c r="F628" t="inlineStr">
        <is>
          <t>Övriga statliga verk och myndigheter</t>
        </is>
      </c>
      <c r="G628" t="n">
        <v>4.3</v>
      </c>
      <c r="H628" t="n">
        <v>0</v>
      </c>
      <c r="I628" t="n">
        <v>0</v>
      </c>
      <c r="J628" t="n">
        <v>0</v>
      </c>
      <c r="K628" t="n">
        <v>0</v>
      </c>
      <c r="L628" t="n">
        <v>0</v>
      </c>
      <c r="M628" t="n">
        <v>0</v>
      </c>
      <c r="N628" t="n">
        <v>0</v>
      </c>
      <c r="O628" t="n">
        <v>0</v>
      </c>
      <c r="P628" t="n">
        <v>0</v>
      </c>
      <c r="Q628" t="n">
        <v>0</v>
      </c>
      <c r="R628" s="2" t="inlineStr"/>
    </row>
    <row r="629" ht="15" customHeight="1">
      <c r="A629" t="inlineStr">
        <is>
          <t>A 8692-2019</t>
        </is>
      </c>
      <c r="B629" s="1" t="n">
        <v>43503</v>
      </c>
      <c r="C629" s="1" t="n">
        <v>45224</v>
      </c>
      <c r="D629" t="inlineStr">
        <is>
          <t>STOCKHOLMS LÄN</t>
        </is>
      </c>
      <c r="E629" t="inlineStr">
        <is>
          <t>NORRTÄLJE</t>
        </is>
      </c>
      <c r="G629" t="n">
        <v>6.8</v>
      </c>
      <c r="H629" t="n">
        <v>0</v>
      </c>
      <c r="I629" t="n">
        <v>0</v>
      </c>
      <c r="J629" t="n">
        <v>0</v>
      </c>
      <c r="K629" t="n">
        <v>0</v>
      </c>
      <c r="L629" t="n">
        <v>0</v>
      </c>
      <c r="M629" t="n">
        <v>0</v>
      </c>
      <c r="N629" t="n">
        <v>0</v>
      </c>
      <c r="O629" t="n">
        <v>0</v>
      </c>
      <c r="P629" t="n">
        <v>0</v>
      </c>
      <c r="Q629" t="n">
        <v>0</v>
      </c>
      <c r="R629" s="2" t="inlineStr"/>
    </row>
    <row r="630" ht="15" customHeight="1">
      <c r="A630" t="inlineStr">
        <is>
          <t>A 8818-2019</t>
        </is>
      </c>
      <c r="B630" s="1" t="n">
        <v>43503</v>
      </c>
      <c r="C630" s="1" t="n">
        <v>45224</v>
      </c>
      <c r="D630" t="inlineStr">
        <is>
          <t>STOCKHOLMS LÄN</t>
        </is>
      </c>
      <c r="E630" t="inlineStr">
        <is>
          <t>NORRTÄLJE</t>
        </is>
      </c>
      <c r="F630" t="inlineStr">
        <is>
          <t>Övriga statliga verk och myndigheter</t>
        </is>
      </c>
      <c r="G630" t="n">
        <v>2.7</v>
      </c>
      <c r="H630" t="n">
        <v>0</v>
      </c>
      <c r="I630" t="n">
        <v>0</v>
      </c>
      <c r="J630" t="n">
        <v>0</v>
      </c>
      <c r="K630" t="n">
        <v>0</v>
      </c>
      <c r="L630" t="n">
        <v>0</v>
      </c>
      <c r="M630" t="n">
        <v>0</v>
      </c>
      <c r="N630" t="n">
        <v>0</v>
      </c>
      <c r="O630" t="n">
        <v>0</v>
      </c>
      <c r="P630" t="n">
        <v>0</v>
      </c>
      <c r="Q630" t="n">
        <v>0</v>
      </c>
      <c r="R630" s="2" t="inlineStr"/>
    </row>
    <row r="631" ht="15" customHeight="1">
      <c r="A631" t="inlineStr">
        <is>
          <t>A 8678-2019</t>
        </is>
      </c>
      <c r="B631" s="1" t="n">
        <v>43503</v>
      </c>
      <c r="C631" s="1" t="n">
        <v>45224</v>
      </c>
      <c r="D631" t="inlineStr">
        <is>
          <t>STOCKHOLMS LÄN</t>
        </is>
      </c>
      <c r="E631" t="inlineStr">
        <is>
          <t>NORRTÄLJE</t>
        </is>
      </c>
      <c r="G631" t="n">
        <v>2.5</v>
      </c>
      <c r="H631" t="n">
        <v>0</v>
      </c>
      <c r="I631" t="n">
        <v>0</v>
      </c>
      <c r="J631" t="n">
        <v>0</v>
      </c>
      <c r="K631" t="n">
        <v>0</v>
      </c>
      <c r="L631" t="n">
        <v>0</v>
      </c>
      <c r="M631" t="n">
        <v>0</v>
      </c>
      <c r="N631" t="n">
        <v>0</v>
      </c>
      <c r="O631" t="n">
        <v>0</v>
      </c>
      <c r="P631" t="n">
        <v>0</v>
      </c>
      <c r="Q631" t="n">
        <v>0</v>
      </c>
      <c r="R631" s="2" t="inlineStr"/>
    </row>
    <row r="632" ht="15" customHeight="1">
      <c r="A632" t="inlineStr">
        <is>
          <t>A 8701-2019</t>
        </is>
      </c>
      <c r="B632" s="1" t="n">
        <v>43503</v>
      </c>
      <c r="C632" s="1" t="n">
        <v>45224</v>
      </c>
      <c r="D632" t="inlineStr">
        <is>
          <t>STOCKHOLMS LÄN</t>
        </is>
      </c>
      <c r="E632" t="inlineStr">
        <is>
          <t>NORRTÄLJE</t>
        </is>
      </c>
      <c r="G632" t="n">
        <v>15.3</v>
      </c>
      <c r="H632" t="n">
        <v>0</v>
      </c>
      <c r="I632" t="n">
        <v>0</v>
      </c>
      <c r="J632" t="n">
        <v>0</v>
      </c>
      <c r="K632" t="n">
        <v>0</v>
      </c>
      <c r="L632" t="n">
        <v>0</v>
      </c>
      <c r="M632" t="n">
        <v>0</v>
      </c>
      <c r="N632" t="n">
        <v>0</v>
      </c>
      <c r="O632" t="n">
        <v>0</v>
      </c>
      <c r="P632" t="n">
        <v>0</v>
      </c>
      <c r="Q632" t="n">
        <v>0</v>
      </c>
      <c r="R632" s="2" t="inlineStr"/>
    </row>
    <row r="633" ht="15" customHeight="1">
      <c r="A633" t="inlineStr">
        <is>
          <t>A 8721-2019</t>
        </is>
      </c>
      <c r="B633" s="1" t="n">
        <v>43503</v>
      </c>
      <c r="C633" s="1" t="n">
        <v>45224</v>
      </c>
      <c r="D633" t="inlineStr">
        <is>
          <t>STOCKHOLMS LÄN</t>
        </is>
      </c>
      <c r="E633" t="inlineStr">
        <is>
          <t>NORRTÄLJE</t>
        </is>
      </c>
      <c r="G633" t="n">
        <v>5.2</v>
      </c>
      <c r="H633" t="n">
        <v>0</v>
      </c>
      <c r="I633" t="n">
        <v>0</v>
      </c>
      <c r="J633" t="n">
        <v>0</v>
      </c>
      <c r="K633" t="n">
        <v>0</v>
      </c>
      <c r="L633" t="n">
        <v>0</v>
      </c>
      <c r="M633" t="n">
        <v>0</v>
      </c>
      <c r="N633" t="n">
        <v>0</v>
      </c>
      <c r="O633" t="n">
        <v>0</v>
      </c>
      <c r="P633" t="n">
        <v>0</v>
      </c>
      <c r="Q633" t="n">
        <v>0</v>
      </c>
      <c r="R633" s="2" t="inlineStr"/>
    </row>
    <row r="634" ht="15" customHeight="1">
      <c r="A634" t="inlineStr">
        <is>
          <t>A 8996-2019</t>
        </is>
      </c>
      <c r="B634" s="1" t="n">
        <v>43503</v>
      </c>
      <c r="C634" s="1" t="n">
        <v>45224</v>
      </c>
      <c r="D634" t="inlineStr">
        <is>
          <t>STOCKHOLMS LÄN</t>
        </is>
      </c>
      <c r="E634" t="inlineStr">
        <is>
          <t>ÖSTERÅKER</t>
        </is>
      </c>
      <c r="G634" t="n">
        <v>1.5</v>
      </c>
      <c r="H634" t="n">
        <v>0</v>
      </c>
      <c r="I634" t="n">
        <v>0</v>
      </c>
      <c r="J634" t="n">
        <v>0</v>
      </c>
      <c r="K634" t="n">
        <v>0</v>
      </c>
      <c r="L634" t="n">
        <v>0</v>
      </c>
      <c r="M634" t="n">
        <v>0</v>
      </c>
      <c r="N634" t="n">
        <v>0</v>
      </c>
      <c r="O634" t="n">
        <v>0</v>
      </c>
      <c r="P634" t="n">
        <v>0</v>
      </c>
      <c r="Q634" t="n">
        <v>0</v>
      </c>
      <c r="R634" s="2" t="inlineStr"/>
    </row>
    <row r="635" ht="15" customHeight="1">
      <c r="A635" t="inlineStr">
        <is>
          <t>A 9154-2019</t>
        </is>
      </c>
      <c r="B635" s="1" t="n">
        <v>43504</v>
      </c>
      <c r="C635" s="1" t="n">
        <v>45224</v>
      </c>
      <c r="D635" t="inlineStr">
        <is>
          <t>STOCKHOLMS LÄN</t>
        </is>
      </c>
      <c r="E635" t="inlineStr">
        <is>
          <t>NORRTÄLJE</t>
        </is>
      </c>
      <c r="G635" t="n">
        <v>2.9</v>
      </c>
      <c r="H635" t="n">
        <v>0</v>
      </c>
      <c r="I635" t="n">
        <v>0</v>
      </c>
      <c r="J635" t="n">
        <v>0</v>
      </c>
      <c r="K635" t="n">
        <v>0</v>
      </c>
      <c r="L635" t="n">
        <v>0</v>
      </c>
      <c r="M635" t="n">
        <v>0</v>
      </c>
      <c r="N635" t="n">
        <v>0</v>
      </c>
      <c r="O635" t="n">
        <v>0</v>
      </c>
      <c r="P635" t="n">
        <v>0</v>
      </c>
      <c r="Q635" t="n">
        <v>0</v>
      </c>
      <c r="R635" s="2" t="inlineStr"/>
    </row>
    <row r="636" ht="15" customHeight="1">
      <c r="A636" t="inlineStr">
        <is>
          <t>A 9090-2019</t>
        </is>
      </c>
      <c r="B636" s="1" t="n">
        <v>43504</v>
      </c>
      <c r="C636" s="1" t="n">
        <v>45224</v>
      </c>
      <c r="D636" t="inlineStr">
        <is>
          <t>STOCKHOLMS LÄN</t>
        </is>
      </c>
      <c r="E636" t="inlineStr">
        <is>
          <t>NORRTÄLJE</t>
        </is>
      </c>
      <c r="G636" t="n">
        <v>1</v>
      </c>
      <c r="H636" t="n">
        <v>0</v>
      </c>
      <c r="I636" t="n">
        <v>0</v>
      </c>
      <c r="J636" t="n">
        <v>0</v>
      </c>
      <c r="K636" t="n">
        <v>0</v>
      </c>
      <c r="L636" t="n">
        <v>0</v>
      </c>
      <c r="M636" t="n">
        <v>0</v>
      </c>
      <c r="N636" t="n">
        <v>0</v>
      </c>
      <c r="O636" t="n">
        <v>0</v>
      </c>
      <c r="P636" t="n">
        <v>0</v>
      </c>
      <c r="Q636" t="n">
        <v>0</v>
      </c>
      <c r="R636" s="2" t="inlineStr"/>
    </row>
    <row r="637" ht="15" customHeight="1">
      <c r="A637" t="inlineStr">
        <is>
          <t>A 9126-2019</t>
        </is>
      </c>
      <c r="B637" s="1" t="n">
        <v>43504</v>
      </c>
      <c r="C637" s="1" t="n">
        <v>45224</v>
      </c>
      <c r="D637" t="inlineStr">
        <is>
          <t>STOCKHOLMS LÄN</t>
        </is>
      </c>
      <c r="E637" t="inlineStr">
        <is>
          <t>VAXHOLM</t>
        </is>
      </c>
      <c r="F637" t="inlineStr">
        <is>
          <t>Övriga statliga verk och myndigheter</t>
        </is>
      </c>
      <c r="G637" t="n">
        <v>1.1</v>
      </c>
      <c r="H637" t="n">
        <v>0</v>
      </c>
      <c r="I637" t="n">
        <v>0</v>
      </c>
      <c r="J637" t="n">
        <v>0</v>
      </c>
      <c r="K637" t="n">
        <v>0</v>
      </c>
      <c r="L637" t="n">
        <v>0</v>
      </c>
      <c r="M637" t="n">
        <v>0</v>
      </c>
      <c r="N637" t="n">
        <v>0</v>
      </c>
      <c r="O637" t="n">
        <v>0</v>
      </c>
      <c r="P637" t="n">
        <v>0</v>
      </c>
      <c r="Q637" t="n">
        <v>0</v>
      </c>
      <c r="R637" s="2" t="inlineStr"/>
    </row>
    <row r="638" ht="15" customHeight="1">
      <c r="A638" t="inlineStr">
        <is>
          <t>A 9216-2019</t>
        </is>
      </c>
      <c r="B638" s="1" t="n">
        <v>43506</v>
      </c>
      <c r="C638" s="1" t="n">
        <v>45224</v>
      </c>
      <c r="D638" t="inlineStr">
        <is>
          <t>STOCKHOLMS LÄN</t>
        </is>
      </c>
      <c r="E638" t="inlineStr">
        <is>
          <t>NORRTÄLJE</t>
        </is>
      </c>
      <c r="G638" t="n">
        <v>3.8</v>
      </c>
      <c r="H638" t="n">
        <v>0</v>
      </c>
      <c r="I638" t="n">
        <v>0</v>
      </c>
      <c r="J638" t="n">
        <v>0</v>
      </c>
      <c r="K638" t="n">
        <v>0</v>
      </c>
      <c r="L638" t="n">
        <v>0</v>
      </c>
      <c r="M638" t="n">
        <v>0</v>
      </c>
      <c r="N638" t="n">
        <v>0</v>
      </c>
      <c r="O638" t="n">
        <v>0</v>
      </c>
      <c r="P638" t="n">
        <v>0</v>
      </c>
      <c r="Q638" t="n">
        <v>0</v>
      </c>
      <c r="R638" s="2" t="inlineStr"/>
    </row>
    <row r="639" ht="15" customHeight="1">
      <c r="A639" t="inlineStr">
        <is>
          <t>A 9452-2019</t>
        </is>
      </c>
      <c r="B639" s="1" t="n">
        <v>43507</v>
      </c>
      <c r="C639" s="1" t="n">
        <v>45224</v>
      </c>
      <c r="D639" t="inlineStr">
        <is>
          <t>STOCKHOLMS LÄN</t>
        </is>
      </c>
      <c r="E639" t="inlineStr">
        <is>
          <t>NORRTÄLJE</t>
        </is>
      </c>
      <c r="G639" t="n">
        <v>4.2</v>
      </c>
      <c r="H639" t="n">
        <v>0</v>
      </c>
      <c r="I639" t="n">
        <v>0</v>
      </c>
      <c r="J639" t="n">
        <v>0</v>
      </c>
      <c r="K639" t="n">
        <v>0</v>
      </c>
      <c r="L639" t="n">
        <v>0</v>
      </c>
      <c r="M639" t="n">
        <v>0</v>
      </c>
      <c r="N639" t="n">
        <v>0</v>
      </c>
      <c r="O639" t="n">
        <v>0</v>
      </c>
      <c r="P639" t="n">
        <v>0</v>
      </c>
      <c r="Q639" t="n">
        <v>0</v>
      </c>
      <c r="R639" s="2" t="inlineStr"/>
    </row>
    <row r="640" ht="15" customHeight="1">
      <c r="A640" t="inlineStr">
        <is>
          <t>A 9500-2019</t>
        </is>
      </c>
      <c r="B640" s="1" t="n">
        <v>43507</v>
      </c>
      <c r="C640" s="1" t="n">
        <v>45224</v>
      </c>
      <c r="D640" t="inlineStr">
        <is>
          <t>STOCKHOLMS LÄN</t>
        </is>
      </c>
      <c r="E640" t="inlineStr">
        <is>
          <t>NORRTÄLJE</t>
        </is>
      </c>
      <c r="G640" t="n">
        <v>3.7</v>
      </c>
      <c r="H640" t="n">
        <v>0</v>
      </c>
      <c r="I640" t="n">
        <v>0</v>
      </c>
      <c r="J640" t="n">
        <v>0</v>
      </c>
      <c r="K640" t="n">
        <v>0</v>
      </c>
      <c r="L640" t="n">
        <v>0</v>
      </c>
      <c r="M640" t="n">
        <v>0</v>
      </c>
      <c r="N640" t="n">
        <v>0</v>
      </c>
      <c r="O640" t="n">
        <v>0</v>
      </c>
      <c r="P640" t="n">
        <v>0</v>
      </c>
      <c r="Q640" t="n">
        <v>0</v>
      </c>
      <c r="R640" s="2" t="inlineStr"/>
    </row>
    <row r="641" ht="15" customHeight="1">
      <c r="A641" t="inlineStr">
        <is>
          <t>A 9506-2019</t>
        </is>
      </c>
      <c r="B641" s="1" t="n">
        <v>43507</v>
      </c>
      <c r="C641" s="1" t="n">
        <v>45224</v>
      </c>
      <c r="D641" t="inlineStr">
        <is>
          <t>STOCKHOLMS LÄN</t>
        </is>
      </c>
      <c r="E641" t="inlineStr">
        <is>
          <t>NORRTÄLJE</t>
        </is>
      </c>
      <c r="G641" t="n">
        <v>3.7</v>
      </c>
      <c r="H641" t="n">
        <v>0</v>
      </c>
      <c r="I641" t="n">
        <v>0</v>
      </c>
      <c r="J641" t="n">
        <v>0</v>
      </c>
      <c r="K641" t="n">
        <v>0</v>
      </c>
      <c r="L641" t="n">
        <v>0</v>
      </c>
      <c r="M641" t="n">
        <v>0</v>
      </c>
      <c r="N641" t="n">
        <v>0</v>
      </c>
      <c r="O641" t="n">
        <v>0</v>
      </c>
      <c r="P641" t="n">
        <v>0</v>
      </c>
      <c r="Q641" t="n">
        <v>0</v>
      </c>
      <c r="R641" s="2" t="inlineStr"/>
    </row>
    <row r="642" ht="15" customHeight="1">
      <c r="A642" t="inlineStr">
        <is>
          <t>A 9432-2019</t>
        </is>
      </c>
      <c r="B642" s="1" t="n">
        <v>43507</v>
      </c>
      <c r="C642" s="1" t="n">
        <v>45224</v>
      </c>
      <c r="D642" t="inlineStr">
        <is>
          <t>STOCKHOLMS LÄN</t>
        </is>
      </c>
      <c r="E642" t="inlineStr">
        <is>
          <t>NORRTÄLJE</t>
        </is>
      </c>
      <c r="G642" t="n">
        <v>4.3</v>
      </c>
      <c r="H642" t="n">
        <v>0</v>
      </c>
      <c r="I642" t="n">
        <v>0</v>
      </c>
      <c r="J642" t="n">
        <v>0</v>
      </c>
      <c r="K642" t="n">
        <v>0</v>
      </c>
      <c r="L642" t="n">
        <v>0</v>
      </c>
      <c r="M642" t="n">
        <v>0</v>
      </c>
      <c r="N642" t="n">
        <v>0</v>
      </c>
      <c r="O642" t="n">
        <v>0</v>
      </c>
      <c r="P642" t="n">
        <v>0</v>
      </c>
      <c r="Q642" t="n">
        <v>0</v>
      </c>
      <c r="R642" s="2" t="inlineStr"/>
    </row>
    <row r="643" ht="15" customHeight="1">
      <c r="A643" t="inlineStr">
        <is>
          <t>A 9507-2019</t>
        </is>
      </c>
      <c r="B643" s="1" t="n">
        <v>43507</v>
      </c>
      <c r="C643" s="1" t="n">
        <v>45224</v>
      </c>
      <c r="D643" t="inlineStr">
        <is>
          <t>STOCKHOLMS LÄN</t>
        </is>
      </c>
      <c r="E643" t="inlineStr">
        <is>
          <t>NORRTÄLJE</t>
        </is>
      </c>
      <c r="G643" t="n">
        <v>4.3</v>
      </c>
      <c r="H643" t="n">
        <v>0</v>
      </c>
      <c r="I643" t="n">
        <v>0</v>
      </c>
      <c r="J643" t="n">
        <v>0</v>
      </c>
      <c r="K643" t="n">
        <v>0</v>
      </c>
      <c r="L643" t="n">
        <v>0</v>
      </c>
      <c r="M643" t="n">
        <v>0</v>
      </c>
      <c r="N643" t="n">
        <v>0</v>
      </c>
      <c r="O643" t="n">
        <v>0</v>
      </c>
      <c r="P643" t="n">
        <v>0</v>
      </c>
      <c r="Q643" t="n">
        <v>0</v>
      </c>
      <c r="R643" s="2" t="inlineStr"/>
    </row>
    <row r="644" ht="15" customHeight="1">
      <c r="A644" t="inlineStr">
        <is>
          <t>A 9447-2019</t>
        </is>
      </c>
      <c r="B644" s="1" t="n">
        <v>43507</v>
      </c>
      <c r="C644" s="1" t="n">
        <v>45224</v>
      </c>
      <c r="D644" t="inlineStr">
        <is>
          <t>STOCKHOLMS LÄN</t>
        </is>
      </c>
      <c r="E644" t="inlineStr">
        <is>
          <t>NORRTÄLJE</t>
        </is>
      </c>
      <c r="G644" t="n">
        <v>1</v>
      </c>
      <c r="H644" t="n">
        <v>0</v>
      </c>
      <c r="I644" t="n">
        <v>0</v>
      </c>
      <c r="J644" t="n">
        <v>0</v>
      </c>
      <c r="K644" t="n">
        <v>0</v>
      </c>
      <c r="L644" t="n">
        <v>0</v>
      </c>
      <c r="M644" t="n">
        <v>0</v>
      </c>
      <c r="N644" t="n">
        <v>0</v>
      </c>
      <c r="O644" t="n">
        <v>0</v>
      </c>
      <c r="P644" t="n">
        <v>0</v>
      </c>
      <c r="Q644" t="n">
        <v>0</v>
      </c>
      <c r="R644" s="2" t="inlineStr"/>
    </row>
    <row r="645" ht="15" customHeight="1">
      <c r="A645" t="inlineStr">
        <is>
          <t>A 9505-2019</t>
        </is>
      </c>
      <c r="B645" s="1" t="n">
        <v>43507</v>
      </c>
      <c r="C645" s="1" t="n">
        <v>45224</v>
      </c>
      <c r="D645" t="inlineStr">
        <is>
          <t>STOCKHOLMS LÄN</t>
        </is>
      </c>
      <c r="E645" t="inlineStr">
        <is>
          <t>NORRTÄLJE</t>
        </is>
      </c>
      <c r="G645" t="n">
        <v>2.9</v>
      </c>
      <c r="H645" t="n">
        <v>0</v>
      </c>
      <c r="I645" t="n">
        <v>0</v>
      </c>
      <c r="J645" t="n">
        <v>0</v>
      </c>
      <c r="K645" t="n">
        <v>0</v>
      </c>
      <c r="L645" t="n">
        <v>0</v>
      </c>
      <c r="M645" t="n">
        <v>0</v>
      </c>
      <c r="N645" t="n">
        <v>0</v>
      </c>
      <c r="O645" t="n">
        <v>0</v>
      </c>
      <c r="P645" t="n">
        <v>0</v>
      </c>
      <c r="Q645" t="n">
        <v>0</v>
      </c>
      <c r="R645" s="2" t="inlineStr"/>
    </row>
    <row r="646" ht="15" customHeight="1">
      <c r="A646" t="inlineStr">
        <is>
          <t>A 9462-2019</t>
        </is>
      </c>
      <c r="B646" s="1" t="n">
        <v>43507</v>
      </c>
      <c r="C646" s="1" t="n">
        <v>45224</v>
      </c>
      <c r="D646" t="inlineStr">
        <is>
          <t>STOCKHOLMS LÄN</t>
        </is>
      </c>
      <c r="E646" t="inlineStr">
        <is>
          <t>NORRTÄLJE</t>
        </is>
      </c>
      <c r="G646" t="n">
        <v>4.4</v>
      </c>
      <c r="H646" t="n">
        <v>0</v>
      </c>
      <c r="I646" t="n">
        <v>0</v>
      </c>
      <c r="J646" t="n">
        <v>0</v>
      </c>
      <c r="K646" t="n">
        <v>0</v>
      </c>
      <c r="L646" t="n">
        <v>0</v>
      </c>
      <c r="M646" t="n">
        <v>0</v>
      </c>
      <c r="N646" t="n">
        <v>0</v>
      </c>
      <c r="O646" t="n">
        <v>0</v>
      </c>
      <c r="P646" t="n">
        <v>0</v>
      </c>
      <c r="Q646" t="n">
        <v>0</v>
      </c>
      <c r="R646" s="2" t="inlineStr"/>
    </row>
    <row r="647" ht="15" customHeight="1">
      <c r="A647" t="inlineStr">
        <is>
          <t>A 9504-2019</t>
        </is>
      </c>
      <c r="B647" s="1" t="n">
        <v>43507</v>
      </c>
      <c r="C647" s="1" t="n">
        <v>45224</v>
      </c>
      <c r="D647" t="inlineStr">
        <is>
          <t>STOCKHOLMS LÄN</t>
        </is>
      </c>
      <c r="E647" t="inlineStr">
        <is>
          <t>NORRTÄLJE</t>
        </is>
      </c>
      <c r="G647" t="n">
        <v>2.9</v>
      </c>
      <c r="H647" t="n">
        <v>0</v>
      </c>
      <c r="I647" t="n">
        <v>0</v>
      </c>
      <c r="J647" t="n">
        <v>0</v>
      </c>
      <c r="K647" t="n">
        <v>0</v>
      </c>
      <c r="L647" t="n">
        <v>0</v>
      </c>
      <c r="M647" t="n">
        <v>0</v>
      </c>
      <c r="N647" t="n">
        <v>0</v>
      </c>
      <c r="O647" t="n">
        <v>0</v>
      </c>
      <c r="P647" t="n">
        <v>0</v>
      </c>
      <c r="Q647" t="n">
        <v>0</v>
      </c>
      <c r="R647" s="2" t="inlineStr"/>
    </row>
    <row r="648" ht="15" customHeight="1">
      <c r="A648" t="inlineStr">
        <is>
          <t>A 9569-2019</t>
        </is>
      </c>
      <c r="B648" s="1" t="n">
        <v>43508</v>
      </c>
      <c r="C648" s="1" t="n">
        <v>45224</v>
      </c>
      <c r="D648" t="inlineStr">
        <is>
          <t>STOCKHOLMS LÄN</t>
        </is>
      </c>
      <c r="E648" t="inlineStr">
        <is>
          <t>VÄRMDÖ</t>
        </is>
      </c>
      <c r="G648" t="n">
        <v>2.6</v>
      </c>
      <c r="H648" t="n">
        <v>0</v>
      </c>
      <c r="I648" t="n">
        <v>0</v>
      </c>
      <c r="J648" t="n">
        <v>0</v>
      </c>
      <c r="K648" t="n">
        <v>0</v>
      </c>
      <c r="L648" t="n">
        <v>0</v>
      </c>
      <c r="M648" t="n">
        <v>0</v>
      </c>
      <c r="N648" t="n">
        <v>0</v>
      </c>
      <c r="O648" t="n">
        <v>0</v>
      </c>
      <c r="P648" t="n">
        <v>0</v>
      </c>
      <c r="Q648" t="n">
        <v>0</v>
      </c>
      <c r="R648" s="2" t="inlineStr"/>
    </row>
    <row r="649" ht="15" customHeight="1">
      <c r="A649" t="inlineStr">
        <is>
          <t>A 9619-2019</t>
        </is>
      </c>
      <c r="B649" s="1" t="n">
        <v>43508</v>
      </c>
      <c r="C649" s="1" t="n">
        <v>45224</v>
      </c>
      <c r="D649" t="inlineStr">
        <is>
          <t>STOCKHOLMS LÄN</t>
        </is>
      </c>
      <c r="E649" t="inlineStr">
        <is>
          <t>VÄRMDÖ</t>
        </is>
      </c>
      <c r="G649" t="n">
        <v>1.8</v>
      </c>
      <c r="H649" t="n">
        <v>0</v>
      </c>
      <c r="I649" t="n">
        <v>0</v>
      </c>
      <c r="J649" t="n">
        <v>0</v>
      </c>
      <c r="K649" t="n">
        <v>0</v>
      </c>
      <c r="L649" t="n">
        <v>0</v>
      </c>
      <c r="M649" t="n">
        <v>0</v>
      </c>
      <c r="N649" t="n">
        <v>0</v>
      </c>
      <c r="O649" t="n">
        <v>0</v>
      </c>
      <c r="P649" t="n">
        <v>0</v>
      </c>
      <c r="Q649" t="n">
        <v>0</v>
      </c>
      <c r="R649" s="2" t="inlineStr"/>
    </row>
    <row r="650" ht="15" customHeight="1">
      <c r="A650" t="inlineStr">
        <is>
          <t>A 9641-2019</t>
        </is>
      </c>
      <c r="B650" s="1" t="n">
        <v>43508</v>
      </c>
      <c r="C650" s="1" t="n">
        <v>45224</v>
      </c>
      <c r="D650" t="inlineStr">
        <is>
          <t>STOCKHOLMS LÄN</t>
        </is>
      </c>
      <c r="E650" t="inlineStr">
        <is>
          <t>SÖDERTÄLJE</t>
        </is>
      </c>
      <c r="G650" t="n">
        <v>21.7</v>
      </c>
      <c r="H650" t="n">
        <v>0</v>
      </c>
      <c r="I650" t="n">
        <v>0</v>
      </c>
      <c r="J650" t="n">
        <v>0</v>
      </c>
      <c r="K650" t="n">
        <v>0</v>
      </c>
      <c r="L650" t="n">
        <v>0</v>
      </c>
      <c r="M650" t="n">
        <v>0</v>
      </c>
      <c r="N650" t="n">
        <v>0</v>
      </c>
      <c r="O650" t="n">
        <v>0</v>
      </c>
      <c r="P650" t="n">
        <v>0</v>
      </c>
      <c r="Q650" t="n">
        <v>0</v>
      </c>
      <c r="R650" s="2" t="inlineStr"/>
    </row>
    <row r="651" ht="15" customHeight="1">
      <c r="A651" t="inlineStr">
        <is>
          <t>A 9693-2019</t>
        </is>
      </c>
      <c r="B651" s="1" t="n">
        <v>43508</v>
      </c>
      <c r="C651" s="1" t="n">
        <v>45224</v>
      </c>
      <c r="D651" t="inlineStr">
        <is>
          <t>STOCKHOLMS LÄN</t>
        </is>
      </c>
      <c r="E651" t="inlineStr">
        <is>
          <t>NORRTÄLJE</t>
        </is>
      </c>
      <c r="F651" t="inlineStr">
        <is>
          <t>Övriga statliga verk och myndigheter</t>
        </is>
      </c>
      <c r="G651" t="n">
        <v>3</v>
      </c>
      <c r="H651" t="n">
        <v>0</v>
      </c>
      <c r="I651" t="n">
        <v>0</v>
      </c>
      <c r="J651" t="n">
        <v>0</v>
      </c>
      <c r="K651" t="n">
        <v>0</v>
      </c>
      <c r="L651" t="n">
        <v>0</v>
      </c>
      <c r="M651" t="n">
        <v>0</v>
      </c>
      <c r="N651" t="n">
        <v>0</v>
      </c>
      <c r="O651" t="n">
        <v>0</v>
      </c>
      <c r="P651" t="n">
        <v>0</v>
      </c>
      <c r="Q651" t="n">
        <v>0</v>
      </c>
      <c r="R651" s="2" t="inlineStr"/>
    </row>
    <row r="652" ht="15" customHeight="1">
      <c r="A652" t="inlineStr">
        <is>
          <t>A 9712-2019</t>
        </is>
      </c>
      <c r="B652" s="1" t="n">
        <v>43508</v>
      </c>
      <c r="C652" s="1" t="n">
        <v>45224</v>
      </c>
      <c r="D652" t="inlineStr">
        <is>
          <t>STOCKHOLMS LÄN</t>
        </is>
      </c>
      <c r="E652" t="inlineStr">
        <is>
          <t>NORRTÄLJE</t>
        </is>
      </c>
      <c r="G652" t="n">
        <v>3.7</v>
      </c>
      <c r="H652" t="n">
        <v>0</v>
      </c>
      <c r="I652" t="n">
        <v>0</v>
      </c>
      <c r="J652" t="n">
        <v>0</v>
      </c>
      <c r="K652" t="n">
        <v>0</v>
      </c>
      <c r="L652" t="n">
        <v>0</v>
      </c>
      <c r="M652" t="n">
        <v>0</v>
      </c>
      <c r="N652" t="n">
        <v>0</v>
      </c>
      <c r="O652" t="n">
        <v>0</v>
      </c>
      <c r="P652" t="n">
        <v>0</v>
      </c>
      <c r="Q652" t="n">
        <v>0</v>
      </c>
      <c r="R652" s="2" t="inlineStr"/>
    </row>
    <row r="653" ht="15" customHeight="1">
      <c r="A653" t="inlineStr">
        <is>
          <t>A 9722-2019</t>
        </is>
      </c>
      <c r="B653" s="1" t="n">
        <v>43508</v>
      </c>
      <c r="C653" s="1" t="n">
        <v>45224</v>
      </c>
      <c r="D653" t="inlineStr">
        <is>
          <t>STOCKHOLMS LÄN</t>
        </is>
      </c>
      <c r="E653" t="inlineStr">
        <is>
          <t>VÄRMDÖ</t>
        </is>
      </c>
      <c r="G653" t="n">
        <v>1.1</v>
      </c>
      <c r="H653" t="n">
        <v>0</v>
      </c>
      <c r="I653" t="n">
        <v>0</v>
      </c>
      <c r="J653" t="n">
        <v>0</v>
      </c>
      <c r="K653" t="n">
        <v>0</v>
      </c>
      <c r="L653" t="n">
        <v>0</v>
      </c>
      <c r="M653" t="n">
        <v>0</v>
      </c>
      <c r="N653" t="n">
        <v>0</v>
      </c>
      <c r="O653" t="n">
        <v>0</v>
      </c>
      <c r="P653" t="n">
        <v>0</v>
      </c>
      <c r="Q653" t="n">
        <v>0</v>
      </c>
      <c r="R653" s="2" t="inlineStr"/>
    </row>
    <row r="654" ht="15" customHeight="1">
      <c r="A654" t="inlineStr">
        <is>
          <t>A 9577-2019</t>
        </is>
      </c>
      <c r="B654" s="1" t="n">
        <v>43508</v>
      </c>
      <c r="C654" s="1" t="n">
        <v>45224</v>
      </c>
      <c r="D654" t="inlineStr">
        <is>
          <t>STOCKHOLMS LÄN</t>
        </is>
      </c>
      <c r="E654" t="inlineStr">
        <is>
          <t>NORRTÄLJE</t>
        </is>
      </c>
      <c r="G654" t="n">
        <v>1.5</v>
      </c>
      <c r="H654" t="n">
        <v>0</v>
      </c>
      <c r="I654" t="n">
        <v>0</v>
      </c>
      <c r="J654" t="n">
        <v>0</v>
      </c>
      <c r="K654" t="n">
        <v>0</v>
      </c>
      <c r="L654" t="n">
        <v>0</v>
      </c>
      <c r="M654" t="n">
        <v>0</v>
      </c>
      <c r="N654" t="n">
        <v>0</v>
      </c>
      <c r="O654" t="n">
        <v>0</v>
      </c>
      <c r="P654" t="n">
        <v>0</v>
      </c>
      <c r="Q654" t="n">
        <v>0</v>
      </c>
      <c r="R654" s="2" t="inlineStr"/>
    </row>
    <row r="655" ht="15" customHeight="1">
      <c r="A655" t="inlineStr">
        <is>
          <t>A 9723-2019</t>
        </is>
      </c>
      <c r="B655" s="1" t="n">
        <v>43508</v>
      </c>
      <c r="C655" s="1" t="n">
        <v>45224</v>
      </c>
      <c r="D655" t="inlineStr">
        <is>
          <t>STOCKHOLMS LÄN</t>
        </is>
      </c>
      <c r="E655" t="inlineStr">
        <is>
          <t>VÄRMDÖ</t>
        </is>
      </c>
      <c r="G655" t="n">
        <v>1.2</v>
      </c>
      <c r="H655" t="n">
        <v>0</v>
      </c>
      <c r="I655" t="n">
        <v>0</v>
      </c>
      <c r="J655" t="n">
        <v>0</v>
      </c>
      <c r="K655" t="n">
        <v>0</v>
      </c>
      <c r="L655" t="n">
        <v>0</v>
      </c>
      <c r="M655" t="n">
        <v>0</v>
      </c>
      <c r="N655" t="n">
        <v>0</v>
      </c>
      <c r="O655" t="n">
        <v>0</v>
      </c>
      <c r="P655" t="n">
        <v>0</v>
      </c>
      <c r="Q655" t="n">
        <v>0</v>
      </c>
      <c r="R655" s="2" t="inlineStr"/>
    </row>
    <row r="656" ht="15" customHeight="1">
      <c r="A656" t="inlineStr">
        <is>
          <t>A 9550-2019</t>
        </is>
      </c>
      <c r="B656" s="1" t="n">
        <v>43508</v>
      </c>
      <c r="C656" s="1" t="n">
        <v>45224</v>
      </c>
      <c r="D656" t="inlineStr">
        <is>
          <t>STOCKHOLMS LÄN</t>
        </is>
      </c>
      <c r="E656" t="inlineStr">
        <is>
          <t>VÄRMDÖ</t>
        </is>
      </c>
      <c r="G656" t="n">
        <v>1.3</v>
      </c>
      <c r="H656" t="n">
        <v>0</v>
      </c>
      <c r="I656" t="n">
        <v>0</v>
      </c>
      <c r="J656" t="n">
        <v>0</v>
      </c>
      <c r="K656" t="n">
        <v>0</v>
      </c>
      <c r="L656" t="n">
        <v>0</v>
      </c>
      <c r="M656" t="n">
        <v>0</v>
      </c>
      <c r="N656" t="n">
        <v>0</v>
      </c>
      <c r="O656" t="n">
        <v>0</v>
      </c>
      <c r="P656" t="n">
        <v>0</v>
      </c>
      <c r="Q656" t="n">
        <v>0</v>
      </c>
      <c r="R656" s="2" t="inlineStr"/>
    </row>
    <row r="657" ht="15" customHeight="1">
      <c r="A657" t="inlineStr">
        <is>
          <t>A 9605-2019</t>
        </is>
      </c>
      <c r="B657" s="1" t="n">
        <v>43508</v>
      </c>
      <c r="C657" s="1" t="n">
        <v>45224</v>
      </c>
      <c r="D657" t="inlineStr">
        <is>
          <t>STOCKHOLMS LÄN</t>
        </is>
      </c>
      <c r="E657" t="inlineStr">
        <is>
          <t>VÄRMDÖ</t>
        </is>
      </c>
      <c r="G657" t="n">
        <v>2.2</v>
      </c>
      <c r="H657" t="n">
        <v>0</v>
      </c>
      <c r="I657" t="n">
        <v>0</v>
      </c>
      <c r="J657" t="n">
        <v>0</v>
      </c>
      <c r="K657" t="n">
        <v>0</v>
      </c>
      <c r="L657" t="n">
        <v>0</v>
      </c>
      <c r="M657" t="n">
        <v>0</v>
      </c>
      <c r="N657" t="n">
        <v>0</v>
      </c>
      <c r="O657" t="n">
        <v>0</v>
      </c>
      <c r="P657" t="n">
        <v>0</v>
      </c>
      <c r="Q657" t="n">
        <v>0</v>
      </c>
      <c r="R657" s="2" t="inlineStr"/>
    </row>
    <row r="658" ht="15" customHeight="1">
      <c r="A658" t="inlineStr">
        <is>
          <t>A 9644-2019</t>
        </is>
      </c>
      <c r="B658" s="1" t="n">
        <v>43508</v>
      </c>
      <c r="C658" s="1" t="n">
        <v>45224</v>
      </c>
      <c r="D658" t="inlineStr">
        <is>
          <t>STOCKHOLMS LÄN</t>
        </is>
      </c>
      <c r="E658" t="inlineStr">
        <is>
          <t>UPPLANDS VÄSBY</t>
        </is>
      </c>
      <c r="G658" t="n">
        <v>5</v>
      </c>
      <c r="H658" t="n">
        <v>0</v>
      </c>
      <c r="I658" t="n">
        <v>0</v>
      </c>
      <c r="J658" t="n">
        <v>0</v>
      </c>
      <c r="K658" t="n">
        <v>0</v>
      </c>
      <c r="L658" t="n">
        <v>0</v>
      </c>
      <c r="M658" t="n">
        <v>0</v>
      </c>
      <c r="N658" t="n">
        <v>0</v>
      </c>
      <c r="O658" t="n">
        <v>0</v>
      </c>
      <c r="P658" t="n">
        <v>0</v>
      </c>
      <c r="Q658" t="n">
        <v>0</v>
      </c>
      <c r="R658" s="2" t="inlineStr"/>
    </row>
    <row r="659" ht="15" customHeight="1">
      <c r="A659" t="inlineStr">
        <is>
          <t>A 9687-2019</t>
        </is>
      </c>
      <c r="B659" s="1" t="n">
        <v>43508</v>
      </c>
      <c r="C659" s="1" t="n">
        <v>45224</v>
      </c>
      <c r="D659" t="inlineStr">
        <is>
          <t>STOCKHOLMS LÄN</t>
        </is>
      </c>
      <c r="E659" t="inlineStr">
        <is>
          <t>NORRTÄLJE</t>
        </is>
      </c>
      <c r="F659" t="inlineStr">
        <is>
          <t>Övriga statliga verk och myndigheter</t>
        </is>
      </c>
      <c r="G659" t="n">
        <v>10</v>
      </c>
      <c r="H659" t="n">
        <v>0</v>
      </c>
      <c r="I659" t="n">
        <v>0</v>
      </c>
      <c r="J659" t="n">
        <v>0</v>
      </c>
      <c r="K659" t="n">
        <v>0</v>
      </c>
      <c r="L659" t="n">
        <v>0</v>
      </c>
      <c r="M659" t="n">
        <v>0</v>
      </c>
      <c r="N659" t="n">
        <v>0</v>
      </c>
      <c r="O659" t="n">
        <v>0</v>
      </c>
      <c r="P659" t="n">
        <v>0</v>
      </c>
      <c r="Q659" t="n">
        <v>0</v>
      </c>
      <c r="R659" s="2" t="inlineStr"/>
    </row>
    <row r="660" ht="15" customHeight="1">
      <c r="A660" t="inlineStr">
        <is>
          <t>A 9725-2019</t>
        </is>
      </c>
      <c r="B660" s="1" t="n">
        <v>43508</v>
      </c>
      <c r="C660" s="1" t="n">
        <v>45224</v>
      </c>
      <c r="D660" t="inlineStr">
        <is>
          <t>STOCKHOLMS LÄN</t>
        </is>
      </c>
      <c r="E660" t="inlineStr">
        <is>
          <t>VÄRMDÖ</t>
        </is>
      </c>
      <c r="G660" t="n">
        <v>3.5</v>
      </c>
      <c r="H660" t="n">
        <v>0</v>
      </c>
      <c r="I660" t="n">
        <v>0</v>
      </c>
      <c r="J660" t="n">
        <v>0</v>
      </c>
      <c r="K660" t="n">
        <v>0</v>
      </c>
      <c r="L660" t="n">
        <v>0</v>
      </c>
      <c r="M660" t="n">
        <v>0</v>
      </c>
      <c r="N660" t="n">
        <v>0</v>
      </c>
      <c r="O660" t="n">
        <v>0</v>
      </c>
      <c r="P660" t="n">
        <v>0</v>
      </c>
      <c r="Q660" t="n">
        <v>0</v>
      </c>
      <c r="R660" s="2" t="inlineStr"/>
    </row>
    <row r="661" ht="15" customHeight="1">
      <c r="A661" t="inlineStr">
        <is>
          <t>A 9556-2019</t>
        </is>
      </c>
      <c r="B661" s="1" t="n">
        <v>43508</v>
      </c>
      <c r="C661" s="1" t="n">
        <v>45224</v>
      </c>
      <c r="D661" t="inlineStr">
        <is>
          <t>STOCKHOLMS LÄN</t>
        </is>
      </c>
      <c r="E661" t="inlineStr">
        <is>
          <t>SÖDERTÄLJE</t>
        </is>
      </c>
      <c r="G661" t="n">
        <v>1.5</v>
      </c>
      <c r="H661" t="n">
        <v>0</v>
      </c>
      <c r="I661" t="n">
        <v>0</v>
      </c>
      <c r="J661" t="n">
        <v>0</v>
      </c>
      <c r="K661" t="n">
        <v>0</v>
      </c>
      <c r="L661" t="n">
        <v>0</v>
      </c>
      <c r="M661" t="n">
        <v>0</v>
      </c>
      <c r="N661" t="n">
        <v>0</v>
      </c>
      <c r="O661" t="n">
        <v>0</v>
      </c>
      <c r="P661" t="n">
        <v>0</v>
      </c>
      <c r="Q661" t="n">
        <v>0</v>
      </c>
      <c r="R661" s="2" t="inlineStr"/>
    </row>
    <row r="662" ht="15" customHeight="1">
      <c r="A662" t="inlineStr">
        <is>
          <t>A 9893-2019</t>
        </is>
      </c>
      <c r="B662" s="1" t="n">
        <v>43509</v>
      </c>
      <c r="C662" s="1" t="n">
        <v>45224</v>
      </c>
      <c r="D662" t="inlineStr">
        <is>
          <t>STOCKHOLMS LÄN</t>
        </is>
      </c>
      <c r="E662" t="inlineStr">
        <is>
          <t>VALLENTUNA</t>
        </is>
      </c>
      <c r="G662" t="n">
        <v>2.1</v>
      </c>
      <c r="H662" t="n">
        <v>0</v>
      </c>
      <c r="I662" t="n">
        <v>0</v>
      </c>
      <c r="J662" t="n">
        <v>0</v>
      </c>
      <c r="K662" t="n">
        <v>0</v>
      </c>
      <c r="L662" t="n">
        <v>0</v>
      </c>
      <c r="M662" t="n">
        <v>0</v>
      </c>
      <c r="N662" t="n">
        <v>0</v>
      </c>
      <c r="O662" t="n">
        <v>0</v>
      </c>
      <c r="P662" t="n">
        <v>0</v>
      </c>
      <c r="Q662" t="n">
        <v>0</v>
      </c>
      <c r="R662" s="2" t="inlineStr"/>
    </row>
    <row r="663" ht="15" customHeight="1">
      <c r="A663" t="inlineStr">
        <is>
          <t>A 9927-2019</t>
        </is>
      </c>
      <c r="B663" s="1" t="n">
        <v>43509</v>
      </c>
      <c r="C663" s="1" t="n">
        <v>45224</v>
      </c>
      <c r="D663" t="inlineStr">
        <is>
          <t>STOCKHOLMS LÄN</t>
        </is>
      </c>
      <c r="E663" t="inlineStr">
        <is>
          <t>NORRTÄLJE</t>
        </is>
      </c>
      <c r="G663" t="n">
        <v>3.7</v>
      </c>
      <c r="H663" t="n">
        <v>0</v>
      </c>
      <c r="I663" t="n">
        <v>0</v>
      </c>
      <c r="J663" t="n">
        <v>0</v>
      </c>
      <c r="K663" t="n">
        <v>0</v>
      </c>
      <c r="L663" t="n">
        <v>0</v>
      </c>
      <c r="M663" t="n">
        <v>0</v>
      </c>
      <c r="N663" t="n">
        <v>0</v>
      </c>
      <c r="O663" t="n">
        <v>0</v>
      </c>
      <c r="P663" t="n">
        <v>0</v>
      </c>
      <c r="Q663" t="n">
        <v>0</v>
      </c>
      <c r="R663" s="2" t="inlineStr"/>
    </row>
    <row r="664" ht="15" customHeight="1">
      <c r="A664" t="inlineStr">
        <is>
          <t>A 10049-2019</t>
        </is>
      </c>
      <c r="B664" s="1" t="n">
        <v>43510</v>
      </c>
      <c r="C664" s="1" t="n">
        <v>45224</v>
      </c>
      <c r="D664" t="inlineStr">
        <is>
          <t>STOCKHOLMS LÄN</t>
        </is>
      </c>
      <c r="E664" t="inlineStr">
        <is>
          <t>NORRTÄLJE</t>
        </is>
      </c>
      <c r="G664" t="n">
        <v>3.8</v>
      </c>
      <c r="H664" t="n">
        <v>0</v>
      </c>
      <c r="I664" t="n">
        <v>0</v>
      </c>
      <c r="J664" t="n">
        <v>0</v>
      </c>
      <c r="K664" t="n">
        <v>0</v>
      </c>
      <c r="L664" t="n">
        <v>0</v>
      </c>
      <c r="M664" t="n">
        <v>0</v>
      </c>
      <c r="N664" t="n">
        <v>0</v>
      </c>
      <c r="O664" t="n">
        <v>0</v>
      </c>
      <c r="P664" t="n">
        <v>0</v>
      </c>
      <c r="Q664" t="n">
        <v>0</v>
      </c>
      <c r="R664" s="2" t="inlineStr"/>
    </row>
    <row r="665" ht="15" customHeight="1">
      <c r="A665" t="inlineStr">
        <is>
          <t>A 10055-2019</t>
        </is>
      </c>
      <c r="B665" s="1" t="n">
        <v>43510</v>
      </c>
      <c r="C665" s="1" t="n">
        <v>45224</v>
      </c>
      <c r="D665" t="inlineStr">
        <is>
          <t>STOCKHOLMS LÄN</t>
        </is>
      </c>
      <c r="E665" t="inlineStr">
        <is>
          <t>NORRTÄLJE</t>
        </is>
      </c>
      <c r="G665" t="n">
        <v>3.2</v>
      </c>
      <c r="H665" t="n">
        <v>0</v>
      </c>
      <c r="I665" t="n">
        <v>0</v>
      </c>
      <c r="J665" t="n">
        <v>0</v>
      </c>
      <c r="K665" t="n">
        <v>0</v>
      </c>
      <c r="L665" t="n">
        <v>0</v>
      </c>
      <c r="M665" t="n">
        <v>0</v>
      </c>
      <c r="N665" t="n">
        <v>0</v>
      </c>
      <c r="O665" t="n">
        <v>0</v>
      </c>
      <c r="P665" t="n">
        <v>0</v>
      </c>
      <c r="Q665" t="n">
        <v>0</v>
      </c>
      <c r="R665" s="2" t="inlineStr"/>
    </row>
    <row r="666" ht="15" customHeight="1">
      <c r="A666" t="inlineStr">
        <is>
          <t>A 10062-2019</t>
        </is>
      </c>
      <c r="B666" s="1" t="n">
        <v>43510</v>
      </c>
      <c r="C666" s="1" t="n">
        <v>45224</v>
      </c>
      <c r="D666" t="inlineStr">
        <is>
          <t>STOCKHOLMS LÄN</t>
        </is>
      </c>
      <c r="E666" t="inlineStr">
        <is>
          <t>NORRTÄLJE</t>
        </is>
      </c>
      <c r="G666" t="n">
        <v>1.7</v>
      </c>
      <c r="H666" t="n">
        <v>0</v>
      </c>
      <c r="I666" t="n">
        <v>0</v>
      </c>
      <c r="J666" t="n">
        <v>0</v>
      </c>
      <c r="K666" t="n">
        <v>0</v>
      </c>
      <c r="L666" t="n">
        <v>0</v>
      </c>
      <c r="M666" t="n">
        <v>0</v>
      </c>
      <c r="N666" t="n">
        <v>0</v>
      </c>
      <c r="O666" t="n">
        <v>0</v>
      </c>
      <c r="P666" t="n">
        <v>0</v>
      </c>
      <c r="Q666" t="n">
        <v>0</v>
      </c>
      <c r="R666" s="2" t="inlineStr"/>
    </row>
    <row r="667" ht="15" customHeight="1">
      <c r="A667" t="inlineStr">
        <is>
          <t>A 10100-2019</t>
        </is>
      </c>
      <c r="B667" s="1" t="n">
        <v>43510</v>
      </c>
      <c r="C667" s="1" t="n">
        <v>45224</v>
      </c>
      <c r="D667" t="inlineStr">
        <is>
          <t>STOCKHOLMS LÄN</t>
        </is>
      </c>
      <c r="E667" t="inlineStr">
        <is>
          <t>NORRTÄLJE</t>
        </is>
      </c>
      <c r="G667" t="n">
        <v>2.5</v>
      </c>
      <c r="H667" t="n">
        <v>0</v>
      </c>
      <c r="I667" t="n">
        <v>0</v>
      </c>
      <c r="J667" t="n">
        <v>0</v>
      </c>
      <c r="K667" t="n">
        <v>0</v>
      </c>
      <c r="L667" t="n">
        <v>0</v>
      </c>
      <c r="M667" t="n">
        <v>0</v>
      </c>
      <c r="N667" t="n">
        <v>0</v>
      </c>
      <c r="O667" t="n">
        <v>0</v>
      </c>
      <c r="P667" t="n">
        <v>0</v>
      </c>
      <c r="Q667" t="n">
        <v>0</v>
      </c>
      <c r="R667" s="2" t="inlineStr"/>
    </row>
    <row r="668" ht="15" customHeight="1">
      <c r="A668" t="inlineStr">
        <is>
          <t>A 10207-2019</t>
        </is>
      </c>
      <c r="B668" s="1" t="n">
        <v>43510</v>
      </c>
      <c r="C668" s="1" t="n">
        <v>45224</v>
      </c>
      <c r="D668" t="inlineStr">
        <is>
          <t>STOCKHOLMS LÄN</t>
        </is>
      </c>
      <c r="E668" t="inlineStr">
        <is>
          <t>NORRTÄLJE</t>
        </is>
      </c>
      <c r="G668" t="n">
        <v>2.2</v>
      </c>
      <c r="H668" t="n">
        <v>0</v>
      </c>
      <c r="I668" t="n">
        <v>0</v>
      </c>
      <c r="J668" t="n">
        <v>0</v>
      </c>
      <c r="K668" t="n">
        <v>0</v>
      </c>
      <c r="L668" t="n">
        <v>0</v>
      </c>
      <c r="M668" t="n">
        <v>0</v>
      </c>
      <c r="N668" t="n">
        <v>0</v>
      </c>
      <c r="O668" t="n">
        <v>0</v>
      </c>
      <c r="P668" t="n">
        <v>0</v>
      </c>
      <c r="Q668" t="n">
        <v>0</v>
      </c>
      <c r="R668" s="2" t="inlineStr"/>
    </row>
    <row r="669" ht="15" customHeight="1">
      <c r="A669" t="inlineStr">
        <is>
          <t>A 10071-2019</t>
        </is>
      </c>
      <c r="B669" s="1" t="n">
        <v>43510</v>
      </c>
      <c r="C669" s="1" t="n">
        <v>45224</v>
      </c>
      <c r="D669" t="inlineStr">
        <is>
          <t>STOCKHOLMS LÄN</t>
        </is>
      </c>
      <c r="E669" t="inlineStr">
        <is>
          <t>NORRTÄLJE</t>
        </is>
      </c>
      <c r="G669" t="n">
        <v>11.8</v>
      </c>
      <c r="H669" t="n">
        <v>0</v>
      </c>
      <c r="I669" t="n">
        <v>0</v>
      </c>
      <c r="J669" t="n">
        <v>0</v>
      </c>
      <c r="K669" t="n">
        <v>0</v>
      </c>
      <c r="L669" t="n">
        <v>0</v>
      </c>
      <c r="M669" t="n">
        <v>0</v>
      </c>
      <c r="N669" t="n">
        <v>0</v>
      </c>
      <c r="O669" t="n">
        <v>0</v>
      </c>
      <c r="P669" t="n">
        <v>0</v>
      </c>
      <c r="Q669" t="n">
        <v>0</v>
      </c>
      <c r="R669" s="2" t="inlineStr"/>
    </row>
    <row r="670" ht="15" customHeight="1">
      <c r="A670" t="inlineStr">
        <is>
          <t>A 10168-2019</t>
        </is>
      </c>
      <c r="B670" s="1" t="n">
        <v>43510</v>
      </c>
      <c r="C670" s="1" t="n">
        <v>45224</v>
      </c>
      <c r="D670" t="inlineStr">
        <is>
          <t>STOCKHOLMS LÄN</t>
        </is>
      </c>
      <c r="E670" t="inlineStr">
        <is>
          <t>NORRTÄLJE</t>
        </is>
      </c>
      <c r="G670" t="n">
        <v>3.4</v>
      </c>
      <c r="H670" t="n">
        <v>0</v>
      </c>
      <c r="I670" t="n">
        <v>0</v>
      </c>
      <c r="J670" t="n">
        <v>0</v>
      </c>
      <c r="K670" t="n">
        <v>0</v>
      </c>
      <c r="L670" t="n">
        <v>0</v>
      </c>
      <c r="M670" t="n">
        <v>0</v>
      </c>
      <c r="N670" t="n">
        <v>0</v>
      </c>
      <c r="O670" t="n">
        <v>0</v>
      </c>
      <c r="P670" t="n">
        <v>0</v>
      </c>
      <c r="Q670" t="n">
        <v>0</v>
      </c>
      <c r="R670" s="2" t="inlineStr"/>
    </row>
    <row r="671" ht="15" customHeight="1">
      <c r="A671" t="inlineStr">
        <is>
          <t>A 10150-2019</t>
        </is>
      </c>
      <c r="B671" s="1" t="n">
        <v>43510</v>
      </c>
      <c r="C671" s="1" t="n">
        <v>45224</v>
      </c>
      <c r="D671" t="inlineStr">
        <is>
          <t>STOCKHOLMS LÄN</t>
        </is>
      </c>
      <c r="E671" t="inlineStr">
        <is>
          <t>NORRTÄLJE</t>
        </is>
      </c>
      <c r="G671" t="n">
        <v>1.1</v>
      </c>
      <c r="H671" t="n">
        <v>0</v>
      </c>
      <c r="I671" t="n">
        <v>0</v>
      </c>
      <c r="J671" t="n">
        <v>0</v>
      </c>
      <c r="K671" t="n">
        <v>0</v>
      </c>
      <c r="L671" t="n">
        <v>0</v>
      </c>
      <c r="M671" t="n">
        <v>0</v>
      </c>
      <c r="N671" t="n">
        <v>0</v>
      </c>
      <c r="O671" t="n">
        <v>0</v>
      </c>
      <c r="P671" t="n">
        <v>0</v>
      </c>
      <c r="Q671" t="n">
        <v>0</v>
      </c>
      <c r="R671" s="2" t="inlineStr"/>
    </row>
    <row r="672" ht="15" customHeight="1">
      <c r="A672" t="inlineStr">
        <is>
          <t>A 10225-2019</t>
        </is>
      </c>
      <c r="B672" s="1" t="n">
        <v>43510</v>
      </c>
      <c r="C672" s="1" t="n">
        <v>45224</v>
      </c>
      <c r="D672" t="inlineStr">
        <is>
          <t>STOCKHOLMS LÄN</t>
        </is>
      </c>
      <c r="E672" t="inlineStr">
        <is>
          <t>NORRTÄLJE</t>
        </is>
      </c>
      <c r="G672" t="n">
        <v>0.9</v>
      </c>
      <c r="H672" t="n">
        <v>0</v>
      </c>
      <c r="I672" t="n">
        <v>0</v>
      </c>
      <c r="J672" t="n">
        <v>0</v>
      </c>
      <c r="K672" t="n">
        <v>0</v>
      </c>
      <c r="L672" t="n">
        <v>0</v>
      </c>
      <c r="M672" t="n">
        <v>0</v>
      </c>
      <c r="N672" t="n">
        <v>0</v>
      </c>
      <c r="O672" t="n">
        <v>0</v>
      </c>
      <c r="P672" t="n">
        <v>0</v>
      </c>
      <c r="Q672" t="n">
        <v>0</v>
      </c>
      <c r="R672" s="2" t="inlineStr"/>
    </row>
    <row r="673" ht="15" customHeight="1">
      <c r="A673" t="inlineStr">
        <is>
          <t>A 10277-2019</t>
        </is>
      </c>
      <c r="B673" s="1" t="n">
        <v>43511</v>
      </c>
      <c r="C673" s="1" t="n">
        <v>45224</v>
      </c>
      <c r="D673" t="inlineStr">
        <is>
          <t>STOCKHOLMS LÄN</t>
        </is>
      </c>
      <c r="E673" t="inlineStr">
        <is>
          <t>NORRTÄLJE</t>
        </is>
      </c>
      <c r="G673" t="n">
        <v>2.7</v>
      </c>
      <c r="H673" t="n">
        <v>0</v>
      </c>
      <c r="I673" t="n">
        <v>0</v>
      </c>
      <c r="J673" t="n">
        <v>0</v>
      </c>
      <c r="K673" t="n">
        <v>0</v>
      </c>
      <c r="L673" t="n">
        <v>0</v>
      </c>
      <c r="M673" t="n">
        <v>0</v>
      </c>
      <c r="N673" t="n">
        <v>0</v>
      </c>
      <c r="O673" t="n">
        <v>0</v>
      </c>
      <c r="P673" t="n">
        <v>0</v>
      </c>
      <c r="Q673" t="n">
        <v>0</v>
      </c>
      <c r="R673" s="2" t="inlineStr"/>
    </row>
    <row r="674" ht="15" customHeight="1">
      <c r="A674" t="inlineStr">
        <is>
          <t>A 10314-2019</t>
        </is>
      </c>
      <c r="B674" s="1" t="n">
        <v>43511</v>
      </c>
      <c r="C674" s="1" t="n">
        <v>45224</v>
      </c>
      <c r="D674" t="inlineStr">
        <is>
          <t>STOCKHOLMS LÄN</t>
        </is>
      </c>
      <c r="E674" t="inlineStr">
        <is>
          <t>NORRTÄLJE</t>
        </is>
      </c>
      <c r="G674" t="n">
        <v>6.2</v>
      </c>
      <c r="H674" t="n">
        <v>0</v>
      </c>
      <c r="I674" t="n">
        <v>0</v>
      </c>
      <c r="J674" t="n">
        <v>0</v>
      </c>
      <c r="K674" t="n">
        <v>0</v>
      </c>
      <c r="L674" t="n">
        <v>0</v>
      </c>
      <c r="M674" t="n">
        <v>0</v>
      </c>
      <c r="N674" t="n">
        <v>0</v>
      </c>
      <c r="O674" t="n">
        <v>0</v>
      </c>
      <c r="P674" t="n">
        <v>0</v>
      </c>
      <c r="Q674" t="n">
        <v>0</v>
      </c>
      <c r="R674" s="2" t="inlineStr"/>
    </row>
    <row r="675" ht="15" customHeight="1">
      <c r="A675" t="inlineStr">
        <is>
          <t>A 10540-2019</t>
        </is>
      </c>
      <c r="B675" s="1" t="n">
        <v>43511</v>
      </c>
      <c r="C675" s="1" t="n">
        <v>45224</v>
      </c>
      <c r="D675" t="inlineStr">
        <is>
          <t>STOCKHOLMS LÄN</t>
        </is>
      </c>
      <c r="E675" t="inlineStr">
        <is>
          <t>NORRTÄLJE</t>
        </is>
      </c>
      <c r="G675" t="n">
        <v>0.7</v>
      </c>
      <c r="H675" t="n">
        <v>0</v>
      </c>
      <c r="I675" t="n">
        <v>0</v>
      </c>
      <c r="J675" t="n">
        <v>0</v>
      </c>
      <c r="K675" t="n">
        <v>0</v>
      </c>
      <c r="L675" t="n">
        <v>0</v>
      </c>
      <c r="M675" t="n">
        <v>0</v>
      </c>
      <c r="N675" t="n">
        <v>0</v>
      </c>
      <c r="O675" t="n">
        <v>0</v>
      </c>
      <c r="P675" t="n">
        <v>0</v>
      </c>
      <c r="Q675" t="n">
        <v>0</v>
      </c>
      <c r="R675" s="2" t="inlineStr"/>
    </row>
    <row r="676" ht="15" customHeight="1">
      <c r="A676" t="inlineStr">
        <is>
          <t>A 10458-2019</t>
        </is>
      </c>
      <c r="B676" s="1" t="n">
        <v>43511</v>
      </c>
      <c r="C676" s="1" t="n">
        <v>45224</v>
      </c>
      <c r="D676" t="inlineStr">
        <is>
          <t>STOCKHOLMS LÄN</t>
        </is>
      </c>
      <c r="E676" t="inlineStr">
        <is>
          <t>NORRTÄLJE</t>
        </is>
      </c>
      <c r="G676" t="n">
        <v>1.1</v>
      </c>
      <c r="H676" t="n">
        <v>0</v>
      </c>
      <c r="I676" t="n">
        <v>0</v>
      </c>
      <c r="J676" t="n">
        <v>0</v>
      </c>
      <c r="K676" t="n">
        <v>0</v>
      </c>
      <c r="L676" t="n">
        <v>0</v>
      </c>
      <c r="M676" t="n">
        <v>0</v>
      </c>
      <c r="N676" t="n">
        <v>0</v>
      </c>
      <c r="O676" t="n">
        <v>0</v>
      </c>
      <c r="P676" t="n">
        <v>0</v>
      </c>
      <c r="Q676" t="n">
        <v>0</v>
      </c>
      <c r="R676" s="2" t="inlineStr"/>
    </row>
    <row r="677" ht="15" customHeight="1">
      <c r="A677" t="inlineStr">
        <is>
          <t>A 10504-2019</t>
        </is>
      </c>
      <c r="B677" s="1" t="n">
        <v>43512</v>
      </c>
      <c r="C677" s="1" t="n">
        <v>45224</v>
      </c>
      <c r="D677" t="inlineStr">
        <is>
          <t>STOCKHOLMS LÄN</t>
        </is>
      </c>
      <c r="E677" t="inlineStr">
        <is>
          <t>NORRTÄLJE</t>
        </is>
      </c>
      <c r="G677" t="n">
        <v>2.8</v>
      </c>
      <c r="H677" t="n">
        <v>0</v>
      </c>
      <c r="I677" t="n">
        <v>0</v>
      </c>
      <c r="J677" t="n">
        <v>0</v>
      </c>
      <c r="K677" t="n">
        <v>0</v>
      </c>
      <c r="L677" t="n">
        <v>0</v>
      </c>
      <c r="M677" t="n">
        <v>0</v>
      </c>
      <c r="N677" t="n">
        <v>0</v>
      </c>
      <c r="O677" t="n">
        <v>0</v>
      </c>
      <c r="P677" t="n">
        <v>0</v>
      </c>
      <c r="Q677" t="n">
        <v>0</v>
      </c>
      <c r="R677" s="2" t="inlineStr"/>
    </row>
    <row r="678" ht="15" customHeight="1">
      <c r="A678" t="inlineStr">
        <is>
          <t>A 10542-2019</t>
        </is>
      </c>
      <c r="B678" s="1" t="n">
        <v>43514</v>
      </c>
      <c r="C678" s="1" t="n">
        <v>45224</v>
      </c>
      <c r="D678" t="inlineStr">
        <is>
          <t>STOCKHOLMS LÄN</t>
        </is>
      </c>
      <c r="E678" t="inlineStr">
        <is>
          <t>NORRTÄLJE</t>
        </is>
      </c>
      <c r="G678" t="n">
        <v>4.3</v>
      </c>
      <c r="H678" t="n">
        <v>0</v>
      </c>
      <c r="I678" t="n">
        <v>0</v>
      </c>
      <c r="J678" t="n">
        <v>0</v>
      </c>
      <c r="K678" t="n">
        <v>0</v>
      </c>
      <c r="L678" t="n">
        <v>0</v>
      </c>
      <c r="M678" t="n">
        <v>0</v>
      </c>
      <c r="N678" t="n">
        <v>0</v>
      </c>
      <c r="O678" t="n">
        <v>0</v>
      </c>
      <c r="P678" t="n">
        <v>0</v>
      </c>
      <c r="Q678" t="n">
        <v>0</v>
      </c>
      <c r="R678" s="2" t="inlineStr"/>
    </row>
    <row r="679" ht="15" customHeight="1">
      <c r="A679" t="inlineStr">
        <is>
          <t>A 10790-2019</t>
        </is>
      </c>
      <c r="B679" s="1" t="n">
        <v>43514</v>
      </c>
      <c r="C679" s="1" t="n">
        <v>45224</v>
      </c>
      <c r="D679" t="inlineStr">
        <is>
          <t>STOCKHOLMS LÄN</t>
        </is>
      </c>
      <c r="E679" t="inlineStr">
        <is>
          <t>NORRTÄLJE</t>
        </is>
      </c>
      <c r="G679" t="n">
        <v>1.3</v>
      </c>
      <c r="H679" t="n">
        <v>0</v>
      </c>
      <c r="I679" t="n">
        <v>0</v>
      </c>
      <c r="J679" t="n">
        <v>0</v>
      </c>
      <c r="K679" t="n">
        <v>0</v>
      </c>
      <c r="L679" t="n">
        <v>0</v>
      </c>
      <c r="M679" t="n">
        <v>0</v>
      </c>
      <c r="N679" t="n">
        <v>0</v>
      </c>
      <c r="O679" t="n">
        <v>0</v>
      </c>
      <c r="P679" t="n">
        <v>0</v>
      </c>
      <c r="Q679" t="n">
        <v>0</v>
      </c>
      <c r="R679" s="2" t="inlineStr"/>
    </row>
    <row r="680" ht="15" customHeight="1">
      <c r="A680" t="inlineStr">
        <is>
          <t>A 10616-2019</t>
        </is>
      </c>
      <c r="B680" s="1" t="n">
        <v>43514</v>
      </c>
      <c r="C680" s="1" t="n">
        <v>45224</v>
      </c>
      <c r="D680" t="inlineStr">
        <is>
          <t>STOCKHOLMS LÄN</t>
        </is>
      </c>
      <c r="E680" t="inlineStr">
        <is>
          <t>NORRTÄLJE</t>
        </is>
      </c>
      <c r="F680" t="inlineStr">
        <is>
          <t>Kommuner</t>
        </is>
      </c>
      <c r="G680" t="n">
        <v>6.2</v>
      </c>
      <c r="H680" t="n">
        <v>0</v>
      </c>
      <c r="I680" t="n">
        <v>0</v>
      </c>
      <c r="J680" t="n">
        <v>0</v>
      </c>
      <c r="K680" t="n">
        <v>0</v>
      </c>
      <c r="L680" t="n">
        <v>0</v>
      </c>
      <c r="M680" t="n">
        <v>0</v>
      </c>
      <c r="N680" t="n">
        <v>0</v>
      </c>
      <c r="O680" t="n">
        <v>0</v>
      </c>
      <c r="P680" t="n">
        <v>0</v>
      </c>
      <c r="Q680" t="n">
        <v>0</v>
      </c>
      <c r="R680" s="2" t="inlineStr"/>
    </row>
    <row r="681" ht="15" customHeight="1">
      <c r="A681" t="inlineStr">
        <is>
          <t>A 10794-2019</t>
        </is>
      </c>
      <c r="B681" s="1" t="n">
        <v>43514</v>
      </c>
      <c r="C681" s="1" t="n">
        <v>45224</v>
      </c>
      <c r="D681" t="inlineStr">
        <is>
          <t>STOCKHOLMS LÄN</t>
        </is>
      </c>
      <c r="E681" t="inlineStr">
        <is>
          <t>NORRTÄLJE</t>
        </is>
      </c>
      <c r="G681" t="n">
        <v>11.3</v>
      </c>
      <c r="H681" t="n">
        <v>0</v>
      </c>
      <c r="I681" t="n">
        <v>0</v>
      </c>
      <c r="J681" t="n">
        <v>0</v>
      </c>
      <c r="K681" t="n">
        <v>0</v>
      </c>
      <c r="L681" t="n">
        <v>0</v>
      </c>
      <c r="M681" t="n">
        <v>0</v>
      </c>
      <c r="N681" t="n">
        <v>0</v>
      </c>
      <c r="O681" t="n">
        <v>0</v>
      </c>
      <c r="P681" t="n">
        <v>0</v>
      </c>
      <c r="Q681" t="n">
        <v>0</v>
      </c>
      <c r="R681" s="2" t="inlineStr"/>
    </row>
    <row r="682" ht="15" customHeight="1">
      <c r="A682" t="inlineStr">
        <is>
          <t>A 10597-2019</t>
        </is>
      </c>
      <c r="B682" s="1" t="n">
        <v>43514</v>
      </c>
      <c r="C682" s="1" t="n">
        <v>45224</v>
      </c>
      <c r="D682" t="inlineStr">
        <is>
          <t>STOCKHOLMS LÄN</t>
        </is>
      </c>
      <c r="E682" t="inlineStr">
        <is>
          <t>NORRTÄLJE</t>
        </is>
      </c>
      <c r="G682" t="n">
        <v>1.7</v>
      </c>
      <c r="H682" t="n">
        <v>0</v>
      </c>
      <c r="I682" t="n">
        <v>0</v>
      </c>
      <c r="J682" t="n">
        <v>0</v>
      </c>
      <c r="K682" t="n">
        <v>0</v>
      </c>
      <c r="L682" t="n">
        <v>0</v>
      </c>
      <c r="M682" t="n">
        <v>0</v>
      </c>
      <c r="N682" t="n">
        <v>0</v>
      </c>
      <c r="O682" t="n">
        <v>0</v>
      </c>
      <c r="P682" t="n">
        <v>0</v>
      </c>
      <c r="Q682" t="n">
        <v>0</v>
      </c>
      <c r="R682" s="2" t="inlineStr"/>
    </row>
    <row r="683" ht="15" customHeight="1">
      <c r="A683" t="inlineStr">
        <is>
          <t>A 10904-2019</t>
        </is>
      </c>
      <c r="B683" s="1" t="n">
        <v>43515</v>
      </c>
      <c r="C683" s="1" t="n">
        <v>45224</v>
      </c>
      <c r="D683" t="inlineStr">
        <is>
          <t>STOCKHOLMS LÄN</t>
        </is>
      </c>
      <c r="E683" t="inlineStr">
        <is>
          <t>NORRTÄLJE</t>
        </is>
      </c>
      <c r="G683" t="n">
        <v>5.3</v>
      </c>
      <c r="H683" t="n">
        <v>0</v>
      </c>
      <c r="I683" t="n">
        <v>0</v>
      </c>
      <c r="J683" t="n">
        <v>0</v>
      </c>
      <c r="K683" t="n">
        <v>0</v>
      </c>
      <c r="L683" t="n">
        <v>0</v>
      </c>
      <c r="M683" t="n">
        <v>0</v>
      </c>
      <c r="N683" t="n">
        <v>0</v>
      </c>
      <c r="O683" t="n">
        <v>0</v>
      </c>
      <c r="P683" t="n">
        <v>0</v>
      </c>
      <c r="Q683" t="n">
        <v>0</v>
      </c>
      <c r="R683" s="2" t="inlineStr"/>
    </row>
    <row r="684" ht="15" customHeight="1">
      <c r="A684" t="inlineStr">
        <is>
          <t>A 10934-2019</t>
        </is>
      </c>
      <c r="B684" s="1" t="n">
        <v>43515</v>
      </c>
      <c r="C684" s="1" t="n">
        <v>45224</v>
      </c>
      <c r="D684" t="inlineStr">
        <is>
          <t>STOCKHOLMS LÄN</t>
        </is>
      </c>
      <c r="E684" t="inlineStr">
        <is>
          <t>NORRTÄLJE</t>
        </is>
      </c>
      <c r="G684" t="n">
        <v>0.5</v>
      </c>
      <c r="H684" t="n">
        <v>0</v>
      </c>
      <c r="I684" t="n">
        <v>0</v>
      </c>
      <c r="J684" t="n">
        <v>0</v>
      </c>
      <c r="K684" t="n">
        <v>0</v>
      </c>
      <c r="L684" t="n">
        <v>0</v>
      </c>
      <c r="M684" t="n">
        <v>0</v>
      </c>
      <c r="N684" t="n">
        <v>0</v>
      </c>
      <c r="O684" t="n">
        <v>0</v>
      </c>
      <c r="P684" t="n">
        <v>0</v>
      </c>
      <c r="Q684" t="n">
        <v>0</v>
      </c>
      <c r="R684" s="2" t="inlineStr"/>
    </row>
    <row r="685" ht="15" customHeight="1">
      <c r="A685" t="inlineStr">
        <is>
          <t>A 10960-2019</t>
        </is>
      </c>
      <c r="B685" s="1" t="n">
        <v>43515</v>
      </c>
      <c r="C685" s="1" t="n">
        <v>45224</v>
      </c>
      <c r="D685" t="inlineStr">
        <is>
          <t>STOCKHOLMS LÄN</t>
        </is>
      </c>
      <c r="E685" t="inlineStr">
        <is>
          <t>NORRTÄLJE</t>
        </is>
      </c>
      <c r="G685" t="n">
        <v>1.7</v>
      </c>
      <c r="H685" t="n">
        <v>0</v>
      </c>
      <c r="I685" t="n">
        <v>0</v>
      </c>
      <c r="J685" t="n">
        <v>0</v>
      </c>
      <c r="K685" t="n">
        <v>0</v>
      </c>
      <c r="L685" t="n">
        <v>0</v>
      </c>
      <c r="M685" t="n">
        <v>0</v>
      </c>
      <c r="N685" t="n">
        <v>0</v>
      </c>
      <c r="O685" t="n">
        <v>0</v>
      </c>
      <c r="P685" t="n">
        <v>0</v>
      </c>
      <c r="Q685" t="n">
        <v>0</v>
      </c>
      <c r="R685" s="2" t="inlineStr"/>
    </row>
    <row r="686" ht="15" customHeight="1">
      <c r="A686" t="inlineStr">
        <is>
          <t>A 11010-2019</t>
        </is>
      </c>
      <c r="B686" s="1" t="n">
        <v>43515</v>
      </c>
      <c r="C686" s="1" t="n">
        <v>45224</v>
      </c>
      <c r="D686" t="inlineStr">
        <is>
          <t>STOCKHOLMS LÄN</t>
        </is>
      </c>
      <c r="E686" t="inlineStr">
        <is>
          <t>NORRTÄLJE</t>
        </is>
      </c>
      <c r="G686" t="n">
        <v>0.5</v>
      </c>
      <c r="H686" t="n">
        <v>0</v>
      </c>
      <c r="I686" t="n">
        <v>0</v>
      </c>
      <c r="J686" t="n">
        <v>0</v>
      </c>
      <c r="K686" t="n">
        <v>0</v>
      </c>
      <c r="L686" t="n">
        <v>0</v>
      </c>
      <c r="M686" t="n">
        <v>0</v>
      </c>
      <c r="N686" t="n">
        <v>0</v>
      </c>
      <c r="O686" t="n">
        <v>0</v>
      </c>
      <c r="P686" t="n">
        <v>0</v>
      </c>
      <c r="Q686" t="n">
        <v>0</v>
      </c>
      <c r="R686" s="2" t="inlineStr"/>
    </row>
    <row r="687" ht="15" customHeight="1">
      <c r="A687" t="inlineStr">
        <is>
          <t>A 11076-2019</t>
        </is>
      </c>
      <c r="B687" s="1" t="n">
        <v>43515</v>
      </c>
      <c r="C687" s="1" t="n">
        <v>45224</v>
      </c>
      <c r="D687" t="inlineStr">
        <is>
          <t>STOCKHOLMS LÄN</t>
        </is>
      </c>
      <c r="E687" t="inlineStr">
        <is>
          <t>NORRTÄLJE</t>
        </is>
      </c>
      <c r="G687" t="n">
        <v>1.9</v>
      </c>
      <c r="H687" t="n">
        <v>0</v>
      </c>
      <c r="I687" t="n">
        <v>0</v>
      </c>
      <c r="J687" t="n">
        <v>0</v>
      </c>
      <c r="K687" t="n">
        <v>0</v>
      </c>
      <c r="L687" t="n">
        <v>0</v>
      </c>
      <c r="M687" t="n">
        <v>0</v>
      </c>
      <c r="N687" t="n">
        <v>0</v>
      </c>
      <c r="O687" t="n">
        <v>0</v>
      </c>
      <c r="P687" t="n">
        <v>0</v>
      </c>
      <c r="Q687" t="n">
        <v>0</v>
      </c>
      <c r="R687" s="2" t="inlineStr"/>
    </row>
    <row r="688" ht="15" customHeight="1">
      <c r="A688" t="inlineStr">
        <is>
          <t>A 10987-2019</t>
        </is>
      </c>
      <c r="B688" s="1" t="n">
        <v>43515</v>
      </c>
      <c r="C688" s="1" t="n">
        <v>45224</v>
      </c>
      <c r="D688" t="inlineStr">
        <is>
          <t>STOCKHOLMS LÄN</t>
        </is>
      </c>
      <c r="E688" t="inlineStr">
        <is>
          <t>NORRTÄLJE</t>
        </is>
      </c>
      <c r="G688" t="n">
        <v>33.9</v>
      </c>
      <c r="H688" t="n">
        <v>0</v>
      </c>
      <c r="I688" t="n">
        <v>0</v>
      </c>
      <c r="J688" t="n">
        <v>0</v>
      </c>
      <c r="K688" t="n">
        <v>0</v>
      </c>
      <c r="L688" t="n">
        <v>0</v>
      </c>
      <c r="M688" t="n">
        <v>0</v>
      </c>
      <c r="N688" t="n">
        <v>0</v>
      </c>
      <c r="O688" t="n">
        <v>0</v>
      </c>
      <c r="P688" t="n">
        <v>0</v>
      </c>
      <c r="Q688" t="n">
        <v>0</v>
      </c>
      <c r="R688" s="2" t="inlineStr"/>
    </row>
    <row r="689" ht="15" customHeight="1">
      <c r="A689" t="inlineStr">
        <is>
          <t>A 11031-2019</t>
        </is>
      </c>
      <c r="B689" s="1" t="n">
        <v>43515</v>
      </c>
      <c r="C689" s="1" t="n">
        <v>45224</v>
      </c>
      <c r="D689" t="inlineStr">
        <is>
          <t>STOCKHOLMS LÄN</t>
        </is>
      </c>
      <c r="E689" t="inlineStr">
        <is>
          <t>NORRTÄLJE</t>
        </is>
      </c>
      <c r="F689" t="inlineStr">
        <is>
          <t>Kommuner</t>
        </is>
      </c>
      <c r="G689" t="n">
        <v>0.8</v>
      </c>
      <c r="H689" t="n">
        <v>0</v>
      </c>
      <c r="I689" t="n">
        <v>0</v>
      </c>
      <c r="J689" t="n">
        <v>0</v>
      </c>
      <c r="K689" t="n">
        <v>0</v>
      </c>
      <c r="L689" t="n">
        <v>0</v>
      </c>
      <c r="M689" t="n">
        <v>0</v>
      </c>
      <c r="N689" t="n">
        <v>0</v>
      </c>
      <c r="O689" t="n">
        <v>0</v>
      </c>
      <c r="P689" t="n">
        <v>0</v>
      </c>
      <c r="Q689" t="n">
        <v>0</v>
      </c>
      <c r="R689" s="2" t="inlineStr"/>
    </row>
    <row r="690" ht="15" customHeight="1">
      <c r="A690" t="inlineStr">
        <is>
          <t>A 11286-2019</t>
        </is>
      </c>
      <c r="B690" s="1" t="n">
        <v>43516</v>
      </c>
      <c r="C690" s="1" t="n">
        <v>45224</v>
      </c>
      <c r="D690" t="inlineStr">
        <is>
          <t>STOCKHOLMS LÄN</t>
        </is>
      </c>
      <c r="E690" t="inlineStr">
        <is>
          <t>NORRTÄLJE</t>
        </is>
      </c>
      <c r="G690" t="n">
        <v>1.3</v>
      </c>
      <c r="H690" t="n">
        <v>0</v>
      </c>
      <c r="I690" t="n">
        <v>0</v>
      </c>
      <c r="J690" t="n">
        <v>0</v>
      </c>
      <c r="K690" t="n">
        <v>0</v>
      </c>
      <c r="L690" t="n">
        <v>0</v>
      </c>
      <c r="M690" t="n">
        <v>0</v>
      </c>
      <c r="N690" t="n">
        <v>0</v>
      </c>
      <c r="O690" t="n">
        <v>0</v>
      </c>
      <c r="P690" t="n">
        <v>0</v>
      </c>
      <c r="Q690" t="n">
        <v>0</v>
      </c>
      <c r="R690" s="2" t="inlineStr"/>
    </row>
    <row r="691" ht="15" customHeight="1">
      <c r="A691" t="inlineStr">
        <is>
          <t>A 11243-2019</t>
        </is>
      </c>
      <c r="B691" s="1" t="n">
        <v>43516</v>
      </c>
      <c r="C691" s="1" t="n">
        <v>45224</v>
      </c>
      <c r="D691" t="inlineStr">
        <is>
          <t>STOCKHOLMS LÄN</t>
        </is>
      </c>
      <c r="E691" t="inlineStr">
        <is>
          <t>NORRTÄLJE</t>
        </is>
      </c>
      <c r="G691" t="n">
        <v>1.3</v>
      </c>
      <c r="H691" t="n">
        <v>0</v>
      </c>
      <c r="I691" t="n">
        <v>0</v>
      </c>
      <c r="J691" t="n">
        <v>0</v>
      </c>
      <c r="K691" t="n">
        <v>0</v>
      </c>
      <c r="L691" t="n">
        <v>0</v>
      </c>
      <c r="M691" t="n">
        <v>0</v>
      </c>
      <c r="N691" t="n">
        <v>0</v>
      </c>
      <c r="O691" t="n">
        <v>0</v>
      </c>
      <c r="P691" t="n">
        <v>0</v>
      </c>
      <c r="Q691" t="n">
        <v>0</v>
      </c>
      <c r="R691" s="2" t="inlineStr"/>
    </row>
    <row r="692" ht="15" customHeight="1">
      <c r="A692" t="inlineStr">
        <is>
          <t>A 11260-2019</t>
        </is>
      </c>
      <c r="B692" s="1" t="n">
        <v>43516</v>
      </c>
      <c r="C692" s="1" t="n">
        <v>45224</v>
      </c>
      <c r="D692" t="inlineStr">
        <is>
          <t>STOCKHOLMS LÄN</t>
        </is>
      </c>
      <c r="E692" t="inlineStr">
        <is>
          <t>NORRTÄLJE</t>
        </is>
      </c>
      <c r="F692" t="inlineStr">
        <is>
          <t>Kommuner</t>
        </is>
      </c>
      <c r="G692" t="n">
        <v>3.1</v>
      </c>
      <c r="H692" t="n">
        <v>0</v>
      </c>
      <c r="I692" t="n">
        <v>0</v>
      </c>
      <c r="J692" t="n">
        <v>0</v>
      </c>
      <c r="K692" t="n">
        <v>0</v>
      </c>
      <c r="L692" t="n">
        <v>0</v>
      </c>
      <c r="M692" t="n">
        <v>0</v>
      </c>
      <c r="N692" t="n">
        <v>0</v>
      </c>
      <c r="O692" t="n">
        <v>0</v>
      </c>
      <c r="P692" t="n">
        <v>0</v>
      </c>
      <c r="Q692" t="n">
        <v>0</v>
      </c>
      <c r="R692" s="2" t="inlineStr"/>
    </row>
    <row r="693" ht="15" customHeight="1">
      <c r="A693" t="inlineStr">
        <is>
          <t>A 11242-2019</t>
        </is>
      </c>
      <c r="B693" s="1" t="n">
        <v>43516</v>
      </c>
      <c r="C693" s="1" t="n">
        <v>45224</v>
      </c>
      <c r="D693" t="inlineStr">
        <is>
          <t>STOCKHOLMS LÄN</t>
        </is>
      </c>
      <c r="E693" t="inlineStr">
        <is>
          <t>NORRTÄLJE</t>
        </is>
      </c>
      <c r="G693" t="n">
        <v>3.1</v>
      </c>
      <c r="H693" t="n">
        <v>0</v>
      </c>
      <c r="I693" t="n">
        <v>0</v>
      </c>
      <c r="J693" t="n">
        <v>0</v>
      </c>
      <c r="K693" t="n">
        <v>0</v>
      </c>
      <c r="L693" t="n">
        <v>0</v>
      </c>
      <c r="M693" t="n">
        <v>0</v>
      </c>
      <c r="N693" t="n">
        <v>0</v>
      </c>
      <c r="O693" t="n">
        <v>0</v>
      </c>
      <c r="P693" t="n">
        <v>0</v>
      </c>
      <c r="Q693" t="n">
        <v>0</v>
      </c>
      <c r="R693" s="2" t="inlineStr"/>
    </row>
    <row r="694" ht="15" customHeight="1">
      <c r="A694" t="inlineStr">
        <is>
          <t>A 11321-2019</t>
        </is>
      </c>
      <c r="B694" s="1" t="n">
        <v>43517</v>
      </c>
      <c r="C694" s="1" t="n">
        <v>45224</v>
      </c>
      <c r="D694" t="inlineStr">
        <is>
          <t>STOCKHOLMS LÄN</t>
        </is>
      </c>
      <c r="E694" t="inlineStr">
        <is>
          <t>NORRTÄLJE</t>
        </is>
      </c>
      <c r="G694" t="n">
        <v>8.6</v>
      </c>
      <c r="H694" t="n">
        <v>0</v>
      </c>
      <c r="I694" t="n">
        <v>0</v>
      </c>
      <c r="J694" t="n">
        <v>0</v>
      </c>
      <c r="K694" t="n">
        <v>0</v>
      </c>
      <c r="L694" t="n">
        <v>0</v>
      </c>
      <c r="M694" t="n">
        <v>0</v>
      </c>
      <c r="N694" t="n">
        <v>0</v>
      </c>
      <c r="O694" t="n">
        <v>0</v>
      </c>
      <c r="P694" t="n">
        <v>0</v>
      </c>
      <c r="Q694" t="n">
        <v>0</v>
      </c>
      <c r="R694" s="2" t="inlineStr"/>
    </row>
    <row r="695" ht="15" customHeight="1">
      <c r="A695" t="inlineStr">
        <is>
          <t>A 11452-2019</t>
        </is>
      </c>
      <c r="B695" s="1" t="n">
        <v>43517</v>
      </c>
      <c r="C695" s="1" t="n">
        <v>45224</v>
      </c>
      <c r="D695" t="inlineStr">
        <is>
          <t>STOCKHOLMS LÄN</t>
        </is>
      </c>
      <c r="E695" t="inlineStr">
        <is>
          <t>NORRTÄLJE</t>
        </is>
      </c>
      <c r="G695" t="n">
        <v>2.2</v>
      </c>
      <c r="H695" t="n">
        <v>0</v>
      </c>
      <c r="I695" t="n">
        <v>0</v>
      </c>
      <c r="J695" t="n">
        <v>0</v>
      </c>
      <c r="K695" t="n">
        <v>0</v>
      </c>
      <c r="L695" t="n">
        <v>0</v>
      </c>
      <c r="M695" t="n">
        <v>0</v>
      </c>
      <c r="N695" t="n">
        <v>0</v>
      </c>
      <c r="O695" t="n">
        <v>0</v>
      </c>
      <c r="P695" t="n">
        <v>0</v>
      </c>
      <c r="Q695" t="n">
        <v>0</v>
      </c>
      <c r="R695" s="2" t="inlineStr"/>
    </row>
    <row r="696" ht="15" customHeight="1">
      <c r="A696" t="inlineStr">
        <is>
          <t>A 11400-2019</t>
        </is>
      </c>
      <c r="B696" s="1" t="n">
        <v>43517</v>
      </c>
      <c r="C696" s="1" t="n">
        <v>45224</v>
      </c>
      <c r="D696" t="inlineStr">
        <is>
          <t>STOCKHOLMS LÄN</t>
        </is>
      </c>
      <c r="E696" t="inlineStr">
        <is>
          <t>SÖDERTÄLJE</t>
        </is>
      </c>
      <c r="G696" t="n">
        <v>3.4</v>
      </c>
      <c r="H696" t="n">
        <v>0</v>
      </c>
      <c r="I696" t="n">
        <v>0</v>
      </c>
      <c r="J696" t="n">
        <v>0</v>
      </c>
      <c r="K696" t="n">
        <v>0</v>
      </c>
      <c r="L696" t="n">
        <v>0</v>
      </c>
      <c r="M696" t="n">
        <v>0</v>
      </c>
      <c r="N696" t="n">
        <v>0</v>
      </c>
      <c r="O696" t="n">
        <v>0</v>
      </c>
      <c r="P696" t="n">
        <v>0</v>
      </c>
      <c r="Q696" t="n">
        <v>0</v>
      </c>
      <c r="R696" s="2" t="inlineStr"/>
    </row>
    <row r="697" ht="15" customHeight="1">
      <c r="A697" t="inlineStr">
        <is>
          <t>A 11465-2019</t>
        </is>
      </c>
      <c r="B697" s="1" t="n">
        <v>43517</v>
      </c>
      <c r="C697" s="1" t="n">
        <v>45224</v>
      </c>
      <c r="D697" t="inlineStr">
        <is>
          <t>STOCKHOLMS LÄN</t>
        </is>
      </c>
      <c r="E697" t="inlineStr">
        <is>
          <t>NORRTÄLJE</t>
        </is>
      </c>
      <c r="G697" t="n">
        <v>1.5</v>
      </c>
      <c r="H697" t="n">
        <v>0</v>
      </c>
      <c r="I697" t="n">
        <v>0</v>
      </c>
      <c r="J697" t="n">
        <v>0</v>
      </c>
      <c r="K697" t="n">
        <v>0</v>
      </c>
      <c r="L697" t="n">
        <v>0</v>
      </c>
      <c r="M697" t="n">
        <v>0</v>
      </c>
      <c r="N697" t="n">
        <v>0</v>
      </c>
      <c r="O697" t="n">
        <v>0</v>
      </c>
      <c r="P697" t="n">
        <v>0</v>
      </c>
      <c r="Q697" t="n">
        <v>0</v>
      </c>
      <c r="R697" s="2" t="inlineStr"/>
    </row>
    <row r="698" ht="15" customHeight="1">
      <c r="A698" t="inlineStr">
        <is>
          <t>A 11328-2019</t>
        </is>
      </c>
      <c r="B698" s="1" t="n">
        <v>43517</v>
      </c>
      <c r="C698" s="1" t="n">
        <v>45224</v>
      </c>
      <c r="D698" t="inlineStr">
        <is>
          <t>STOCKHOLMS LÄN</t>
        </is>
      </c>
      <c r="E698" t="inlineStr">
        <is>
          <t>NORRTÄLJE</t>
        </is>
      </c>
      <c r="G698" t="n">
        <v>2.1</v>
      </c>
      <c r="H698" t="n">
        <v>0</v>
      </c>
      <c r="I698" t="n">
        <v>0</v>
      </c>
      <c r="J698" t="n">
        <v>0</v>
      </c>
      <c r="K698" t="n">
        <v>0</v>
      </c>
      <c r="L698" t="n">
        <v>0</v>
      </c>
      <c r="M698" t="n">
        <v>0</v>
      </c>
      <c r="N698" t="n">
        <v>0</v>
      </c>
      <c r="O698" t="n">
        <v>0</v>
      </c>
      <c r="P698" t="n">
        <v>0</v>
      </c>
      <c r="Q698" t="n">
        <v>0</v>
      </c>
      <c r="R698" s="2" t="inlineStr"/>
    </row>
    <row r="699" ht="15" customHeight="1">
      <c r="A699" t="inlineStr">
        <is>
          <t>A 11388-2019</t>
        </is>
      </c>
      <c r="B699" s="1" t="n">
        <v>43517</v>
      </c>
      <c r="C699" s="1" t="n">
        <v>45224</v>
      </c>
      <c r="D699" t="inlineStr">
        <is>
          <t>STOCKHOLMS LÄN</t>
        </is>
      </c>
      <c r="E699" t="inlineStr">
        <is>
          <t>SÖDERTÄLJE</t>
        </is>
      </c>
      <c r="G699" t="n">
        <v>1.1</v>
      </c>
      <c r="H699" t="n">
        <v>0</v>
      </c>
      <c r="I699" t="n">
        <v>0</v>
      </c>
      <c r="J699" t="n">
        <v>0</v>
      </c>
      <c r="K699" t="n">
        <v>0</v>
      </c>
      <c r="L699" t="n">
        <v>0</v>
      </c>
      <c r="M699" t="n">
        <v>0</v>
      </c>
      <c r="N699" t="n">
        <v>0</v>
      </c>
      <c r="O699" t="n">
        <v>0</v>
      </c>
      <c r="P699" t="n">
        <v>0</v>
      </c>
      <c r="Q699" t="n">
        <v>0</v>
      </c>
      <c r="R699" s="2" t="inlineStr"/>
    </row>
    <row r="700" ht="15" customHeight="1">
      <c r="A700" t="inlineStr">
        <is>
          <t>A 11487-2019</t>
        </is>
      </c>
      <c r="B700" s="1" t="n">
        <v>43517</v>
      </c>
      <c r="C700" s="1" t="n">
        <v>45224</v>
      </c>
      <c r="D700" t="inlineStr">
        <is>
          <t>STOCKHOLMS LÄN</t>
        </is>
      </c>
      <c r="E700" t="inlineStr">
        <is>
          <t>NORRTÄLJE</t>
        </is>
      </c>
      <c r="G700" t="n">
        <v>3.3</v>
      </c>
      <c r="H700" t="n">
        <v>0</v>
      </c>
      <c r="I700" t="n">
        <v>0</v>
      </c>
      <c r="J700" t="n">
        <v>0</v>
      </c>
      <c r="K700" t="n">
        <v>0</v>
      </c>
      <c r="L700" t="n">
        <v>0</v>
      </c>
      <c r="M700" t="n">
        <v>0</v>
      </c>
      <c r="N700" t="n">
        <v>0</v>
      </c>
      <c r="O700" t="n">
        <v>0</v>
      </c>
      <c r="P700" t="n">
        <v>0</v>
      </c>
      <c r="Q700" t="n">
        <v>0</v>
      </c>
      <c r="R700" s="2" t="inlineStr"/>
    </row>
    <row r="701" ht="15" customHeight="1">
      <c r="A701" t="inlineStr">
        <is>
          <t>A 11320-2019</t>
        </is>
      </c>
      <c r="B701" s="1" t="n">
        <v>43517</v>
      </c>
      <c r="C701" s="1" t="n">
        <v>45224</v>
      </c>
      <c r="D701" t="inlineStr">
        <is>
          <t>STOCKHOLMS LÄN</t>
        </is>
      </c>
      <c r="E701" t="inlineStr">
        <is>
          <t>NORRTÄLJE</t>
        </is>
      </c>
      <c r="G701" t="n">
        <v>6.7</v>
      </c>
      <c r="H701" t="n">
        <v>0</v>
      </c>
      <c r="I701" t="n">
        <v>0</v>
      </c>
      <c r="J701" t="n">
        <v>0</v>
      </c>
      <c r="K701" t="n">
        <v>0</v>
      </c>
      <c r="L701" t="n">
        <v>0</v>
      </c>
      <c r="M701" t="n">
        <v>0</v>
      </c>
      <c r="N701" t="n">
        <v>0</v>
      </c>
      <c r="O701" t="n">
        <v>0</v>
      </c>
      <c r="P701" t="n">
        <v>0</v>
      </c>
      <c r="Q701" t="n">
        <v>0</v>
      </c>
      <c r="R701" s="2" t="inlineStr"/>
    </row>
    <row r="702" ht="15" customHeight="1">
      <c r="A702" t="inlineStr">
        <is>
          <t>A 11356-2019</t>
        </is>
      </c>
      <c r="B702" s="1" t="n">
        <v>43517</v>
      </c>
      <c r="C702" s="1" t="n">
        <v>45224</v>
      </c>
      <c r="D702" t="inlineStr">
        <is>
          <t>STOCKHOLMS LÄN</t>
        </is>
      </c>
      <c r="E702" t="inlineStr">
        <is>
          <t>NORRTÄLJE</t>
        </is>
      </c>
      <c r="G702" t="n">
        <v>1.8</v>
      </c>
      <c r="H702" t="n">
        <v>0</v>
      </c>
      <c r="I702" t="n">
        <v>0</v>
      </c>
      <c r="J702" t="n">
        <v>0</v>
      </c>
      <c r="K702" t="n">
        <v>0</v>
      </c>
      <c r="L702" t="n">
        <v>0</v>
      </c>
      <c r="M702" t="n">
        <v>0</v>
      </c>
      <c r="N702" t="n">
        <v>0</v>
      </c>
      <c r="O702" t="n">
        <v>0</v>
      </c>
      <c r="P702" t="n">
        <v>0</v>
      </c>
      <c r="Q702" t="n">
        <v>0</v>
      </c>
      <c r="R702" s="2" t="inlineStr"/>
    </row>
    <row r="703" ht="15" customHeight="1">
      <c r="A703" t="inlineStr">
        <is>
          <t>A 11361-2019</t>
        </is>
      </c>
      <c r="B703" s="1" t="n">
        <v>43517</v>
      </c>
      <c r="C703" s="1" t="n">
        <v>45224</v>
      </c>
      <c r="D703" t="inlineStr">
        <is>
          <t>STOCKHOLMS LÄN</t>
        </is>
      </c>
      <c r="E703" t="inlineStr">
        <is>
          <t>NORRTÄLJE</t>
        </is>
      </c>
      <c r="G703" t="n">
        <v>1.4</v>
      </c>
      <c r="H703" t="n">
        <v>0</v>
      </c>
      <c r="I703" t="n">
        <v>0</v>
      </c>
      <c r="J703" t="n">
        <v>0</v>
      </c>
      <c r="K703" t="n">
        <v>0</v>
      </c>
      <c r="L703" t="n">
        <v>0</v>
      </c>
      <c r="M703" t="n">
        <v>0</v>
      </c>
      <c r="N703" t="n">
        <v>0</v>
      </c>
      <c r="O703" t="n">
        <v>0</v>
      </c>
      <c r="P703" t="n">
        <v>0</v>
      </c>
      <c r="Q703" t="n">
        <v>0</v>
      </c>
      <c r="R703" s="2" t="inlineStr"/>
    </row>
    <row r="704" ht="15" customHeight="1">
      <c r="A704" t="inlineStr">
        <is>
          <t>A 11430-2019</t>
        </is>
      </c>
      <c r="B704" s="1" t="n">
        <v>43517</v>
      </c>
      <c r="C704" s="1" t="n">
        <v>45224</v>
      </c>
      <c r="D704" t="inlineStr">
        <is>
          <t>STOCKHOLMS LÄN</t>
        </is>
      </c>
      <c r="E704" t="inlineStr">
        <is>
          <t>NORRTÄLJE</t>
        </is>
      </c>
      <c r="G704" t="n">
        <v>4.5</v>
      </c>
      <c r="H704" t="n">
        <v>0</v>
      </c>
      <c r="I704" t="n">
        <v>0</v>
      </c>
      <c r="J704" t="n">
        <v>0</v>
      </c>
      <c r="K704" t="n">
        <v>0</v>
      </c>
      <c r="L704" t="n">
        <v>0</v>
      </c>
      <c r="M704" t="n">
        <v>0</v>
      </c>
      <c r="N704" t="n">
        <v>0</v>
      </c>
      <c r="O704" t="n">
        <v>0</v>
      </c>
      <c r="P704" t="n">
        <v>0</v>
      </c>
      <c r="Q704" t="n">
        <v>0</v>
      </c>
      <c r="R704" s="2" t="inlineStr"/>
    </row>
    <row r="705" ht="15" customHeight="1">
      <c r="A705" t="inlineStr">
        <is>
          <t>A 11797-2019</t>
        </is>
      </c>
      <c r="B705" s="1" t="n">
        <v>43521</v>
      </c>
      <c r="C705" s="1" t="n">
        <v>45224</v>
      </c>
      <c r="D705" t="inlineStr">
        <is>
          <t>STOCKHOLMS LÄN</t>
        </is>
      </c>
      <c r="E705" t="inlineStr">
        <is>
          <t>NORRTÄLJE</t>
        </is>
      </c>
      <c r="G705" t="n">
        <v>2</v>
      </c>
      <c r="H705" t="n">
        <v>0</v>
      </c>
      <c r="I705" t="n">
        <v>0</v>
      </c>
      <c r="J705" t="n">
        <v>0</v>
      </c>
      <c r="K705" t="n">
        <v>0</v>
      </c>
      <c r="L705" t="n">
        <v>0</v>
      </c>
      <c r="M705" t="n">
        <v>0</v>
      </c>
      <c r="N705" t="n">
        <v>0</v>
      </c>
      <c r="O705" t="n">
        <v>0</v>
      </c>
      <c r="P705" t="n">
        <v>0</v>
      </c>
      <c r="Q705" t="n">
        <v>0</v>
      </c>
      <c r="R705" s="2" t="inlineStr"/>
    </row>
    <row r="706" ht="15" customHeight="1">
      <c r="A706" t="inlineStr">
        <is>
          <t>A 11987-2019</t>
        </is>
      </c>
      <c r="B706" s="1" t="n">
        <v>43521</v>
      </c>
      <c r="C706" s="1" t="n">
        <v>45224</v>
      </c>
      <c r="D706" t="inlineStr">
        <is>
          <t>STOCKHOLMS LÄN</t>
        </is>
      </c>
      <c r="E706" t="inlineStr">
        <is>
          <t>NORRTÄLJE</t>
        </is>
      </c>
      <c r="G706" t="n">
        <v>15.6</v>
      </c>
      <c r="H706" t="n">
        <v>0</v>
      </c>
      <c r="I706" t="n">
        <v>0</v>
      </c>
      <c r="J706" t="n">
        <v>0</v>
      </c>
      <c r="K706" t="n">
        <v>0</v>
      </c>
      <c r="L706" t="n">
        <v>0</v>
      </c>
      <c r="M706" t="n">
        <v>0</v>
      </c>
      <c r="N706" t="n">
        <v>0</v>
      </c>
      <c r="O706" t="n">
        <v>0</v>
      </c>
      <c r="P706" t="n">
        <v>0</v>
      </c>
      <c r="Q706" t="n">
        <v>0</v>
      </c>
      <c r="R706" s="2" t="inlineStr"/>
    </row>
    <row r="707" ht="15" customHeight="1">
      <c r="A707" t="inlineStr">
        <is>
          <t>A 11997-2019</t>
        </is>
      </c>
      <c r="B707" s="1" t="n">
        <v>43521</v>
      </c>
      <c r="C707" s="1" t="n">
        <v>45224</v>
      </c>
      <c r="D707" t="inlineStr">
        <is>
          <t>STOCKHOLMS LÄN</t>
        </is>
      </c>
      <c r="E707" t="inlineStr">
        <is>
          <t>NORRTÄLJE</t>
        </is>
      </c>
      <c r="G707" t="n">
        <v>3.9</v>
      </c>
      <c r="H707" t="n">
        <v>0</v>
      </c>
      <c r="I707" t="n">
        <v>0</v>
      </c>
      <c r="J707" t="n">
        <v>0</v>
      </c>
      <c r="K707" t="n">
        <v>0</v>
      </c>
      <c r="L707" t="n">
        <v>0</v>
      </c>
      <c r="M707" t="n">
        <v>0</v>
      </c>
      <c r="N707" t="n">
        <v>0</v>
      </c>
      <c r="O707" t="n">
        <v>0</v>
      </c>
      <c r="P707" t="n">
        <v>0</v>
      </c>
      <c r="Q707" t="n">
        <v>0</v>
      </c>
      <c r="R707" s="2" t="inlineStr"/>
    </row>
    <row r="708" ht="15" customHeight="1">
      <c r="A708" t="inlineStr">
        <is>
          <t>A 11906-2019</t>
        </is>
      </c>
      <c r="B708" s="1" t="n">
        <v>43521</v>
      </c>
      <c r="C708" s="1" t="n">
        <v>45224</v>
      </c>
      <c r="D708" t="inlineStr">
        <is>
          <t>STOCKHOLMS LÄN</t>
        </is>
      </c>
      <c r="E708" t="inlineStr">
        <is>
          <t>UPPLANDS-BRO</t>
        </is>
      </c>
      <c r="G708" t="n">
        <v>6.4</v>
      </c>
      <c r="H708" t="n">
        <v>0</v>
      </c>
      <c r="I708" t="n">
        <v>0</v>
      </c>
      <c r="J708" t="n">
        <v>0</v>
      </c>
      <c r="K708" t="n">
        <v>0</v>
      </c>
      <c r="L708" t="n">
        <v>0</v>
      </c>
      <c r="M708" t="n">
        <v>0</v>
      </c>
      <c r="N708" t="n">
        <v>0</v>
      </c>
      <c r="O708" t="n">
        <v>0</v>
      </c>
      <c r="P708" t="n">
        <v>0</v>
      </c>
      <c r="Q708" t="n">
        <v>0</v>
      </c>
      <c r="R708" s="2" t="inlineStr"/>
    </row>
    <row r="709" ht="15" customHeight="1">
      <c r="A709" t="inlineStr">
        <is>
          <t>A 11992-2019</t>
        </is>
      </c>
      <c r="B709" s="1" t="n">
        <v>43521</v>
      </c>
      <c r="C709" s="1" t="n">
        <v>45224</v>
      </c>
      <c r="D709" t="inlineStr">
        <is>
          <t>STOCKHOLMS LÄN</t>
        </is>
      </c>
      <c r="E709" t="inlineStr">
        <is>
          <t>NORRTÄLJE</t>
        </is>
      </c>
      <c r="G709" t="n">
        <v>8.300000000000001</v>
      </c>
      <c r="H709" t="n">
        <v>0</v>
      </c>
      <c r="I709" t="n">
        <v>0</v>
      </c>
      <c r="J709" t="n">
        <v>0</v>
      </c>
      <c r="K709" t="n">
        <v>0</v>
      </c>
      <c r="L709" t="n">
        <v>0</v>
      </c>
      <c r="M709" t="n">
        <v>0</v>
      </c>
      <c r="N709" t="n">
        <v>0</v>
      </c>
      <c r="O709" t="n">
        <v>0</v>
      </c>
      <c r="P709" t="n">
        <v>0</v>
      </c>
      <c r="Q709" t="n">
        <v>0</v>
      </c>
      <c r="R709" s="2" t="inlineStr"/>
    </row>
    <row r="710" ht="15" customHeight="1">
      <c r="A710" t="inlineStr">
        <is>
          <t>A 11996-2019</t>
        </is>
      </c>
      <c r="B710" s="1" t="n">
        <v>43521</v>
      </c>
      <c r="C710" s="1" t="n">
        <v>45224</v>
      </c>
      <c r="D710" t="inlineStr">
        <is>
          <t>STOCKHOLMS LÄN</t>
        </is>
      </c>
      <c r="E710" t="inlineStr">
        <is>
          <t>NORRTÄLJE</t>
        </is>
      </c>
      <c r="G710" t="n">
        <v>5.7</v>
      </c>
      <c r="H710" t="n">
        <v>0</v>
      </c>
      <c r="I710" t="n">
        <v>0</v>
      </c>
      <c r="J710" t="n">
        <v>0</v>
      </c>
      <c r="K710" t="n">
        <v>0</v>
      </c>
      <c r="L710" t="n">
        <v>0</v>
      </c>
      <c r="M710" t="n">
        <v>0</v>
      </c>
      <c r="N710" t="n">
        <v>0</v>
      </c>
      <c r="O710" t="n">
        <v>0</v>
      </c>
      <c r="P710" t="n">
        <v>0</v>
      </c>
      <c r="Q710" t="n">
        <v>0</v>
      </c>
      <c r="R710" s="2" t="inlineStr"/>
    </row>
    <row r="711" ht="15" customHeight="1">
      <c r="A711" t="inlineStr">
        <is>
          <t>A 12157-2019</t>
        </is>
      </c>
      <c r="B711" s="1" t="n">
        <v>43522</v>
      </c>
      <c r="C711" s="1" t="n">
        <v>45224</v>
      </c>
      <c r="D711" t="inlineStr">
        <is>
          <t>STOCKHOLMS LÄN</t>
        </is>
      </c>
      <c r="E711" t="inlineStr">
        <is>
          <t>NYKVARN</t>
        </is>
      </c>
      <c r="G711" t="n">
        <v>1.1</v>
      </c>
      <c r="H711" t="n">
        <v>0</v>
      </c>
      <c r="I711" t="n">
        <v>0</v>
      </c>
      <c r="J711" t="n">
        <v>0</v>
      </c>
      <c r="K711" t="n">
        <v>0</v>
      </c>
      <c r="L711" t="n">
        <v>0</v>
      </c>
      <c r="M711" t="n">
        <v>0</v>
      </c>
      <c r="N711" t="n">
        <v>0</v>
      </c>
      <c r="O711" t="n">
        <v>0</v>
      </c>
      <c r="P711" t="n">
        <v>0</v>
      </c>
      <c r="Q711" t="n">
        <v>0</v>
      </c>
      <c r="R711" s="2" t="inlineStr"/>
    </row>
    <row r="712" ht="15" customHeight="1">
      <c r="A712" t="inlineStr">
        <is>
          <t>A 12061-2019</t>
        </is>
      </c>
      <c r="B712" s="1" t="n">
        <v>43522</v>
      </c>
      <c r="C712" s="1" t="n">
        <v>45224</v>
      </c>
      <c r="D712" t="inlineStr">
        <is>
          <t>STOCKHOLMS LÄN</t>
        </is>
      </c>
      <c r="E712" t="inlineStr">
        <is>
          <t>NORRTÄLJE</t>
        </is>
      </c>
      <c r="G712" t="n">
        <v>3.3</v>
      </c>
      <c r="H712" t="n">
        <v>0</v>
      </c>
      <c r="I712" t="n">
        <v>0</v>
      </c>
      <c r="J712" t="n">
        <v>0</v>
      </c>
      <c r="K712" t="n">
        <v>0</v>
      </c>
      <c r="L712" t="n">
        <v>0</v>
      </c>
      <c r="M712" t="n">
        <v>0</v>
      </c>
      <c r="N712" t="n">
        <v>0</v>
      </c>
      <c r="O712" t="n">
        <v>0</v>
      </c>
      <c r="P712" t="n">
        <v>0</v>
      </c>
      <c r="Q712" t="n">
        <v>0</v>
      </c>
      <c r="R712" s="2" t="inlineStr"/>
    </row>
    <row r="713" ht="15" customHeight="1">
      <c r="A713" t="inlineStr">
        <is>
          <t>A 12450-2019</t>
        </is>
      </c>
      <c r="B713" s="1" t="n">
        <v>43523</v>
      </c>
      <c r="C713" s="1" t="n">
        <v>45224</v>
      </c>
      <c r="D713" t="inlineStr">
        <is>
          <t>STOCKHOLMS LÄN</t>
        </is>
      </c>
      <c r="E713" t="inlineStr">
        <is>
          <t>NYNÄSHAMN</t>
        </is>
      </c>
      <c r="G713" t="n">
        <v>2.3</v>
      </c>
      <c r="H713" t="n">
        <v>0</v>
      </c>
      <c r="I713" t="n">
        <v>0</v>
      </c>
      <c r="J713" t="n">
        <v>0</v>
      </c>
      <c r="K713" t="n">
        <v>0</v>
      </c>
      <c r="L713" t="n">
        <v>0</v>
      </c>
      <c r="M713" t="n">
        <v>0</v>
      </c>
      <c r="N713" t="n">
        <v>0</v>
      </c>
      <c r="O713" t="n">
        <v>0</v>
      </c>
      <c r="P713" t="n">
        <v>0</v>
      </c>
      <c r="Q713" t="n">
        <v>0</v>
      </c>
      <c r="R713" s="2" t="inlineStr"/>
    </row>
    <row r="714" ht="15" customHeight="1">
      <c r="A714" t="inlineStr">
        <is>
          <t>A 12418-2019</t>
        </is>
      </c>
      <c r="B714" s="1" t="n">
        <v>43523</v>
      </c>
      <c r="C714" s="1" t="n">
        <v>45224</v>
      </c>
      <c r="D714" t="inlineStr">
        <is>
          <t>STOCKHOLMS LÄN</t>
        </is>
      </c>
      <c r="E714" t="inlineStr">
        <is>
          <t>NORRTÄLJE</t>
        </is>
      </c>
      <c r="G714" t="n">
        <v>1.6</v>
      </c>
      <c r="H714" t="n">
        <v>0</v>
      </c>
      <c r="I714" t="n">
        <v>0</v>
      </c>
      <c r="J714" t="n">
        <v>0</v>
      </c>
      <c r="K714" t="n">
        <v>0</v>
      </c>
      <c r="L714" t="n">
        <v>0</v>
      </c>
      <c r="M714" t="n">
        <v>0</v>
      </c>
      <c r="N714" t="n">
        <v>0</v>
      </c>
      <c r="O714" t="n">
        <v>0</v>
      </c>
      <c r="P714" t="n">
        <v>0</v>
      </c>
      <c r="Q714" t="n">
        <v>0</v>
      </c>
      <c r="R714" s="2" t="inlineStr"/>
    </row>
    <row r="715" ht="15" customHeight="1">
      <c r="A715" t="inlineStr">
        <is>
          <t>A 12351-2019</t>
        </is>
      </c>
      <c r="B715" s="1" t="n">
        <v>43523</v>
      </c>
      <c r="C715" s="1" t="n">
        <v>45224</v>
      </c>
      <c r="D715" t="inlineStr">
        <is>
          <t>STOCKHOLMS LÄN</t>
        </is>
      </c>
      <c r="E715" t="inlineStr">
        <is>
          <t>NORRTÄLJE</t>
        </is>
      </c>
      <c r="G715" t="n">
        <v>0.6</v>
      </c>
      <c r="H715" t="n">
        <v>0</v>
      </c>
      <c r="I715" t="n">
        <v>0</v>
      </c>
      <c r="J715" t="n">
        <v>0</v>
      </c>
      <c r="K715" t="n">
        <v>0</v>
      </c>
      <c r="L715" t="n">
        <v>0</v>
      </c>
      <c r="M715" t="n">
        <v>0</v>
      </c>
      <c r="N715" t="n">
        <v>0</v>
      </c>
      <c r="O715" t="n">
        <v>0</v>
      </c>
      <c r="P715" t="n">
        <v>0</v>
      </c>
      <c r="Q715" t="n">
        <v>0</v>
      </c>
      <c r="R715" s="2" t="inlineStr"/>
    </row>
    <row r="716" ht="15" customHeight="1">
      <c r="A716" t="inlineStr">
        <is>
          <t>A 12265-2019</t>
        </is>
      </c>
      <c r="B716" s="1" t="n">
        <v>43523</v>
      </c>
      <c r="C716" s="1" t="n">
        <v>45224</v>
      </c>
      <c r="D716" t="inlineStr">
        <is>
          <t>STOCKHOLMS LÄN</t>
        </is>
      </c>
      <c r="E716" t="inlineStr">
        <is>
          <t>HANINGE</t>
        </is>
      </c>
      <c r="G716" t="n">
        <v>0.5</v>
      </c>
      <c r="H716" t="n">
        <v>0</v>
      </c>
      <c r="I716" t="n">
        <v>0</v>
      </c>
      <c r="J716" t="n">
        <v>0</v>
      </c>
      <c r="K716" t="n">
        <v>0</v>
      </c>
      <c r="L716" t="n">
        <v>0</v>
      </c>
      <c r="M716" t="n">
        <v>0</v>
      </c>
      <c r="N716" t="n">
        <v>0</v>
      </c>
      <c r="O716" t="n">
        <v>0</v>
      </c>
      <c r="P716" t="n">
        <v>0</v>
      </c>
      <c r="Q716" t="n">
        <v>0</v>
      </c>
      <c r="R716" s="2" t="inlineStr"/>
    </row>
    <row r="717" ht="15" customHeight="1">
      <c r="A717" t="inlineStr">
        <is>
          <t>A 12603-2019</t>
        </is>
      </c>
      <c r="B717" s="1" t="n">
        <v>43524</v>
      </c>
      <c r="C717" s="1" t="n">
        <v>45224</v>
      </c>
      <c r="D717" t="inlineStr">
        <is>
          <t>STOCKHOLMS LÄN</t>
        </is>
      </c>
      <c r="E717" t="inlineStr">
        <is>
          <t>SÖDERTÄLJE</t>
        </is>
      </c>
      <c r="G717" t="n">
        <v>10.4</v>
      </c>
      <c r="H717" t="n">
        <v>0</v>
      </c>
      <c r="I717" t="n">
        <v>0</v>
      </c>
      <c r="J717" t="n">
        <v>0</v>
      </c>
      <c r="K717" t="n">
        <v>0</v>
      </c>
      <c r="L717" t="n">
        <v>0</v>
      </c>
      <c r="M717" t="n">
        <v>0</v>
      </c>
      <c r="N717" t="n">
        <v>0</v>
      </c>
      <c r="O717" t="n">
        <v>0</v>
      </c>
      <c r="P717" t="n">
        <v>0</v>
      </c>
      <c r="Q717" t="n">
        <v>0</v>
      </c>
      <c r="R717" s="2" t="inlineStr"/>
    </row>
    <row r="718" ht="15" customHeight="1">
      <c r="A718" t="inlineStr">
        <is>
          <t>A 12569-2019</t>
        </is>
      </c>
      <c r="B718" s="1" t="n">
        <v>43524</v>
      </c>
      <c r="C718" s="1" t="n">
        <v>45224</v>
      </c>
      <c r="D718" t="inlineStr">
        <is>
          <t>STOCKHOLMS LÄN</t>
        </is>
      </c>
      <c r="E718" t="inlineStr">
        <is>
          <t>NORRTÄLJE</t>
        </is>
      </c>
      <c r="G718" t="n">
        <v>1</v>
      </c>
      <c r="H718" t="n">
        <v>0</v>
      </c>
      <c r="I718" t="n">
        <v>0</v>
      </c>
      <c r="J718" t="n">
        <v>0</v>
      </c>
      <c r="K718" t="n">
        <v>0</v>
      </c>
      <c r="L718" t="n">
        <v>0</v>
      </c>
      <c r="M718" t="n">
        <v>0</v>
      </c>
      <c r="N718" t="n">
        <v>0</v>
      </c>
      <c r="O718" t="n">
        <v>0</v>
      </c>
      <c r="P718" t="n">
        <v>0</v>
      </c>
      <c r="Q718" t="n">
        <v>0</v>
      </c>
      <c r="R718" s="2" t="inlineStr"/>
    </row>
    <row r="719" ht="15" customHeight="1">
      <c r="A719" t="inlineStr">
        <is>
          <t>A 12580-2019</t>
        </is>
      </c>
      <c r="B719" s="1" t="n">
        <v>43524</v>
      </c>
      <c r="C719" s="1" t="n">
        <v>45224</v>
      </c>
      <c r="D719" t="inlineStr">
        <is>
          <t>STOCKHOLMS LÄN</t>
        </is>
      </c>
      <c r="E719" t="inlineStr">
        <is>
          <t>NORRTÄLJE</t>
        </is>
      </c>
      <c r="G719" t="n">
        <v>1.8</v>
      </c>
      <c r="H719" t="n">
        <v>0</v>
      </c>
      <c r="I719" t="n">
        <v>0</v>
      </c>
      <c r="J719" t="n">
        <v>0</v>
      </c>
      <c r="K719" t="n">
        <v>0</v>
      </c>
      <c r="L719" t="n">
        <v>0</v>
      </c>
      <c r="M719" t="n">
        <v>0</v>
      </c>
      <c r="N719" t="n">
        <v>0</v>
      </c>
      <c r="O719" t="n">
        <v>0</v>
      </c>
      <c r="P719" t="n">
        <v>0</v>
      </c>
      <c r="Q719" t="n">
        <v>0</v>
      </c>
      <c r="R719" s="2" t="inlineStr"/>
    </row>
    <row r="720" ht="15" customHeight="1">
      <c r="A720" t="inlineStr">
        <is>
          <t>A 12590-2019</t>
        </is>
      </c>
      <c r="B720" s="1" t="n">
        <v>43524</v>
      </c>
      <c r="C720" s="1" t="n">
        <v>45224</v>
      </c>
      <c r="D720" t="inlineStr">
        <is>
          <t>STOCKHOLMS LÄN</t>
        </is>
      </c>
      <c r="E720" t="inlineStr">
        <is>
          <t>SIGTUNA</t>
        </is>
      </c>
      <c r="G720" t="n">
        <v>0.9</v>
      </c>
      <c r="H720" t="n">
        <v>0</v>
      </c>
      <c r="I720" t="n">
        <v>0</v>
      </c>
      <c r="J720" t="n">
        <v>0</v>
      </c>
      <c r="K720" t="n">
        <v>0</v>
      </c>
      <c r="L720" t="n">
        <v>0</v>
      </c>
      <c r="M720" t="n">
        <v>0</v>
      </c>
      <c r="N720" t="n">
        <v>0</v>
      </c>
      <c r="O720" t="n">
        <v>0</v>
      </c>
      <c r="P720" t="n">
        <v>0</v>
      </c>
      <c r="Q720" t="n">
        <v>0</v>
      </c>
      <c r="R720" s="2" t="inlineStr"/>
    </row>
    <row r="721" ht="15" customHeight="1">
      <c r="A721" t="inlineStr">
        <is>
          <t>A 12564-2019</t>
        </is>
      </c>
      <c r="B721" s="1" t="n">
        <v>43524</v>
      </c>
      <c r="C721" s="1" t="n">
        <v>45224</v>
      </c>
      <c r="D721" t="inlineStr">
        <is>
          <t>STOCKHOLMS LÄN</t>
        </is>
      </c>
      <c r="E721" t="inlineStr">
        <is>
          <t>NORRTÄLJE</t>
        </is>
      </c>
      <c r="G721" t="n">
        <v>6.8</v>
      </c>
      <c r="H721" t="n">
        <v>0</v>
      </c>
      <c r="I721" t="n">
        <v>0</v>
      </c>
      <c r="J721" t="n">
        <v>0</v>
      </c>
      <c r="K721" t="n">
        <v>0</v>
      </c>
      <c r="L721" t="n">
        <v>0</v>
      </c>
      <c r="M721" t="n">
        <v>0</v>
      </c>
      <c r="N721" t="n">
        <v>0</v>
      </c>
      <c r="O721" t="n">
        <v>0</v>
      </c>
      <c r="P721" t="n">
        <v>0</v>
      </c>
      <c r="Q721" t="n">
        <v>0</v>
      </c>
      <c r="R721" s="2" t="inlineStr"/>
    </row>
    <row r="722" ht="15" customHeight="1">
      <c r="A722" t="inlineStr">
        <is>
          <t>A 12577-2019</t>
        </is>
      </c>
      <c r="B722" s="1" t="n">
        <v>43524</v>
      </c>
      <c r="C722" s="1" t="n">
        <v>45224</v>
      </c>
      <c r="D722" t="inlineStr">
        <is>
          <t>STOCKHOLMS LÄN</t>
        </is>
      </c>
      <c r="E722" t="inlineStr">
        <is>
          <t>NORRTÄLJE</t>
        </is>
      </c>
      <c r="G722" t="n">
        <v>0.5</v>
      </c>
      <c r="H722" t="n">
        <v>0</v>
      </c>
      <c r="I722" t="n">
        <v>0</v>
      </c>
      <c r="J722" t="n">
        <v>0</v>
      </c>
      <c r="K722" t="n">
        <v>0</v>
      </c>
      <c r="L722" t="n">
        <v>0</v>
      </c>
      <c r="M722" t="n">
        <v>0</v>
      </c>
      <c r="N722" t="n">
        <v>0</v>
      </c>
      <c r="O722" t="n">
        <v>0</v>
      </c>
      <c r="P722" t="n">
        <v>0</v>
      </c>
      <c r="Q722" t="n">
        <v>0</v>
      </c>
      <c r="R722" s="2" t="inlineStr"/>
    </row>
    <row r="723" ht="15" customHeight="1">
      <c r="A723" t="inlineStr">
        <is>
          <t>A 12668-2019</t>
        </is>
      </c>
      <c r="B723" s="1" t="n">
        <v>43524</v>
      </c>
      <c r="C723" s="1" t="n">
        <v>45224</v>
      </c>
      <c r="D723" t="inlineStr">
        <is>
          <t>STOCKHOLMS LÄN</t>
        </is>
      </c>
      <c r="E723" t="inlineStr">
        <is>
          <t>NORRTÄLJE</t>
        </is>
      </c>
      <c r="G723" t="n">
        <v>0.6</v>
      </c>
      <c r="H723" t="n">
        <v>0</v>
      </c>
      <c r="I723" t="n">
        <v>0</v>
      </c>
      <c r="J723" t="n">
        <v>0</v>
      </c>
      <c r="K723" t="n">
        <v>0</v>
      </c>
      <c r="L723" t="n">
        <v>0</v>
      </c>
      <c r="M723" t="n">
        <v>0</v>
      </c>
      <c r="N723" t="n">
        <v>0</v>
      </c>
      <c r="O723" t="n">
        <v>0</v>
      </c>
      <c r="P723" t="n">
        <v>0</v>
      </c>
      <c r="Q723" t="n">
        <v>0</v>
      </c>
      <c r="R723" s="2" t="inlineStr"/>
    </row>
    <row r="724" ht="15" customHeight="1">
      <c r="A724" t="inlineStr">
        <is>
          <t>A 12797-2019</t>
        </is>
      </c>
      <c r="B724" s="1" t="n">
        <v>43525</v>
      </c>
      <c r="C724" s="1" t="n">
        <v>45224</v>
      </c>
      <c r="D724" t="inlineStr">
        <is>
          <t>STOCKHOLMS LÄN</t>
        </is>
      </c>
      <c r="E724" t="inlineStr">
        <is>
          <t>NORRTÄLJE</t>
        </is>
      </c>
      <c r="G724" t="n">
        <v>3.1</v>
      </c>
      <c r="H724" t="n">
        <v>0</v>
      </c>
      <c r="I724" t="n">
        <v>0</v>
      </c>
      <c r="J724" t="n">
        <v>0</v>
      </c>
      <c r="K724" t="n">
        <v>0</v>
      </c>
      <c r="L724" t="n">
        <v>0</v>
      </c>
      <c r="M724" t="n">
        <v>0</v>
      </c>
      <c r="N724" t="n">
        <v>0</v>
      </c>
      <c r="O724" t="n">
        <v>0</v>
      </c>
      <c r="P724" t="n">
        <v>0</v>
      </c>
      <c r="Q724" t="n">
        <v>0</v>
      </c>
      <c r="R724" s="2" t="inlineStr"/>
    </row>
    <row r="725" ht="15" customHeight="1">
      <c r="A725" t="inlineStr">
        <is>
          <t>A 12811-2019</t>
        </is>
      </c>
      <c r="B725" s="1" t="n">
        <v>43525</v>
      </c>
      <c r="C725" s="1" t="n">
        <v>45224</v>
      </c>
      <c r="D725" t="inlineStr">
        <is>
          <t>STOCKHOLMS LÄN</t>
        </is>
      </c>
      <c r="E725" t="inlineStr">
        <is>
          <t>NORRTÄLJE</t>
        </is>
      </c>
      <c r="G725" t="n">
        <v>1.9</v>
      </c>
      <c r="H725" t="n">
        <v>0</v>
      </c>
      <c r="I725" t="n">
        <v>0</v>
      </c>
      <c r="J725" t="n">
        <v>0</v>
      </c>
      <c r="K725" t="n">
        <v>0</v>
      </c>
      <c r="L725" t="n">
        <v>0</v>
      </c>
      <c r="M725" t="n">
        <v>0</v>
      </c>
      <c r="N725" t="n">
        <v>0</v>
      </c>
      <c r="O725" t="n">
        <v>0</v>
      </c>
      <c r="P725" t="n">
        <v>0</v>
      </c>
      <c r="Q725" t="n">
        <v>0</v>
      </c>
      <c r="R725" s="2" t="inlineStr"/>
    </row>
    <row r="726" ht="15" customHeight="1">
      <c r="A726" t="inlineStr">
        <is>
          <t>A 12919-2019</t>
        </is>
      </c>
      <c r="B726" s="1" t="n">
        <v>43525</v>
      </c>
      <c r="C726" s="1" t="n">
        <v>45224</v>
      </c>
      <c r="D726" t="inlineStr">
        <is>
          <t>STOCKHOLMS LÄN</t>
        </is>
      </c>
      <c r="E726" t="inlineStr">
        <is>
          <t>NORRTÄLJE</t>
        </is>
      </c>
      <c r="G726" t="n">
        <v>2.9</v>
      </c>
      <c r="H726" t="n">
        <v>0</v>
      </c>
      <c r="I726" t="n">
        <v>0</v>
      </c>
      <c r="J726" t="n">
        <v>0</v>
      </c>
      <c r="K726" t="n">
        <v>0</v>
      </c>
      <c r="L726" t="n">
        <v>0</v>
      </c>
      <c r="M726" t="n">
        <v>0</v>
      </c>
      <c r="N726" t="n">
        <v>0</v>
      </c>
      <c r="O726" t="n">
        <v>0</v>
      </c>
      <c r="P726" t="n">
        <v>0</v>
      </c>
      <c r="Q726" t="n">
        <v>0</v>
      </c>
      <c r="R726" s="2" t="inlineStr"/>
    </row>
    <row r="727" ht="15" customHeight="1">
      <c r="A727" t="inlineStr">
        <is>
          <t>A 17033-2019</t>
        </is>
      </c>
      <c r="B727" s="1" t="n">
        <v>43525</v>
      </c>
      <c r="C727" s="1" t="n">
        <v>45224</v>
      </c>
      <c r="D727" t="inlineStr">
        <is>
          <t>STOCKHOLMS LÄN</t>
        </is>
      </c>
      <c r="E727" t="inlineStr">
        <is>
          <t>NORRTÄLJE</t>
        </is>
      </c>
      <c r="G727" t="n">
        <v>2.8</v>
      </c>
      <c r="H727" t="n">
        <v>0</v>
      </c>
      <c r="I727" t="n">
        <v>0</v>
      </c>
      <c r="J727" t="n">
        <v>0</v>
      </c>
      <c r="K727" t="n">
        <v>0</v>
      </c>
      <c r="L727" t="n">
        <v>0</v>
      </c>
      <c r="M727" t="n">
        <v>0</v>
      </c>
      <c r="N727" t="n">
        <v>0</v>
      </c>
      <c r="O727" t="n">
        <v>0</v>
      </c>
      <c r="P727" t="n">
        <v>0</v>
      </c>
      <c r="Q727" t="n">
        <v>0</v>
      </c>
      <c r="R727" s="2" t="inlineStr"/>
    </row>
    <row r="728" ht="15" customHeight="1">
      <c r="A728" t="inlineStr">
        <is>
          <t>A 12765-2019</t>
        </is>
      </c>
      <c r="B728" s="1" t="n">
        <v>43525</v>
      </c>
      <c r="C728" s="1" t="n">
        <v>45224</v>
      </c>
      <c r="D728" t="inlineStr">
        <is>
          <t>STOCKHOLMS LÄN</t>
        </is>
      </c>
      <c r="E728" t="inlineStr">
        <is>
          <t>NORRTÄLJE</t>
        </is>
      </c>
      <c r="G728" t="n">
        <v>2.6</v>
      </c>
      <c r="H728" t="n">
        <v>0</v>
      </c>
      <c r="I728" t="n">
        <v>0</v>
      </c>
      <c r="J728" t="n">
        <v>0</v>
      </c>
      <c r="K728" t="n">
        <v>0</v>
      </c>
      <c r="L728" t="n">
        <v>0</v>
      </c>
      <c r="M728" t="n">
        <v>0</v>
      </c>
      <c r="N728" t="n">
        <v>0</v>
      </c>
      <c r="O728" t="n">
        <v>0</v>
      </c>
      <c r="P728" t="n">
        <v>0</v>
      </c>
      <c r="Q728" t="n">
        <v>0</v>
      </c>
      <c r="R728" s="2" t="inlineStr"/>
    </row>
    <row r="729" ht="15" customHeight="1">
      <c r="A729" t="inlineStr">
        <is>
          <t>A 12790-2019</t>
        </is>
      </c>
      <c r="B729" s="1" t="n">
        <v>43525</v>
      </c>
      <c r="C729" s="1" t="n">
        <v>45224</v>
      </c>
      <c r="D729" t="inlineStr">
        <is>
          <t>STOCKHOLMS LÄN</t>
        </is>
      </c>
      <c r="E729" t="inlineStr">
        <is>
          <t>NORRTÄLJE</t>
        </is>
      </c>
      <c r="G729" t="n">
        <v>1.2</v>
      </c>
      <c r="H729" t="n">
        <v>0</v>
      </c>
      <c r="I729" t="n">
        <v>0</v>
      </c>
      <c r="J729" t="n">
        <v>0</v>
      </c>
      <c r="K729" t="n">
        <v>0</v>
      </c>
      <c r="L729" t="n">
        <v>0</v>
      </c>
      <c r="M729" t="n">
        <v>0</v>
      </c>
      <c r="N729" t="n">
        <v>0</v>
      </c>
      <c r="O729" t="n">
        <v>0</v>
      </c>
      <c r="P729" t="n">
        <v>0</v>
      </c>
      <c r="Q729" t="n">
        <v>0</v>
      </c>
      <c r="R729" s="2" t="inlineStr"/>
    </row>
    <row r="730" ht="15" customHeight="1">
      <c r="A730" t="inlineStr">
        <is>
          <t>A 17037-2019</t>
        </is>
      </c>
      <c r="B730" s="1" t="n">
        <v>43525</v>
      </c>
      <c r="C730" s="1" t="n">
        <v>45224</v>
      </c>
      <c r="D730" t="inlineStr">
        <is>
          <t>STOCKHOLMS LÄN</t>
        </is>
      </c>
      <c r="E730" t="inlineStr">
        <is>
          <t>NORRTÄLJE</t>
        </is>
      </c>
      <c r="G730" t="n">
        <v>0.4</v>
      </c>
      <c r="H730" t="n">
        <v>0</v>
      </c>
      <c r="I730" t="n">
        <v>0</v>
      </c>
      <c r="J730" t="n">
        <v>0</v>
      </c>
      <c r="K730" t="n">
        <v>0</v>
      </c>
      <c r="L730" t="n">
        <v>0</v>
      </c>
      <c r="M730" t="n">
        <v>0</v>
      </c>
      <c r="N730" t="n">
        <v>0</v>
      </c>
      <c r="O730" t="n">
        <v>0</v>
      </c>
      <c r="P730" t="n">
        <v>0</v>
      </c>
      <c r="Q730" t="n">
        <v>0</v>
      </c>
      <c r="R730" s="2" t="inlineStr"/>
    </row>
    <row r="731" ht="15" customHeight="1">
      <c r="A731" t="inlineStr">
        <is>
          <t>A 12805-2019</t>
        </is>
      </c>
      <c r="B731" s="1" t="n">
        <v>43525</v>
      </c>
      <c r="C731" s="1" t="n">
        <v>45224</v>
      </c>
      <c r="D731" t="inlineStr">
        <is>
          <t>STOCKHOLMS LÄN</t>
        </is>
      </c>
      <c r="E731" t="inlineStr">
        <is>
          <t>NORRTÄLJE</t>
        </is>
      </c>
      <c r="G731" t="n">
        <v>4.5</v>
      </c>
      <c r="H731" t="n">
        <v>0</v>
      </c>
      <c r="I731" t="n">
        <v>0</v>
      </c>
      <c r="J731" t="n">
        <v>0</v>
      </c>
      <c r="K731" t="n">
        <v>0</v>
      </c>
      <c r="L731" t="n">
        <v>0</v>
      </c>
      <c r="M731" t="n">
        <v>0</v>
      </c>
      <c r="N731" t="n">
        <v>0</v>
      </c>
      <c r="O731" t="n">
        <v>0</v>
      </c>
      <c r="P731" t="n">
        <v>0</v>
      </c>
      <c r="Q731" t="n">
        <v>0</v>
      </c>
      <c r="R731" s="2" t="inlineStr"/>
    </row>
    <row r="732" ht="15" customHeight="1">
      <c r="A732" t="inlineStr">
        <is>
          <t>A 12804-2019</t>
        </is>
      </c>
      <c r="B732" s="1" t="n">
        <v>43525</v>
      </c>
      <c r="C732" s="1" t="n">
        <v>45224</v>
      </c>
      <c r="D732" t="inlineStr">
        <is>
          <t>STOCKHOLMS LÄN</t>
        </is>
      </c>
      <c r="E732" t="inlineStr">
        <is>
          <t>NORRTÄLJE</t>
        </is>
      </c>
      <c r="G732" t="n">
        <v>3.4</v>
      </c>
      <c r="H732" t="n">
        <v>0</v>
      </c>
      <c r="I732" t="n">
        <v>0</v>
      </c>
      <c r="J732" t="n">
        <v>0</v>
      </c>
      <c r="K732" t="n">
        <v>0</v>
      </c>
      <c r="L732" t="n">
        <v>0</v>
      </c>
      <c r="M732" t="n">
        <v>0</v>
      </c>
      <c r="N732" t="n">
        <v>0</v>
      </c>
      <c r="O732" t="n">
        <v>0</v>
      </c>
      <c r="P732" t="n">
        <v>0</v>
      </c>
      <c r="Q732" t="n">
        <v>0</v>
      </c>
      <c r="R732" s="2" t="inlineStr"/>
    </row>
    <row r="733" ht="15" customHeight="1">
      <c r="A733" t="inlineStr">
        <is>
          <t>A 12817-2019</t>
        </is>
      </c>
      <c r="B733" s="1" t="n">
        <v>43525</v>
      </c>
      <c r="C733" s="1" t="n">
        <v>45224</v>
      </c>
      <c r="D733" t="inlineStr">
        <is>
          <t>STOCKHOLMS LÄN</t>
        </is>
      </c>
      <c r="E733" t="inlineStr">
        <is>
          <t>NORRTÄLJE</t>
        </is>
      </c>
      <c r="G733" t="n">
        <v>2.2</v>
      </c>
      <c r="H733" t="n">
        <v>0</v>
      </c>
      <c r="I733" t="n">
        <v>0</v>
      </c>
      <c r="J733" t="n">
        <v>0</v>
      </c>
      <c r="K733" t="n">
        <v>0</v>
      </c>
      <c r="L733" t="n">
        <v>0</v>
      </c>
      <c r="M733" t="n">
        <v>0</v>
      </c>
      <c r="N733" t="n">
        <v>0</v>
      </c>
      <c r="O733" t="n">
        <v>0</v>
      </c>
      <c r="P733" t="n">
        <v>0</v>
      </c>
      <c r="Q733" t="n">
        <v>0</v>
      </c>
      <c r="R733" s="2" t="inlineStr"/>
    </row>
    <row r="734" ht="15" customHeight="1">
      <c r="A734" t="inlineStr">
        <is>
          <t>A 12839-2019</t>
        </is>
      </c>
      <c r="B734" s="1" t="n">
        <v>43525</v>
      </c>
      <c r="C734" s="1" t="n">
        <v>45224</v>
      </c>
      <c r="D734" t="inlineStr">
        <is>
          <t>STOCKHOLMS LÄN</t>
        </is>
      </c>
      <c r="E734" t="inlineStr">
        <is>
          <t>NORRTÄLJE</t>
        </is>
      </c>
      <c r="G734" t="n">
        <v>3.1</v>
      </c>
      <c r="H734" t="n">
        <v>0</v>
      </c>
      <c r="I734" t="n">
        <v>0</v>
      </c>
      <c r="J734" t="n">
        <v>0</v>
      </c>
      <c r="K734" t="n">
        <v>0</v>
      </c>
      <c r="L734" t="n">
        <v>0</v>
      </c>
      <c r="M734" t="n">
        <v>0</v>
      </c>
      <c r="N734" t="n">
        <v>0</v>
      </c>
      <c r="O734" t="n">
        <v>0</v>
      </c>
      <c r="P734" t="n">
        <v>0</v>
      </c>
      <c r="Q734" t="n">
        <v>0</v>
      </c>
      <c r="R734" s="2" t="inlineStr"/>
    </row>
    <row r="735" ht="15" customHeight="1">
      <c r="A735" t="inlineStr">
        <is>
          <t>A 12964-2019</t>
        </is>
      </c>
      <c r="B735" s="1" t="n">
        <v>43526</v>
      </c>
      <c r="C735" s="1" t="n">
        <v>45224</v>
      </c>
      <c r="D735" t="inlineStr">
        <is>
          <t>STOCKHOLMS LÄN</t>
        </is>
      </c>
      <c r="E735" t="inlineStr">
        <is>
          <t>NORRTÄLJE</t>
        </is>
      </c>
      <c r="G735" t="n">
        <v>3.2</v>
      </c>
      <c r="H735" t="n">
        <v>0</v>
      </c>
      <c r="I735" t="n">
        <v>0</v>
      </c>
      <c r="J735" t="n">
        <v>0</v>
      </c>
      <c r="K735" t="n">
        <v>0</v>
      </c>
      <c r="L735" t="n">
        <v>0</v>
      </c>
      <c r="M735" t="n">
        <v>0</v>
      </c>
      <c r="N735" t="n">
        <v>0</v>
      </c>
      <c r="O735" t="n">
        <v>0</v>
      </c>
      <c r="P735" t="n">
        <v>0</v>
      </c>
      <c r="Q735" t="n">
        <v>0</v>
      </c>
      <c r="R735" s="2" t="inlineStr"/>
    </row>
    <row r="736" ht="15" customHeight="1">
      <c r="A736" t="inlineStr">
        <is>
          <t>A 12979-2019</t>
        </is>
      </c>
      <c r="B736" s="1" t="n">
        <v>43527</v>
      </c>
      <c r="C736" s="1" t="n">
        <v>45224</v>
      </c>
      <c r="D736" t="inlineStr">
        <is>
          <t>STOCKHOLMS LÄN</t>
        </is>
      </c>
      <c r="E736" t="inlineStr">
        <is>
          <t>NORRTÄLJE</t>
        </is>
      </c>
      <c r="F736" t="inlineStr">
        <is>
          <t>Kommuner</t>
        </is>
      </c>
      <c r="G736" t="n">
        <v>2.3</v>
      </c>
      <c r="H736" t="n">
        <v>0</v>
      </c>
      <c r="I736" t="n">
        <v>0</v>
      </c>
      <c r="J736" t="n">
        <v>0</v>
      </c>
      <c r="K736" t="n">
        <v>0</v>
      </c>
      <c r="L736" t="n">
        <v>0</v>
      </c>
      <c r="M736" t="n">
        <v>0</v>
      </c>
      <c r="N736" t="n">
        <v>0</v>
      </c>
      <c r="O736" t="n">
        <v>0</v>
      </c>
      <c r="P736" t="n">
        <v>0</v>
      </c>
      <c r="Q736" t="n">
        <v>0</v>
      </c>
      <c r="R736" s="2" t="inlineStr"/>
    </row>
    <row r="737" ht="15" customHeight="1">
      <c r="A737" t="inlineStr">
        <is>
          <t>A 13143-2019</t>
        </is>
      </c>
      <c r="B737" s="1" t="n">
        <v>43527</v>
      </c>
      <c r="C737" s="1" t="n">
        <v>45224</v>
      </c>
      <c r="D737" t="inlineStr">
        <is>
          <t>STOCKHOLMS LÄN</t>
        </is>
      </c>
      <c r="E737" t="inlineStr">
        <is>
          <t>SIGTUNA</t>
        </is>
      </c>
      <c r="G737" t="n">
        <v>4.1</v>
      </c>
      <c r="H737" t="n">
        <v>0</v>
      </c>
      <c r="I737" t="n">
        <v>0</v>
      </c>
      <c r="J737" t="n">
        <v>0</v>
      </c>
      <c r="K737" t="n">
        <v>0</v>
      </c>
      <c r="L737" t="n">
        <v>0</v>
      </c>
      <c r="M737" t="n">
        <v>0</v>
      </c>
      <c r="N737" t="n">
        <v>0</v>
      </c>
      <c r="O737" t="n">
        <v>0</v>
      </c>
      <c r="P737" t="n">
        <v>0</v>
      </c>
      <c r="Q737" t="n">
        <v>0</v>
      </c>
      <c r="R737" s="2" t="inlineStr"/>
    </row>
    <row r="738" ht="15" customHeight="1">
      <c r="A738" t="inlineStr">
        <is>
          <t>A 13210-2019</t>
        </is>
      </c>
      <c r="B738" s="1" t="n">
        <v>43528</v>
      </c>
      <c r="C738" s="1" t="n">
        <v>45224</v>
      </c>
      <c r="D738" t="inlineStr">
        <is>
          <t>STOCKHOLMS LÄN</t>
        </is>
      </c>
      <c r="E738" t="inlineStr">
        <is>
          <t>NORRTÄLJE</t>
        </is>
      </c>
      <c r="G738" t="n">
        <v>1</v>
      </c>
      <c r="H738" t="n">
        <v>0</v>
      </c>
      <c r="I738" t="n">
        <v>0</v>
      </c>
      <c r="J738" t="n">
        <v>0</v>
      </c>
      <c r="K738" t="n">
        <v>0</v>
      </c>
      <c r="L738" t="n">
        <v>0</v>
      </c>
      <c r="M738" t="n">
        <v>0</v>
      </c>
      <c r="N738" t="n">
        <v>0</v>
      </c>
      <c r="O738" t="n">
        <v>0</v>
      </c>
      <c r="P738" t="n">
        <v>0</v>
      </c>
      <c r="Q738" t="n">
        <v>0</v>
      </c>
      <c r="R738" s="2" t="inlineStr"/>
    </row>
    <row r="739" ht="15" customHeight="1">
      <c r="A739" t="inlineStr">
        <is>
          <t>A 13096-2019</t>
        </is>
      </c>
      <c r="B739" s="1" t="n">
        <v>43528</v>
      </c>
      <c r="C739" s="1" t="n">
        <v>45224</v>
      </c>
      <c r="D739" t="inlineStr">
        <is>
          <t>STOCKHOLMS LÄN</t>
        </is>
      </c>
      <c r="E739" t="inlineStr">
        <is>
          <t>NORRTÄLJE</t>
        </is>
      </c>
      <c r="F739" t="inlineStr">
        <is>
          <t>Sveaskog</t>
        </is>
      </c>
      <c r="G739" t="n">
        <v>4.5</v>
      </c>
      <c r="H739" t="n">
        <v>0</v>
      </c>
      <c r="I739" t="n">
        <v>0</v>
      </c>
      <c r="J739" t="n">
        <v>0</v>
      </c>
      <c r="K739" t="n">
        <v>0</v>
      </c>
      <c r="L739" t="n">
        <v>0</v>
      </c>
      <c r="M739" t="n">
        <v>0</v>
      </c>
      <c r="N739" t="n">
        <v>0</v>
      </c>
      <c r="O739" t="n">
        <v>0</v>
      </c>
      <c r="P739" t="n">
        <v>0</v>
      </c>
      <c r="Q739" t="n">
        <v>0</v>
      </c>
      <c r="R739" s="2" t="inlineStr"/>
    </row>
    <row r="740" ht="15" customHeight="1">
      <c r="A740" t="inlineStr">
        <is>
          <t>A 13354-2019</t>
        </is>
      </c>
      <c r="B740" s="1" t="n">
        <v>43529</v>
      </c>
      <c r="C740" s="1" t="n">
        <v>45224</v>
      </c>
      <c r="D740" t="inlineStr">
        <is>
          <t>STOCKHOLMS LÄN</t>
        </is>
      </c>
      <c r="E740" t="inlineStr">
        <is>
          <t>NORRTÄLJE</t>
        </is>
      </c>
      <c r="G740" t="n">
        <v>2.1</v>
      </c>
      <c r="H740" t="n">
        <v>0</v>
      </c>
      <c r="I740" t="n">
        <v>0</v>
      </c>
      <c r="J740" t="n">
        <v>0</v>
      </c>
      <c r="K740" t="n">
        <v>0</v>
      </c>
      <c r="L740" t="n">
        <v>0</v>
      </c>
      <c r="M740" t="n">
        <v>0</v>
      </c>
      <c r="N740" t="n">
        <v>0</v>
      </c>
      <c r="O740" t="n">
        <v>0</v>
      </c>
      <c r="P740" t="n">
        <v>0</v>
      </c>
      <c r="Q740" t="n">
        <v>0</v>
      </c>
      <c r="R740" s="2" t="inlineStr"/>
    </row>
    <row r="741" ht="15" customHeight="1">
      <c r="A741" t="inlineStr">
        <is>
          <t>A 13289-2019</t>
        </is>
      </c>
      <c r="B741" s="1" t="n">
        <v>43529</v>
      </c>
      <c r="C741" s="1" t="n">
        <v>45224</v>
      </c>
      <c r="D741" t="inlineStr">
        <is>
          <t>STOCKHOLMS LÄN</t>
        </is>
      </c>
      <c r="E741" t="inlineStr">
        <is>
          <t>NORRTÄLJE</t>
        </is>
      </c>
      <c r="F741" t="inlineStr">
        <is>
          <t>Holmen skog AB</t>
        </is>
      </c>
      <c r="G741" t="n">
        <v>4.6</v>
      </c>
      <c r="H741" t="n">
        <v>0</v>
      </c>
      <c r="I741" t="n">
        <v>0</v>
      </c>
      <c r="J741" t="n">
        <v>0</v>
      </c>
      <c r="K741" t="n">
        <v>0</v>
      </c>
      <c r="L741" t="n">
        <v>0</v>
      </c>
      <c r="M741" t="n">
        <v>0</v>
      </c>
      <c r="N741" t="n">
        <v>0</v>
      </c>
      <c r="O741" t="n">
        <v>0</v>
      </c>
      <c r="P741" t="n">
        <v>0</v>
      </c>
      <c r="Q741" t="n">
        <v>0</v>
      </c>
      <c r="R741" s="2" t="inlineStr"/>
    </row>
    <row r="742" ht="15" customHeight="1">
      <c r="A742" t="inlineStr">
        <is>
          <t>A 13353-2019</t>
        </is>
      </c>
      <c r="B742" s="1" t="n">
        <v>43529</v>
      </c>
      <c r="C742" s="1" t="n">
        <v>45224</v>
      </c>
      <c r="D742" t="inlineStr">
        <is>
          <t>STOCKHOLMS LÄN</t>
        </is>
      </c>
      <c r="E742" t="inlineStr">
        <is>
          <t>NORRTÄLJE</t>
        </is>
      </c>
      <c r="G742" t="n">
        <v>8.199999999999999</v>
      </c>
      <c r="H742" t="n">
        <v>0</v>
      </c>
      <c r="I742" t="n">
        <v>0</v>
      </c>
      <c r="J742" t="n">
        <v>0</v>
      </c>
      <c r="K742" t="n">
        <v>0</v>
      </c>
      <c r="L742" t="n">
        <v>0</v>
      </c>
      <c r="M742" t="n">
        <v>0</v>
      </c>
      <c r="N742" t="n">
        <v>0</v>
      </c>
      <c r="O742" t="n">
        <v>0</v>
      </c>
      <c r="P742" t="n">
        <v>0</v>
      </c>
      <c r="Q742" t="n">
        <v>0</v>
      </c>
      <c r="R742" s="2" t="inlineStr"/>
    </row>
    <row r="743" ht="15" customHeight="1">
      <c r="A743" t="inlineStr">
        <is>
          <t>A 13315-2019</t>
        </is>
      </c>
      <c r="B743" s="1" t="n">
        <v>43529</v>
      </c>
      <c r="C743" s="1" t="n">
        <v>45224</v>
      </c>
      <c r="D743" t="inlineStr">
        <is>
          <t>STOCKHOLMS LÄN</t>
        </is>
      </c>
      <c r="E743" t="inlineStr">
        <is>
          <t>NORRTÄLJE</t>
        </is>
      </c>
      <c r="G743" t="n">
        <v>2.9</v>
      </c>
      <c r="H743" t="n">
        <v>0</v>
      </c>
      <c r="I743" t="n">
        <v>0</v>
      </c>
      <c r="J743" t="n">
        <v>0</v>
      </c>
      <c r="K743" t="n">
        <v>0</v>
      </c>
      <c r="L743" t="n">
        <v>0</v>
      </c>
      <c r="M743" t="n">
        <v>0</v>
      </c>
      <c r="N743" t="n">
        <v>0</v>
      </c>
      <c r="O743" t="n">
        <v>0</v>
      </c>
      <c r="P743" t="n">
        <v>0</v>
      </c>
      <c r="Q743" t="n">
        <v>0</v>
      </c>
      <c r="R743" s="2" t="inlineStr"/>
    </row>
    <row r="744" ht="15" customHeight="1">
      <c r="A744" t="inlineStr">
        <is>
          <t>A 13356-2019</t>
        </is>
      </c>
      <c r="B744" s="1" t="n">
        <v>43529</v>
      </c>
      <c r="C744" s="1" t="n">
        <v>45224</v>
      </c>
      <c r="D744" t="inlineStr">
        <is>
          <t>STOCKHOLMS LÄN</t>
        </is>
      </c>
      <c r="E744" t="inlineStr">
        <is>
          <t>NORRTÄLJE</t>
        </is>
      </c>
      <c r="G744" t="n">
        <v>0.6</v>
      </c>
      <c r="H744" t="n">
        <v>0</v>
      </c>
      <c r="I744" t="n">
        <v>0</v>
      </c>
      <c r="J744" t="n">
        <v>0</v>
      </c>
      <c r="K744" t="n">
        <v>0</v>
      </c>
      <c r="L744" t="n">
        <v>0</v>
      </c>
      <c r="M744" t="n">
        <v>0</v>
      </c>
      <c r="N744" t="n">
        <v>0</v>
      </c>
      <c r="O744" t="n">
        <v>0</v>
      </c>
      <c r="P744" t="n">
        <v>0</v>
      </c>
      <c r="Q744" t="n">
        <v>0</v>
      </c>
      <c r="R744" s="2" t="inlineStr"/>
    </row>
    <row r="745" ht="15" customHeight="1">
      <c r="A745" t="inlineStr">
        <is>
          <t>A 13566-2019</t>
        </is>
      </c>
      <c r="B745" s="1" t="n">
        <v>43530</v>
      </c>
      <c r="C745" s="1" t="n">
        <v>45224</v>
      </c>
      <c r="D745" t="inlineStr">
        <is>
          <t>STOCKHOLMS LÄN</t>
        </is>
      </c>
      <c r="E745" t="inlineStr">
        <is>
          <t>NORRTÄLJE</t>
        </is>
      </c>
      <c r="G745" t="n">
        <v>0.9</v>
      </c>
      <c r="H745" t="n">
        <v>0</v>
      </c>
      <c r="I745" t="n">
        <v>0</v>
      </c>
      <c r="J745" t="n">
        <v>0</v>
      </c>
      <c r="K745" t="n">
        <v>0</v>
      </c>
      <c r="L745" t="n">
        <v>0</v>
      </c>
      <c r="M745" t="n">
        <v>0</v>
      </c>
      <c r="N745" t="n">
        <v>0</v>
      </c>
      <c r="O745" t="n">
        <v>0</v>
      </c>
      <c r="P745" t="n">
        <v>0</v>
      </c>
      <c r="Q745" t="n">
        <v>0</v>
      </c>
      <c r="R745" s="2" t="inlineStr"/>
    </row>
    <row r="746" ht="15" customHeight="1">
      <c r="A746" t="inlineStr">
        <is>
          <t>A 13676-2019</t>
        </is>
      </c>
      <c r="B746" s="1" t="n">
        <v>43530</v>
      </c>
      <c r="C746" s="1" t="n">
        <v>45224</v>
      </c>
      <c r="D746" t="inlineStr">
        <is>
          <t>STOCKHOLMS LÄN</t>
        </is>
      </c>
      <c r="E746" t="inlineStr">
        <is>
          <t>NORRTÄLJE</t>
        </is>
      </c>
      <c r="G746" t="n">
        <v>6.2</v>
      </c>
      <c r="H746" t="n">
        <v>0</v>
      </c>
      <c r="I746" t="n">
        <v>0</v>
      </c>
      <c r="J746" t="n">
        <v>0</v>
      </c>
      <c r="K746" t="n">
        <v>0</v>
      </c>
      <c r="L746" t="n">
        <v>0</v>
      </c>
      <c r="M746" t="n">
        <v>0</v>
      </c>
      <c r="N746" t="n">
        <v>0</v>
      </c>
      <c r="O746" t="n">
        <v>0</v>
      </c>
      <c r="P746" t="n">
        <v>0</v>
      </c>
      <c r="Q746" t="n">
        <v>0</v>
      </c>
      <c r="R746" s="2" t="inlineStr"/>
    </row>
    <row r="747" ht="15" customHeight="1">
      <c r="A747" t="inlineStr">
        <is>
          <t>A 13940-2019</t>
        </is>
      </c>
      <c r="B747" s="1" t="n">
        <v>43531</v>
      </c>
      <c r="C747" s="1" t="n">
        <v>45224</v>
      </c>
      <c r="D747" t="inlineStr">
        <is>
          <t>STOCKHOLMS LÄN</t>
        </is>
      </c>
      <c r="E747" t="inlineStr">
        <is>
          <t>NORRTÄLJE</t>
        </is>
      </c>
      <c r="G747" t="n">
        <v>4.2</v>
      </c>
      <c r="H747" t="n">
        <v>0</v>
      </c>
      <c r="I747" t="n">
        <v>0</v>
      </c>
      <c r="J747" t="n">
        <v>0</v>
      </c>
      <c r="K747" t="n">
        <v>0</v>
      </c>
      <c r="L747" t="n">
        <v>0</v>
      </c>
      <c r="M747" t="n">
        <v>0</v>
      </c>
      <c r="N747" t="n">
        <v>0</v>
      </c>
      <c r="O747" t="n">
        <v>0</v>
      </c>
      <c r="P747" t="n">
        <v>0</v>
      </c>
      <c r="Q747" t="n">
        <v>0</v>
      </c>
      <c r="R747" s="2" t="inlineStr"/>
    </row>
    <row r="748" ht="15" customHeight="1">
      <c r="A748" t="inlineStr">
        <is>
          <t>A 13851-2019</t>
        </is>
      </c>
      <c r="B748" s="1" t="n">
        <v>43531</v>
      </c>
      <c r="C748" s="1" t="n">
        <v>45224</v>
      </c>
      <c r="D748" t="inlineStr">
        <is>
          <t>STOCKHOLMS LÄN</t>
        </is>
      </c>
      <c r="E748" t="inlineStr">
        <is>
          <t>NORRTÄLJE</t>
        </is>
      </c>
      <c r="G748" t="n">
        <v>0.5</v>
      </c>
      <c r="H748" t="n">
        <v>0</v>
      </c>
      <c r="I748" t="n">
        <v>0</v>
      </c>
      <c r="J748" t="n">
        <v>0</v>
      </c>
      <c r="K748" t="n">
        <v>0</v>
      </c>
      <c r="L748" t="n">
        <v>0</v>
      </c>
      <c r="M748" t="n">
        <v>0</v>
      </c>
      <c r="N748" t="n">
        <v>0</v>
      </c>
      <c r="O748" t="n">
        <v>0</v>
      </c>
      <c r="P748" t="n">
        <v>0</v>
      </c>
      <c r="Q748" t="n">
        <v>0</v>
      </c>
      <c r="R748" s="2" t="inlineStr"/>
    </row>
    <row r="749" ht="15" customHeight="1">
      <c r="A749" t="inlineStr">
        <is>
          <t>A 13828-2019</t>
        </is>
      </c>
      <c r="B749" s="1" t="n">
        <v>43531</v>
      </c>
      <c r="C749" s="1" t="n">
        <v>45224</v>
      </c>
      <c r="D749" t="inlineStr">
        <is>
          <t>STOCKHOLMS LÄN</t>
        </is>
      </c>
      <c r="E749" t="inlineStr">
        <is>
          <t>NORRTÄLJE</t>
        </is>
      </c>
      <c r="G749" t="n">
        <v>2.9</v>
      </c>
      <c r="H749" t="n">
        <v>0</v>
      </c>
      <c r="I749" t="n">
        <v>0</v>
      </c>
      <c r="J749" t="n">
        <v>0</v>
      </c>
      <c r="K749" t="n">
        <v>0</v>
      </c>
      <c r="L749" t="n">
        <v>0</v>
      </c>
      <c r="M749" t="n">
        <v>0</v>
      </c>
      <c r="N749" t="n">
        <v>0</v>
      </c>
      <c r="O749" t="n">
        <v>0</v>
      </c>
      <c r="P749" t="n">
        <v>0</v>
      </c>
      <c r="Q749" t="n">
        <v>0</v>
      </c>
      <c r="R749" s="2" t="inlineStr"/>
    </row>
    <row r="750" ht="15" customHeight="1">
      <c r="A750" t="inlineStr">
        <is>
          <t>A 14027-2019</t>
        </is>
      </c>
      <c r="B750" s="1" t="n">
        <v>43532</v>
      </c>
      <c r="C750" s="1" t="n">
        <v>45224</v>
      </c>
      <c r="D750" t="inlineStr">
        <is>
          <t>STOCKHOLMS LÄN</t>
        </is>
      </c>
      <c r="E750" t="inlineStr">
        <is>
          <t>NORRTÄLJE</t>
        </is>
      </c>
      <c r="G750" t="n">
        <v>1.2</v>
      </c>
      <c r="H750" t="n">
        <v>0</v>
      </c>
      <c r="I750" t="n">
        <v>0</v>
      </c>
      <c r="J750" t="n">
        <v>0</v>
      </c>
      <c r="K750" t="n">
        <v>0</v>
      </c>
      <c r="L750" t="n">
        <v>0</v>
      </c>
      <c r="M750" t="n">
        <v>0</v>
      </c>
      <c r="N750" t="n">
        <v>0</v>
      </c>
      <c r="O750" t="n">
        <v>0</v>
      </c>
      <c r="P750" t="n">
        <v>0</v>
      </c>
      <c r="Q750" t="n">
        <v>0</v>
      </c>
      <c r="R750" s="2" t="inlineStr"/>
    </row>
    <row r="751" ht="15" customHeight="1">
      <c r="A751" t="inlineStr">
        <is>
          <t>A 14145-2019</t>
        </is>
      </c>
      <c r="B751" s="1" t="n">
        <v>43532</v>
      </c>
      <c r="C751" s="1" t="n">
        <v>45224</v>
      </c>
      <c r="D751" t="inlineStr">
        <is>
          <t>STOCKHOLMS LÄN</t>
        </is>
      </c>
      <c r="E751" t="inlineStr">
        <is>
          <t>NORRTÄLJE</t>
        </is>
      </c>
      <c r="G751" t="n">
        <v>1.7</v>
      </c>
      <c r="H751" t="n">
        <v>0</v>
      </c>
      <c r="I751" t="n">
        <v>0</v>
      </c>
      <c r="J751" t="n">
        <v>0</v>
      </c>
      <c r="K751" t="n">
        <v>0</v>
      </c>
      <c r="L751" t="n">
        <v>0</v>
      </c>
      <c r="M751" t="n">
        <v>0</v>
      </c>
      <c r="N751" t="n">
        <v>0</v>
      </c>
      <c r="O751" t="n">
        <v>0</v>
      </c>
      <c r="P751" t="n">
        <v>0</v>
      </c>
      <c r="Q751" t="n">
        <v>0</v>
      </c>
      <c r="R751" s="2" t="inlineStr"/>
    </row>
    <row r="752" ht="15" customHeight="1">
      <c r="A752" t="inlineStr">
        <is>
          <t>A 14020-2019</t>
        </is>
      </c>
      <c r="B752" s="1" t="n">
        <v>43532</v>
      </c>
      <c r="C752" s="1" t="n">
        <v>45224</v>
      </c>
      <c r="D752" t="inlineStr">
        <is>
          <t>STOCKHOLMS LÄN</t>
        </is>
      </c>
      <c r="E752" t="inlineStr">
        <is>
          <t>NORRTÄLJE</t>
        </is>
      </c>
      <c r="G752" t="n">
        <v>4.7</v>
      </c>
      <c r="H752" t="n">
        <v>0</v>
      </c>
      <c r="I752" t="n">
        <v>0</v>
      </c>
      <c r="J752" t="n">
        <v>0</v>
      </c>
      <c r="K752" t="n">
        <v>0</v>
      </c>
      <c r="L752" t="n">
        <v>0</v>
      </c>
      <c r="M752" t="n">
        <v>0</v>
      </c>
      <c r="N752" t="n">
        <v>0</v>
      </c>
      <c r="O752" t="n">
        <v>0</v>
      </c>
      <c r="P752" t="n">
        <v>0</v>
      </c>
      <c r="Q752" t="n">
        <v>0</v>
      </c>
      <c r="R752" s="2" t="inlineStr"/>
    </row>
    <row r="753" ht="15" customHeight="1">
      <c r="A753" t="inlineStr">
        <is>
          <t>A 14146-2019</t>
        </is>
      </c>
      <c r="B753" s="1" t="n">
        <v>43532</v>
      </c>
      <c r="C753" s="1" t="n">
        <v>45224</v>
      </c>
      <c r="D753" t="inlineStr">
        <is>
          <t>STOCKHOLMS LÄN</t>
        </is>
      </c>
      <c r="E753" t="inlineStr">
        <is>
          <t>NORRTÄLJE</t>
        </is>
      </c>
      <c r="G753" t="n">
        <v>1.1</v>
      </c>
      <c r="H753" t="n">
        <v>0</v>
      </c>
      <c r="I753" t="n">
        <v>0</v>
      </c>
      <c r="J753" t="n">
        <v>0</v>
      </c>
      <c r="K753" t="n">
        <v>0</v>
      </c>
      <c r="L753" t="n">
        <v>0</v>
      </c>
      <c r="M753" t="n">
        <v>0</v>
      </c>
      <c r="N753" t="n">
        <v>0</v>
      </c>
      <c r="O753" t="n">
        <v>0</v>
      </c>
      <c r="P753" t="n">
        <v>0</v>
      </c>
      <c r="Q753" t="n">
        <v>0</v>
      </c>
      <c r="R753" s="2" t="inlineStr"/>
    </row>
    <row r="754" ht="15" customHeight="1">
      <c r="A754" t="inlineStr">
        <is>
          <t>A 14049-2019</t>
        </is>
      </c>
      <c r="B754" s="1" t="n">
        <v>43532</v>
      </c>
      <c r="C754" s="1" t="n">
        <v>45224</v>
      </c>
      <c r="D754" t="inlineStr">
        <is>
          <t>STOCKHOLMS LÄN</t>
        </is>
      </c>
      <c r="E754" t="inlineStr">
        <is>
          <t>NORRTÄLJE</t>
        </is>
      </c>
      <c r="G754" t="n">
        <v>0.6</v>
      </c>
      <c r="H754" t="n">
        <v>0</v>
      </c>
      <c r="I754" t="n">
        <v>0</v>
      </c>
      <c r="J754" t="n">
        <v>0</v>
      </c>
      <c r="K754" t="n">
        <v>0</v>
      </c>
      <c r="L754" t="n">
        <v>0</v>
      </c>
      <c r="M754" t="n">
        <v>0</v>
      </c>
      <c r="N754" t="n">
        <v>0</v>
      </c>
      <c r="O754" t="n">
        <v>0</v>
      </c>
      <c r="P754" t="n">
        <v>0</v>
      </c>
      <c r="Q754" t="n">
        <v>0</v>
      </c>
      <c r="R754" s="2" t="inlineStr"/>
    </row>
    <row r="755" ht="15" customHeight="1">
      <c r="A755" t="inlineStr">
        <is>
          <t>A 14147-2019</t>
        </is>
      </c>
      <c r="B755" s="1" t="n">
        <v>43532</v>
      </c>
      <c r="C755" s="1" t="n">
        <v>45224</v>
      </c>
      <c r="D755" t="inlineStr">
        <is>
          <t>STOCKHOLMS LÄN</t>
        </is>
      </c>
      <c r="E755" t="inlineStr">
        <is>
          <t>NORRTÄLJE</t>
        </is>
      </c>
      <c r="G755" t="n">
        <v>2.1</v>
      </c>
      <c r="H755" t="n">
        <v>0</v>
      </c>
      <c r="I755" t="n">
        <v>0</v>
      </c>
      <c r="J755" t="n">
        <v>0</v>
      </c>
      <c r="K755" t="n">
        <v>0</v>
      </c>
      <c r="L755" t="n">
        <v>0</v>
      </c>
      <c r="M755" t="n">
        <v>0</v>
      </c>
      <c r="N755" t="n">
        <v>0</v>
      </c>
      <c r="O755" t="n">
        <v>0</v>
      </c>
      <c r="P755" t="n">
        <v>0</v>
      </c>
      <c r="Q755" t="n">
        <v>0</v>
      </c>
      <c r="R755" s="2" t="inlineStr"/>
    </row>
    <row r="756" ht="15" customHeight="1">
      <c r="A756" t="inlineStr">
        <is>
          <t>A 14161-2019</t>
        </is>
      </c>
      <c r="B756" s="1" t="n">
        <v>43533</v>
      </c>
      <c r="C756" s="1" t="n">
        <v>45224</v>
      </c>
      <c r="D756" t="inlineStr">
        <is>
          <t>STOCKHOLMS LÄN</t>
        </is>
      </c>
      <c r="E756" t="inlineStr">
        <is>
          <t>NORRTÄLJE</t>
        </is>
      </c>
      <c r="G756" t="n">
        <v>1.8</v>
      </c>
      <c r="H756" t="n">
        <v>0</v>
      </c>
      <c r="I756" t="n">
        <v>0</v>
      </c>
      <c r="J756" t="n">
        <v>0</v>
      </c>
      <c r="K756" t="n">
        <v>0</v>
      </c>
      <c r="L756" t="n">
        <v>0</v>
      </c>
      <c r="M756" t="n">
        <v>0</v>
      </c>
      <c r="N756" t="n">
        <v>0</v>
      </c>
      <c r="O756" t="n">
        <v>0</v>
      </c>
      <c r="P756" t="n">
        <v>0</v>
      </c>
      <c r="Q756" t="n">
        <v>0</v>
      </c>
      <c r="R756" s="2" t="inlineStr"/>
    </row>
    <row r="757" ht="15" customHeight="1">
      <c r="A757" t="inlineStr">
        <is>
          <t>A 14186-2019</t>
        </is>
      </c>
      <c r="B757" s="1" t="n">
        <v>43534</v>
      </c>
      <c r="C757" s="1" t="n">
        <v>45224</v>
      </c>
      <c r="D757" t="inlineStr">
        <is>
          <t>STOCKHOLMS LÄN</t>
        </is>
      </c>
      <c r="E757" t="inlineStr">
        <is>
          <t>NYKVARN</t>
        </is>
      </c>
      <c r="G757" t="n">
        <v>0.7</v>
      </c>
      <c r="H757" t="n">
        <v>0</v>
      </c>
      <c r="I757" t="n">
        <v>0</v>
      </c>
      <c r="J757" t="n">
        <v>0</v>
      </c>
      <c r="K757" t="n">
        <v>0</v>
      </c>
      <c r="L757" t="n">
        <v>0</v>
      </c>
      <c r="M757" t="n">
        <v>0</v>
      </c>
      <c r="N757" t="n">
        <v>0</v>
      </c>
      <c r="O757" t="n">
        <v>0</v>
      </c>
      <c r="P757" t="n">
        <v>0</v>
      </c>
      <c r="Q757" t="n">
        <v>0</v>
      </c>
      <c r="R757" s="2" t="inlineStr"/>
    </row>
    <row r="758" ht="15" customHeight="1">
      <c r="A758" t="inlineStr">
        <is>
          <t>A 14330-2019</t>
        </is>
      </c>
      <c r="B758" s="1" t="n">
        <v>43535</v>
      </c>
      <c r="C758" s="1" t="n">
        <v>45224</v>
      </c>
      <c r="D758" t="inlineStr">
        <is>
          <t>STOCKHOLMS LÄN</t>
        </is>
      </c>
      <c r="E758" t="inlineStr">
        <is>
          <t>NORRTÄLJE</t>
        </is>
      </c>
      <c r="G758" t="n">
        <v>0.8</v>
      </c>
      <c r="H758" t="n">
        <v>0</v>
      </c>
      <c r="I758" t="n">
        <v>0</v>
      </c>
      <c r="J758" t="n">
        <v>0</v>
      </c>
      <c r="K758" t="n">
        <v>0</v>
      </c>
      <c r="L758" t="n">
        <v>0</v>
      </c>
      <c r="M758" t="n">
        <v>0</v>
      </c>
      <c r="N758" t="n">
        <v>0</v>
      </c>
      <c r="O758" t="n">
        <v>0</v>
      </c>
      <c r="P758" t="n">
        <v>0</v>
      </c>
      <c r="Q758" t="n">
        <v>0</v>
      </c>
      <c r="R758" s="2" t="inlineStr"/>
    </row>
    <row r="759" ht="15" customHeight="1">
      <c r="A759" t="inlineStr">
        <is>
          <t>A 14293-2019</t>
        </is>
      </c>
      <c r="B759" s="1" t="n">
        <v>43535</v>
      </c>
      <c r="C759" s="1" t="n">
        <v>45224</v>
      </c>
      <c r="D759" t="inlineStr">
        <is>
          <t>STOCKHOLMS LÄN</t>
        </is>
      </c>
      <c r="E759" t="inlineStr">
        <is>
          <t>NORRTÄLJE</t>
        </is>
      </c>
      <c r="G759" t="n">
        <v>5.3</v>
      </c>
      <c r="H759" t="n">
        <v>0</v>
      </c>
      <c r="I759" t="n">
        <v>0</v>
      </c>
      <c r="J759" t="n">
        <v>0</v>
      </c>
      <c r="K759" t="n">
        <v>0</v>
      </c>
      <c r="L759" t="n">
        <v>0</v>
      </c>
      <c r="M759" t="n">
        <v>0</v>
      </c>
      <c r="N759" t="n">
        <v>0</v>
      </c>
      <c r="O759" t="n">
        <v>0</v>
      </c>
      <c r="P759" t="n">
        <v>0</v>
      </c>
      <c r="Q759" t="n">
        <v>0</v>
      </c>
      <c r="R759" s="2" t="inlineStr"/>
    </row>
    <row r="760" ht="15" customHeight="1">
      <c r="A760" t="inlineStr">
        <is>
          <t>A 14297-2019</t>
        </is>
      </c>
      <c r="B760" s="1" t="n">
        <v>43535</v>
      </c>
      <c r="C760" s="1" t="n">
        <v>45224</v>
      </c>
      <c r="D760" t="inlineStr">
        <is>
          <t>STOCKHOLMS LÄN</t>
        </is>
      </c>
      <c r="E760" t="inlineStr">
        <is>
          <t>NORRTÄLJE</t>
        </is>
      </c>
      <c r="G760" t="n">
        <v>0.4</v>
      </c>
      <c r="H760" t="n">
        <v>0</v>
      </c>
      <c r="I760" t="n">
        <v>0</v>
      </c>
      <c r="J760" t="n">
        <v>0</v>
      </c>
      <c r="K760" t="n">
        <v>0</v>
      </c>
      <c r="L760" t="n">
        <v>0</v>
      </c>
      <c r="M760" t="n">
        <v>0</v>
      </c>
      <c r="N760" t="n">
        <v>0</v>
      </c>
      <c r="O760" t="n">
        <v>0</v>
      </c>
      <c r="P760" t="n">
        <v>0</v>
      </c>
      <c r="Q760" t="n">
        <v>0</v>
      </c>
      <c r="R760" s="2" t="inlineStr"/>
    </row>
    <row r="761" ht="15" customHeight="1">
      <c r="A761" t="inlineStr">
        <is>
          <t>A 14258-2019</t>
        </is>
      </c>
      <c r="B761" s="1" t="n">
        <v>43535</v>
      </c>
      <c r="C761" s="1" t="n">
        <v>45224</v>
      </c>
      <c r="D761" t="inlineStr">
        <is>
          <t>STOCKHOLMS LÄN</t>
        </is>
      </c>
      <c r="E761" t="inlineStr">
        <is>
          <t>NORRTÄLJE</t>
        </is>
      </c>
      <c r="G761" t="n">
        <v>4.2</v>
      </c>
      <c r="H761" t="n">
        <v>0</v>
      </c>
      <c r="I761" t="n">
        <v>0</v>
      </c>
      <c r="J761" t="n">
        <v>0</v>
      </c>
      <c r="K761" t="n">
        <v>0</v>
      </c>
      <c r="L761" t="n">
        <v>0</v>
      </c>
      <c r="M761" t="n">
        <v>0</v>
      </c>
      <c r="N761" t="n">
        <v>0</v>
      </c>
      <c r="O761" t="n">
        <v>0</v>
      </c>
      <c r="P761" t="n">
        <v>0</v>
      </c>
      <c r="Q761" t="n">
        <v>0</v>
      </c>
      <c r="R761" s="2" t="inlineStr"/>
    </row>
    <row r="762" ht="15" customHeight="1">
      <c r="A762" t="inlineStr">
        <is>
          <t>A 14294-2019</t>
        </is>
      </c>
      <c r="B762" s="1" t="n">
        <v>43535</v>
      </c>
      <c r="C762" s="1" t="n">
        <v>45224</v>
      </c>
      <c r="D762" t="inlineStr">
        <is>
          <t>STOCKHOLMS LÄN</t>
        </is>
      </c>
      <c r="E762" t="inlineStr">
        <is>
          <t>NORRTÄLJE</t>
        </is>
      </c>
      <c r="G762" t="n">
        <v>0.7</v>
      </c>
      <c r="H762" t="n">
        <v>0</v>
      </c>
      <c r="I762" t="n">
        <v>0</v>
      </c>
      <c r="J762" t="n">
        <v>0</v>
      </c>
      <c r="K762" t="n">
        <v>0</v>
      </c>
      <c r="L762" t="n">
        <v>0</v>
      </c>
      <c r="M762" t="n">
        <v>0</v>
      </c>
      <c r="N762" t="n">
        <v>0</v>
      </c>
      <c r="O762" t="n">
        <v>0</v>
      </c>
      <c r="P762" t="n">
        <v>0</v>
      </c>
      <c r="Q762" t="n">
        <v>0</v>
      </c>
      <c r="R762" s="2" t="inlineStr"/>
    </row>
    <row r="763" ht="15" customHeight="1">
      <c r="A763" t="inlineStr">
        <is>
          <t>A 14465-2019</t>
        </is>
      </c>
      <c r="B763" s="1" t="n">
        <v>43536</v>
      </c>
      <c r="C763" s="1" t="n">
        <v>45224</v>
      </c>
      <c r="D763" t="inlineStr">
        <is>
          <t>STOCKHOLMS LÄN</t>
        </is>
      </c>
      <c r="E763" t="inlineStr">
        <is>
          <t>VALLENTUNA</t>
        </is>
      </c>
      <c r="G763" t="n">
        <v>1</v>
      </c>
      <c r="H763" t="n">
        <v>0</v>
      </c>
      <c r="I763" t="n">
        <v>0</v>
      </c>
      <c r="J763" t="n">
        <v>0</v>
      </c>
      <c r="K763" t="n">
        <v>0</v>
      </c>
      <c r="L763" t="n">
        <v>0</v>
      </c>
      <c r="M763" t="n">
        <v>0</v>
      </c>
      <c r="N763" t="n">
        <v>0</v>
      </c>
      <c r="O763" t="n">
        <v>0</v>
      </c>
      <c r="P763" t="n">
        <v>0</v>
      </c>
      <c r="Q763" t="n">
        <v>0</v>
      </c>
      <c r="R763" s="2" t="inlineStr"/>
    </row>
    <row r="764" ht="15" customHeight="1">
      <c r="A764" t="inlineStr">
        <is>
          <t>A 14229-2019</t>
        </is>
      </c>
      <c r="B764" s="1" t="n">
        <v>43536</v>
      </c>
      <c r="C764" s="1" t="n">
        <v>45224</v>
      </c>
      <c r="D764" t="inlineStr">
        <is>
          <t>STOCKHOLMS LÄN</t>
        </is>
      </c>
      <c r="E764" t="inlineStr">
        <is>
          <t>NORRTÄLJE</t>
        </is>
      </c>
      <c r="F764" t="inlineStr">
        <is>
          <t>Sveaskog</t>
        </is>
      </c>
      <c r="G764" t="n">
        <v>3.3</v>
      </c>
      <c r="H764" t="n">
        <v>0</v>
      </c>
      <c r="I764" t="n">
        <v>0</v>
      </c>
      <c r="J764" t="n">
        <v>0</v>
      </c>
      <c r="K764" t="n">
        <v>0</v>
      </c>
      <c r="L764" t="n">
        <v>0</v>
      </c>
      <c r="M764" t="n">
        <v>0</v>
      </c>
      <c r="N764" t="n">
        <v>0</v>
      </c>
      <c r="O764" t="n">
        <v>0</v>
      </c>
      <c r="P764" t="n">
        <v>0</v>
      </c>
      <c r="Q764" t="n">
        <v>0</v>
      </c>
      <c r="R764" s="2" t="inlineStr"/>
    </row>
    <row r="765" ht="15" customHeight="1">
      <c r="A765" t="inlineStr">
        <is>
          <t>A 14239-2019</t>
        </is>
      </c>
      <c r="B765" s="1" t="n">
        <v>43536</v>
      </c>
      <c r="C765" s="1" t="n">
        <v>45224</v>
      </c>
      <c r="D765" t="inlineStr">
        <is>
          <t>STOCKHOLMS LÄN</t>
        </is>
      </c>
      <c r="E765" t="inlineStr">
        <is>
          <t>NORRTÄLJE</t>
        </is>
      </c>
      <c r="G765" t="n">
        <v>3.4</v>
      </c>
      <c r="H765" t="n">
        <v>0</v>
      </c>
      <c r="I765" t="n">
        <v>0</v>
      </c>
      <c r="J765" t="n">
        <v>0</v>
      </c>
      <c r="K765" t="n">
        <v>0</v>
      </c>
      <c r="L765" t="n">
        <v>0</v>
      </c>
      <c r="M765" t="n">
        <v>0</v>
      </c>
      <c r="N765" t="n">
        <v>0</v>
      </c>
      <c r="O765" t="n">
        <v>0</v>
      </c>
      <c r="P765" t="n">
        <v>0</v>
      </c>
      <c r="Q765" t="n">
        <v>0</v>
      </c>
      <c r="R765" s="2" t="inlineStr"/>
    </row>
    <row r="766" ht="15" customHeight="1">
      <c r="A766" t="inlineStr">
        <is>
          <t>A 14946-2019</t>
        </is>
      </c>
      <c r="B766" s="1" t="n">
        <v>43537</v>
      </c>
      <c r="C766" s="1" t="n">
        <v>45224</v>
      </c>
      <c r="D766" t="inlineStr">
        <is>
          <t>STOCKHOLMS LÄN</t>
        </is>
      </c>
      <c r="E766" t="inlineStr">
        <is>
          <t>NORRTÄLJE</t>
        </is>
      </c>
      <c r="G766" t="n">
        <v>1.1</v>
      </c>
      <c r="H766" t="n">
        <v>0</v>
      </c>
      <c r="I766" t="n">
        <v>0</v>
      </c>
      <c r="J766" t="n">
        <v>0</v>
      </c>
      <c r="K766" t="n">
        <v>0</v>
      </c>
      <c r="L766" t="n">
        <v>0</v>
      </c>
      <c r="M766" t="n">
        <v>0</v>
      </c>
      <c r="N766" t="n">
        <v>0</v>
      </c>
      <c r="O766" t="n">
        <v>0</v>
      </c>
      <c r="P766" t="n">
        <v>0</v>
      </c>
      <c r="Q766" t="n">
        <v>0</v>
      </c>
      <c r="R766" s="2" t="inlineStr"/>
    </row>
    <row r="767" ht="15" customHeight="1">
      <c r="A767" t="inlineStr">
        <is>
          <t>A 15085-2019</t>
        </is>
      </c>
      <c r="B767" s="1" t="n">
        <v>43538</v>
      </c>
      <c r="C767" s="1" t="n">
        <v>45224</v>
      </c>
      <c r="D767" t="inlineStr">
        <is>
          <t>STOCKHOLMS LÄN</t>
        </is>
      </c>
      <c r="E767" t="inlineStr">
        <is>
          <t>NORRTÄLJE</t>
        </is>
      </c>
      <c r="G767" t="n">
        <v>4.7</v>
      </c>
      <c r="H767" t="n">
        <v>0</v>
      </c>
      <c r="I767" t="n">
        <v>0</v>
      </c>
      <c r="J767" t="n">
        <v>0</v>
      </c>
      <c r="K767" t="n">
        <v>0</v>
      </c>
      <c r="L767" t="n">
        <v>0</v>
      </c>
      <c r="M767" t="n">
        <v>0</v>
      </c>
      <c r="N767" t="n">
        <v>0</v>
      </c>
      <c r="O767" t="n">
        <v>0</v>
      </c>
      <c r="P767" t="n">
        <v>0</v>
      </c>
      <c r="Q767" t="n">
        <v>0</v>
      </c>
      <c r="R767" s="2" t="inlineStr"/>
    </row>
    <row r="768" ht="15" customHeight="1">
      <c r="A768" t="inlineStr">
        <is>
          <t>A 15017-2019</t>
        </is>
      </c>
      <c r="B768" s="1" t="n">
        <v>43538</v>
      </c>
      <c r="C768" s="1" t="n">
        <v>45224</v>
      </c>
      <c r="D768" t="inlineStr">
        <is>
          <t>STOCKHOLMS LÄN</t>
        </is>
      </c>
      <c r="E768" t="inlineStr">
        <is>
          <t>NORRTÄLJE</t>
        </is>
      </c>
      <c r="G768" t="n">
        <v>0.5</v>
      </c>
      <c r="H768" t="n">
        <v>0</v>
      </c>
      <c r="I768" t="n">
        <v>0</v>
      </c>
      <c r="J768" t="n">
        <v>0</v>
      </c>
      <c r="K768" t="n">
        <v>0</v>
      </c>
      <c r="L768" t="n">
        <v>0</v>
      </c>
      <c r="M768" t="n">
        <v>0</v>
      </c>
      <c r="N768" t="n">
        <v>0</v>
      </c>
      <c r="O768" t="n">
        <v>0</v>
      </c>
      <c r="P768" t="n">
        <v>0</v>
      </c>
      <c r="Q768" t="n">
        <v>0</v>
      </c>
      <c r="R768" s="2" t="inlineStr"/>
    </row>
    <row r="769" ht="15" customHeight="1">
      <c r="A769" t="inlineStr">
        <is>
          <t>A 15161-2019</t>
        </is>
      </c>
      <c r="B769" s="1" t="n">
        <v>43538</v>
      </c>
      <c r="C769" s="1" t="n">
        <v>45224</v>
      </c>
      <c r="D769" t="inlineStr">
        <is>
          <t>STOCKHOLMS LÄN</t>
        </is>
      </c>
      <c r="E769" t="inlineStr">
        <is>
          <t>NYNÄSHAMN</t>
        </is>
      </c>
      <c r="F769" t="inlineStr">
        <is>
          <t>Kyrkan</t>
        </is>
      </c>
      <c r="G769" t="n">
        <v>1.3</v>
      </c>
      <c r="H769" t="n">
        <v>0</v>
      </c>
      <c r="I769" t="n">
        <v>0</v>
      </c>
      <c r="J769" t="n">
        <v>0</v>
      </c>
      <c r="K769" t="n">
        <v>0</v>
      </c>
      <c r="L769" t="n">
        <v>0</v>
      </c>
      <c r="M769" t="n">
        <v>0</v>
      </c>
      <c r="N769" t="n">
        <v>0</v>
      </c>
      <c r="O769" t="n">
        <v>0</v>
      </c>
      <c r="P769" t="n">
        <v>0</v>
      </c>
      <c r="Q769" t="n">
        <v>0</v>
      </c>
      <c r="R769" s="2" t="inlineStr"/>
    </row>
    <row r="770" ht="15" customHeight="1">
      <c r="A770" t="inlineStr">
        <is>
          <t>A 14958-2019</t>
        </is>
      </c>
      <c r="B770" s="1" t="n">
        <v>43538</v>
      </c>
      <c r="C770" s="1" t="n">
        <v>45224</v>
      </c>
      <c r="D770" t="inlineStr">
        <is>
          <t>STOCKHOLMS LÄN</t>
        </is>
      </c>
      <c r="E770" t="inlineStr">
        <is>
          <t>NORRTÄLJE</t>
        </is>
      </c>
      <c r="G770" t="n">
        <v>1.2</v>
      </c>
      <c r="H770" t="n">
        <v>0</v>
      </c>
      <c r="I770" t="n">
        <v>0</v>
      </c>
      <c r="J770" t="n">
        <v>0</v>
      </c>
      <c r="K770" t="n">
        <v>0</v>
      </c>
      <c r="L770" t="n">
        <v>0</v>
      </c>
      <c r="M770" t="n">
        <v>0</v>
      </c>
      <c r="N770" t="n">
        <v>0</v>
      </c>
      <c r="O770" t="n">
        <v>0</v>
      </c>
      <c r="P770" t="n">
        <v>0</v>
      </c>
      <c r="Q770" t="n">
        <v>0</v>
      </c>
      <c r="R770" s="2" t="inlineStr"/>
    </row>
    <row r="771" ht="15" customHeight="1">
      <c r="A771" t="inlineStr">
        <is>
          <t>A 14840-2019</t>
        </is>
      </c>
      <c r="B771" s="1" t="n">
        <v>43538</v>
      </c>
      <c r="C771" s="1" t="n">
        <v>45224</v>
      </c>
      <c r="D771" t="inlineStr">
        <is>
          <t>STOCKHOLMS LÄN</t>
        </is>
      </c>
      <c r="E771" t="inlineStr">
        <is>
          <t>NORRTÄLJE</t>
        </is>
      </c>
      <c r="G771" t="n">
        <v>3.4</v>
      </c>
      <c r="H771" t="n">
        <v>0</v>
      </c>
      <c r="I771" t="n">
        <v>0</v>
      </c>
      <c r="J771" t="n">
        <v>0</v>
      </c>
      <c r="K771" t="n">
        <v>0</v>
      </c>
      <c r="L771" t="n">
        <v>0</v>
      </c>
      <c r="M771" t="n">
        <v>0</v>
      </c>
      <c r="N771" t="n">
        <v>0</v>
      </c>
      <c r="O771" t="n">
        <v>0</v>
      </c>
      <c r="P771" t="n">
        <v>0</v>
      </c>
      <c r="Q771" t="n">
        <v>0</v>
      </c>
      <c r="R771" s="2" t="inlineStr"/>
    </row>
    <row r="772" ht="15" customHeight="1">
      <c r="A772" t="inlineStr">
        <is>
          <t>A 14995-2019</t>
        </is>
      </c>
      <c r="B772" s="1" t="n">
        <v>43538</v>
      </c>
      <c r="C772" s="1" t="n">
        <v>45224</v>
      </c>
      <c r="D772" t="inlineStr">
        <is>
          <t>STOCKHOLMS LÄN</t>
        </is>
      </c>
      <c r="E772" t="inlineStr">
        <is>
          <t>NORRTÄLJE</t>
        </is>
      </c>
      <c r="G772" t="n">
        <v>0.6</v>
      </c>
      <c r="H772" t="n">
        <v>0</v>
      </c>
      <c r="I772" t="n">
        <v>0</v>
      </c>
      <c r="J772" t="n">
        <v>0</v>
      </c>
      <c r="K772" t="n">
        <v>0</v>
      </c>
      <c r="L772" t="n">
        <v>0</v>
      </c>
      <c r="M772" t="n">
        <v>0</v>
      </c>
      <c r="N772" t="n">
        <v>0</v>
      </c>
      <c r="O772" t="n">
        <v>0</v>
      </c>
      <c r="P772" t="n">
        <v>0</v>
      </c>
      <c r="Q772" t="n">
        <v>0</v>
      </c>
      <c r="R772" s="2" t="inlineStr"/>
    </row>
    <row r="773" ht="15" customHeight="1">
      <c r="A773" t="inlineStr">
        <is>
          <t>A 15453-2019</t>
        </is>
      </c>
      <c r="B773" s="1" t="n">
        <v>43539</v>
      </c>
      <c r="C773" s="1" t="n">
        <v>45224</v>
      </c>
      <c r="D773" t="inlineStr">
        <is>
          <t>STOCKHOLMS LÄN</t>
        </is>
      </c>
      <c r="E773" t="inlineStr">
        <is>
          <t>NORRTÄLJE</t>
        </is>
      </c>
      <c r="G773" t="n">
        <v>0.3</v>
      </c>
      <c r="H773" t="n">
        <v>0</v>
      </c>
      <c r="I773" t="n">
        <v>0</v>
      </c>
      <c r="J773" t="n">
        <v>0</v>
      </c>
      <c r="K773" t="n">
        <v>0</v>
      </c>
      <c r="L773" t="n">
        <v>0</v>
      </c>
      <c r="M773" t="n">
        <v>0</v>
      </c>
      <c r="N773" t="n">
        <v>0</v>
      </c>
      <c r="O773" t="n">
        <v>0</v>
      </c>
      <c r="P773" t="n">
        <v>0</v>
      </c>
      <c r="Q773" t="n">
        <v>0</v>
      </c>
      <c r="R773" s="2" t="inlineStr"/>
    </row>
    <row r="774" ht="15" customHeight="1">
      <c r="A774" t="inlineStr">
        <is>
          <t>A 14804-2019</t>
        </is>
      </c>
      <c r="B774" s="1" t="n">
        <v>43539</v>
      </c>
      <c r="C774" s="1" t="n">
        <v>45224</v>
      </c>
      <c r="D774" t="inlineStr">
        <is>
          <t>STOCKHOLMS LÄN</t>
        </is>
      </c>
      <c r="E774" t="inlineStr">
        <is>
          <t>NORRTÄLJE</t>
        </is>
      </c>
      <c r="G774" t="n">
        <v>1.2</v>
      </c>
      <c r="H774" t="n">
        <v>0</v>
      </c>
      <c r="I774" t="n">
        <v>0</v>
      </c>
      <c r="J774" t="n">
        <v>0</v>
      </c>
      <c r="K774" t="n">
        <v>0</v>
      </c>
      <c r="L774" t="n">
        <v>0</v>
      </c>
      <c r="M774" t="n">
        <v>0</v>
      </c>
      <c r="N774" t="n">
        <v>0</v>
      </c>
      <c r="O774" t="n">
        <v>0</v>
      </c>
      <c r="P774" t="n">
        <v>0</v>
      </c>
      <c r="Q774" t="n">
        <v>0</v>
      </c>
      <c r="R774" s="2" t="inlineStr"/>
    </row>
    <row r="775" ht="15" customHeight="1">
      <c r="A775" t="inlineStr">
        <is>
          <t>A 14849-2019</t>
        </is>
      </c>
      <c r="B775" s="1" t="n">
        <v>43539</v>
      </c>
      <c r="C775" s="1" t="n">
        <v>45224</v>
      </c>
      <c r="D775" t="inlineStr">
        <is>
          <t>STOCKHOLMS LÄN</t>
        </is>
      </c>
      <c r="E775" t="inlineStr">
        <is>
          <t>NORRTÄLJE</t>
        </is>
      </c>
      <c r="F775" t="inlineStr">
        <is>
          <t>Kommuner</t>
        </is>
      </c>
      <c r="G775" t="n">
        <v>0.9</v>
      </c>
      <c r="H775" t="n">
        <v>0</v>
      </c>
      <c r="I775" t="n">
        <v>0</v>
      </c>
      <c r="J775" t="n">
        <v>0</v>
      </c>
      <c r="K775" t="n">
        <v>0</v>
      </c>
      <c r="L775" t="n">
        <v>0</v>
      </c>
      <c r="M775" t="n">
        <v>0</v>
      </c>
      <c r="N775" t="n">
        <v>0</v>
      </c>
      <c r="O775" t="n">
        <v>0</v>
      </c>
      <c r="P775" t="n">
        <v>0</v>
      </c>
      <c r="Q775" t="n">
        <v>0</v>
      </c>
      <c r="R775" s="2" t="inlineStr"/>
    </row>
    <row r="776" ht="15" customHeight="1">
      <c r="A776" t="inlineStr">
        <is>
          <t>A 15098-2019</t>
        </is>
      </c>
      <c r="B776" s="1" t="n">
        <v>43539</v>
      </c>
      <c r="C776" s="1" t="n">
        <v>45224</v>
      </c>
      <c r="D776" t="inlineStr">
        <is>
          <t>STOCKHOLMS LÄN</t>
        </is>
      </c>
      <c r="E776" t="inlineStr">
        <is>
          <t>NORRTÄLJE</t>
        </is>
      </c>
      <c r="F776" t="inlineStr">
        <is>
          <t>Kommuner</t>
        </is>
      </c>
      <c r="G776" t="n">
        <v>1.6</v>
      </c>
      <c r="H776" t="n">
        <v>0</v>
      </c>
      <c r="I776" t="n">
        <v>0</v>
      </c>
      <c r="J776" t="n">
        <v>0</v>
      </c>
      <c r="K776" t="n">
        <v>0</v>
      </c>
      <c r="L776" t="n">
        <v>0</v>
      </c>
      <c r="M776" t="n">
        <v>0</v>
      </c>
      <c r="N776" t="n">
        <v>0</v>
      </c>
      <c r="O776" t="n">
        <v>0</v>
      </c>
      <c r="P776" t="n">
        <v>0</v>
      </c>
      <c r="Q776" t="n">
        <v>0</v>
      </c>
      <c r="R776" s="2" t="inlineStr"/>
    </row>
    <row r="777" ht="15" customHeight="1">
      <c r="A777" t="inlineStr">
        <is>
          <t>A 14823-2019</t>
        </is>
      </c>
      <c r="B777" s="1" t="n">
        <v>43539</v>
      </c>
      <c r="C777" s="1" t="n">
        <v>45224</v>
      </c>
      <c r="D777" t="inlineStr">
        <is>
          <t>STOCKHOLMS LÄN</t>
        </is>
      </c>
      <c r="E777" t="inlineStr">
        <is>
          <t>SIGTUNA</t>
        </is>
      </c>
      <c r="G777" t="n">
        <v>1</v>
      </c>
      <c r="H777" t="n">
        <v>0</v>
      </c>
      <c r="I777" t="n">
        <v>0</v>
      </c>
      <c r="J777" t="n">
        <v>0</v>
      </c>
      <c r="K777" t="n">
        <v>0</v>
      </c>
      <c r="L777" t="n">
        <v>0</v>
      </c>
      <c r="M777" t="n">
        <v>0</v>
      </c>
      <c r="N777" t="n">
        <v>0</v>
      </c>
      <c r="O777" t="n">
        <v>0</v>
      </c>
      <c r="P777" t="n">
        <v>0</v>
      </c>
      <c r="Q777" t="n">
        <v>0</v>
      </c>
      <c r="R777" s="2" t="inlineStr"/>
    </row>
    <row r="778" ht="15" customHeight="1">
      <c r="A778" t="inlineStr">
        <is>
          <t>A 15237-2019</t>
        </is>
      </c>
      <c r="B778" s="1" t="n">
        <v>43539</v>
      </c>
      <c r="C778" s="1" t="n">
        <v>45224</v>
      </c>
      <c r="D778" t="inlineStr">
        <is>
          <t>STOCKHOLMS LÄN</t>
        </is>
      </c>
      <c r="E778" t="inlineStr">
        <is>
          <t>NORRTÄLJE</t>
        </is>
      </c>
      <c r="G778" t="n">
        <v>3.4</v>
      </c>
      <c r="H778" t="n">
        <v>0</v>
      </c>
      <c r="I778" t="n">
        <v>0</v>
      </c>
      <c r="J778" t="n">
        <v>0</v>
      </c>
      <c r="K778" t="n">
        <v>0</v>
      </c>
      <c r="L778" t="n">
        <v>0</v>
      </c>
      <c r="M778" t="n">
        <v>0</v>
      </c>
      <c r="N778" t="n">
        <v>0</v>
      </c>
      <c r="O778" t="n">
        <v>0</v>
      </c>
      <c r="P778" t="n">
        <v>0</v>
      </c>
      <c r="Q778" t="n">
        <v>0</v>
      </c>
      <c r="R778" s="2" t="inlineStr"/>
    </row>
    <row r="779" ht="15" customHeight="1">
      <c r="A779" t="inlineStr">
        <is>
          <t>A 15541-2019</t>
        </is>
      </c>
      <c r="B779" s="1" t="n">
        <v>43542</v>
      </c>
      <c r="C779" s="1" t="n">
        <v>45224</v>
      </c>
      <c r="D779" t="inlineStr">
        <is>
          <t>STOCKHOLMS LÄN</t>
        </is>
      </c>
      <c r="E779" t="inlineStr">
        <is>
          <t>NORRTÄLJE</t>
        </is>
      </c>
      <c r="G779" t="n">
        <v>0.6</v>
      </c>
      <c r="H779" t="n">
        <v>0</v>
      </c>
      <c r="I779" t="n">
        <v>0</v>
      </c>
      <c r="J779" t="n">
        <v>0</v>
      </c>
      <c r="K779" t="n">
        <v>0</v>
      </c>
      <c r="L779" t="n">
        <v>0</v>
      </c>
      <c r="M779" t="n">
        <v>0</v>
      </c>
      <c r="N779" t="n">
        <v>0</v>
      </c>
      <c r="O779" t="n">
        <v>0</v>
      </c>
      <c r="P779" t="n">
        <v>0</v>
      </c>
      <c r="Q779" t="n">
        <v>0</v>
      </c>
      <c r="R779" s="2" t="inlineStr"/>
    </row>
    <row r="780" ht="15" customHeight="1">
      <c r="A780" t="inlineStr">
        <is>
          <t>A 15475-2019</t>
        </is>
      </c>
      <c r="B780" s="1" t="n">
        <v>43542</v>
      </c>
      <c r="C780" s="1" t="n">
        <v>45224</v>
      </c>
      <c r="D780" t="inlineStr">
        <is>
          <t>STOCKHOLMS LÄN</t>
        </is>
      </c>
      <c r="E780" t="inlineStr">
        <is>
          <t>SÖDERTÄLJE</t>
        </is>
      </c>
      <c r="F780" t="inlineStr">
        <is>
          <t>Kyrkan</t>
        </is>
      </c>
      <c r="G780" t="n">
        <v>4.2</v>
      </c>
      <c r="H780" t="n">
        <v>0</v>
      </c>
      <c r="I780" t="n">
        <v>0</v>
      </c>
      <c r="J780" t="n">
        <v>0</v>
      </c>
      <c r="K780" t="n">
        <v>0</v>
      </c>
      <c r="L780" t="n">
        <v>0</v>
      </c>
      <c r="M780" t="n">
        <v>0</v>
      </c>
      <c r="N780" t="n">
        <v>0</v>
      </c>
      <c r="O780" t="n">
        <v>0</v>
      </c>
      <c r="P780" t="n">
        <v>0</v>
      </c>
      <c r="Q780" t="n">
        <v>0</v>
      </c>
      <c r="R780" s="2" t="inlineStr"/>
    </row>
    <row r="781" ht="15" customHeight="1">
      <c r="A781" t="inlineStr">
        <is>
          <t>A 15500-2019</t>
        </is>
      </c>
      <c r="B781" s="1" t="n">
        <v>43542</v>
      </c>
      <c r="C781" s="1" t="n">
        <v>45224</v>
      </c>
      <c r="D781" t="inlineStr">
        <is>
          <t>STOCKHOLMS LÄN</t>
        </is>
      </c>
      <c r="E781" t="inlineStr">
        <is>
          <t>NORRTÄLJE</t>
        </is>
      </c>
      <c r="G781" t="n">
        <v>0.9</v>
      </c>
      <c r="H781" t="n">
        <v>0</v>
      </c>
      <c r="I781" t="n">
        <v>0</v>
      </c>
      <c r="J781" t="n">
        <v>0</v>
      </c>
      <c r="K781" t="n">
        <v>0</v>
      </c>
      <c r="L781" t="n">
        <v>0</v>
      </c>
      <c r="M781" t="n">
        <v>0</v>
      </c>
      <c r="N781" t="n">
        <v>0</v>
      </c>
      <c r="O781" t="n">
        <v>0</v>
      </c>
      <c r="P781" t="n">
        <v>0</v>
      </c>
      <c r="Q781" t="n">
        <v>0</v>
      </c>
      <c r="R781" s="2" t="inlineStr"/>
    </row>
    <row r="782" ht="15" customHeight="1">
      <c r="A782" t="inlineStr">
        <is>
          <t>A 15673-2019</t>
        </is>
      </c>
      <c r="B782" s="1" t="n">
        <v>43543</v>
      </c>
      <c r="C782" s="1" t="n">
        <v>45224</v>
      </c>
      <c r="D782" t="inlineStr">
        <is>
          <t>STOCKHOLMS LÄN</t>
        </is>
      </c>
      <c r="E782" t="inlineStr">
        <is>
          <t>NORRTÄLJE</t>
        </is>
      </c>
      <c r="G782" t="n">
        <v>1</v>
      </c>
      <c r="H782" t="n">
        <v>0</v>
      </c>
      <c r="I782" t="n">
        <v>0</v>
      </c>
      <c r="J782" t="n">
        <v>0</v>
      </c>
      <c r="K782" t="n">
        <v>0</v>
      </c>
      <c r="L782" t="n">
        <v>0</v>
      </c>
      <c r="M782" t="n">
        <v>0</v>
      </c>
      <c r="N782" t="n">
        <v>0</v>
      </c>
      <c r="O782" t="n">
        <v>0</v>
      </c>
      <c r="P782" t="n">
        <v>0</v>
      </c>
      <c r="Q782" t="n">
        <v>0</v>
      </c>
      <c r="R782" s="2" t="inlineStr"/>
    </row>
    <row r="783" ht="15" customHeight="1">
      <c r="A783" t="inlineStr">
        <is>
          <t>A 15727-2019</t>
        </is>
      </c>
      <c r="B783" s="1" t="n">
        <v>43543</v>
      </c>
      <c r="C783" s="1" t="n">
        <v>45224</v>
      </c>
      <c r="D783" t="inlineStr">
        <is>
          <t>STOCKHOLMS LÄN</t>
        </is>
      </c>
      <c r="E783" t="inlineStr">
        <is>
          <t>NORRTÄLJE</t>
        </is>
      </c>
      <c r="G783" t="n">
        <v>7.6</v>
      </c>
      <c r="H783" t="n">
        <v>0</v>
      </c>
      <c r="I783" t="n">
        <v>0</v>
      </c>
      <c r="J783" t="n">
        <v>0</v>
      </c>
      <c r="K783" t="n">
        <v>0</v>
      </c>
      <c r="L783" t="n">
        <v>0</v>
      </c>
      <c r="M783" t="n">
        <v>0</v>
      </c>
      <c r="N783" t="n">
        <v>0</v>
      </c>
      <c r="O783" t="n">
        <v>0</v>
      </c>
      <c r="P783" t="n">
        <v>0</v>
      </c>
      <c r="Q783" t="n">
        <v>0</v>
      </c>
      <c r="R783" s="2" t="inlineStr"/>
    </row>
    <row r="784" ht="15" customHeight="1">
      <c r="A784" t="inlineStr">
        <is>
          <t>A 15710-2019</t>
        </is>
      </c>
      <c r="B784" s="1" t="n">
        <v>43543</v>
      </c>
      <c r="C784" s="1" t="n">
        <v>45224</v>
      </c>
      <c r="D784" t="inlineStr">
        <is>
          <t>STOCKHOLMS LÄN</t>
        </is>
      </c>
      <c r="E784" t="inlineStr">
        <is>
          <t>NORRTÄLJE</t>
        </is>
      </c>
      <c r="G784" t="n">
        <v>15.8</v>
      </c>
      <c r="H784" t="n">
        <v>0</v>
      </c>
      <c r="I784" t="n">
        <v>0</v>
      </c>
      <c r="J784" t="n">
        <v>0</v>
      </c>
      <c r="K784" t="n">
        <v>0</v>
      </c>
      <c r="L784" t="n">
        <v>0</v>
      </c>
      <c r="M784" t="n">
        <v>0</v>
      </c>
      <c r="N784" t="n">
        <v>0</v>
      </c>
      <c r="O784" t="n">
        <v>0</v>
      </c>
      <c r="P784" t="n">
        <v>0</v>
      </c>
      <c r="Q784" t="n">
        <v>0</v>
      </c>
      <c r="R784" s="2" t="inlineStr"/>
    </row>
    <row r="785" ht="15" customHeight="1">
      <c r="A785" t="inlineStr">
        <is>
          <t>A 15728-2019</t>
        </is>
      </c>
      <c r="B785" s="1" t="n">
        <v>43543</v>
      </c>
      <c r="C785" s="1" t="n">
        <v>45224</v>
      </c>
      <c r="D785" t="inlineStr">
        <is>
          <t>STOCKHOLMS LÄN</t>
        </is>
      </c>
      <c r="E785" t="inlineStr">
        <is>
          <t>NORRTÄLJE</t>
        </is>
      </c>
      <c r="G785" t="n">
        <v>6.9</v>
      </c>
      <c r="H785" t="n">
        <v>0</v>
      </c>
      <c r="I785" t="n">
        <v>0</v>
      </c>
      <c r="J785" t="n">
        <v>0</v>
      </c>
      <c r="K785" t="n">
        <v>0</v>
      </c>
      <c r="L785" t="n">
        <v>0</v>
      </c>
      <c r="M785" t="n">
        <v>0</v>
      </c>
      <c r="N785" t="n">
        <v>0</v>
      </c>
      <c r="O785" t="n">
        <v>0</v>
      </c>
      <c r="P785" t="n">
        <v>0</v>
      </c>
      <c r="Q785" t="n">
        <v>0</v>
      </c>
      <c r="R785" s="2" t="inlineStr"/>
    </row>
    <row r="786" ht="15" customHeight="1">
      <c r="A786" t="inlineStr">
        <is>
          <t>A 15702-2019</t>
        </is>
      </c>
      <c r="B786" s="1" t="n">
        <v>43543</v>
      </c>
      <c r="C786" s="1" t="n">
        <v>45224</v>
      </c>
      <c r="D786" t="inlineStr">
        <is>
          <t>STOCKHOLMS LÄN</t>
        </is>
      </c>
      <c r="E786" t="inlineStr">
        <is>
          <t>NORRTÄLJE</t>
        </is>
      </c>
      <c r="G786" t="n">
        <v>21.3</v>
      </c>
      <c r="H786" t="n">
        <v>0</v>
      </c>
      <c r="I786" t="n">
        <v>0</v>
      </c>
      <c r="J786" t="n">
        <v>0</v>
      </c>
      <c r="K786" t="n">
        <v>0</v>
      </c>
      <c r="L786" t="n">
        <v>0</v>
      </c>
      <c r="M786" t="n">
        <v>0</v>
      </c>
      <c r="N786" t="n">
        <v>0</v>
      </c>
      <c r="O786" t="n">
        <v>0</v>
      </c>
      <c r="P786" t="n">
        <v>0</v>
      </c>
      <c r="Q786" t="n">
        <v>0</v>
      </c>
      <c r="R786" s="2" t="inlineStr"/>
    </row>
    <row r="787" ht="15" customHeight="1">
      <c r="A787" t="inlineStr">
        <is>
          <t>A 15736-2019</t>
        </is>
      </c>
      <c r="B787" s="1" t="n">
        <v>43543</v>
      </c>
      <c r="C787" s="1" t="n">
        <v>45224</v>
      </c>
      <c r="D787" t="inlineStr">
        <is>
          <t>STOCKHOLMS LÄN</t>
        </is>
      </c>
      <c r="E787" t="inlineStr">
        <is>
          <t>NORRTÄLJE</t>
        </is>
      </c>
      <c r="G787" t="n">
        <v>6.2</v>
      </c>
      <c r="H787" t="n">
        <v>0</v>
      </c>
      <c r="I787" t="n">
        <v>0</v>
      </c>
      <c r="J787" t="n">
        <v>0</v>
      </c>
      <c r="K787" t="n">
        <v>0</v>
      </c>
      <c r="L787" t="n">
        <v>0</v>
      </c>
      <c r="M787" t="n">
        <v>0</v>
      </c>
      <c r="N787" t="n">
        <v>0</v>
      </c>
      <c r="O787" t="n">
        <v>0</v>
      </c>
      <c r="P787" t="n">
        <v>0</v>
      </c>
      <c r="Q787" t="n">
        <v>0</v>
      </c>
      <c r="R787" s="2" t="inlineStr"/>
    </row>
    <row r="788" ht="15" customHeight="1">
      <c r="A788" t="inlineStr">
        <is>
          <t>A 15979-2019</t>
        </is>
      </c>
      <c r="B788" s="1" t="n">
        <v>43544</v>
      </c>
      <c r="C788" s="1" t="n">
        <v>45224</v>
      </c>
      <c r="D788" t="inlineStr">
        <is>
          <t>STOCKHOLMS LÄN</t>
        </is>
      </c>
      <c r="E788" t="inlineStr">
        <is>
          <t>VÄRMDÖ</t>
        </is>
      </c>
      <c r="G788" t="n">
        <v>1.3</v>
      </c>
      <c r="H788" t="n">
        <v>0</v>
      </c>
      <c r="I788" t="n">
        <v>0</v>
      </c>
      <c r="J788" t="n">
        <v>0</v>
      </c>
      <c r="K788" t="n">
        <v>0</v>
      </c>
      <c r="L788" t="n">
        <v>0</v>
      </c>
      <c r="M788" t="n">
        <v>0</v>
      </c>
      <c r="N788" t="n">
        <v>0</v>
      </c>
      <c r="O788" t="n">
        <v>0</v>
      </c>
      <c r="P788" t="n">
        <v>0</v>
      </c>
      <c r="Q788" t="n">
        <v>0</v>
      </c>
      <c r="R788" s="2" t="inlineStr"/>
    </row>
    <row r="789" ht="15" customHeight="1">
      <c r="A789" t="inlineStr">
        <is>
          <t>A 16186-2019</t>
        </is>
      </c>
      <c r="B789" s="1" t="n">
        <v>43545</v>
      </c>
      <c r="C789" s="1" t="n">
        <v>45224</v>
      </c>
      <c r="D789" t="inlineStr">
        <is>
          <t>STOCKHOLMS LÄN</t>
        </is>
      </c>
      <c r="E789" t="inlineStr">
        <is>
          <t>NORRTÄLJE</t>
        </is>
      </c>
      <c r="G789" t="n">
        <v>5.7</v>
      </c>
      <c r="H789" t="n">
        <v>0</v>
      </c>
      <c r="I789" t="n">
        <v>0</v>
      </c>
      <c r="J789" t="n">
        <v>0</v>
      </c>
      <c r="K789" t="n">
        <v>0</v>
      </c>
      <c r="L789" t="n">
        <v>0</v>
      </c>
      <c r="M789" t="n">
        <v>0</v>
      </c>
      <c r="N789" t="n">
        <v>0</v>
      </c>
      <c r="O789" t="n">
        <v>0</v>
      </c>
      <c r="P789" t="n">
        <v>0</v>
      </c>
      <c r="Q789" t="n">
        <v>0</v>
      </c>
      <c r="R789" s="2" t="inlineStr"/>
    </row>
    <row r="790" ht="15" customHeight="1">
      <c r="A790" t="inlineStr">
        <is>
          <t>A 16211-2019</t>
        </is>
      </c>
      <c r="B790" s="1" t="n">
        <v>43545</v>
      </c>
      <c r="C790" s="1" t="n">
        <v>45224</v>
      </c>
      <c r="D790" t="inlineStr">
        <is>
          <t>STOCKHOLMS LÄN</t>
        </is>
      </c>
      <c r="E790" t="inlineStr">
        <is>
          <t>NORRTÄLJE</t>
        </is>
      </c>
      <c r="G790" t="n">
        <v>14.2</v>
      </c>
      <c r="H790" t="n">
        <v>0</v>
      </c>
      <c r="I790" t="n">
        <v>0</v>
      </c>
      <c r="J790" t="n">
        <v>0</v>
      </c>
      <c r="K790" t="n">
        <v>0</v>
      </c>
      <c r="L790" t="n">
        <v>0</v>
      </c>
      <c r="M790" t="n">
        <v>0</v>
      </c>
      <c r="N790" t="n">
        <v>0</v>
      </c>
      <c r="O790" t="n">
        <v>0</v>
      </c>
      <c r="P790" t="n">
        <v>0</v>
      </c>
      <c r="Q790" t="n">
        <v>0</v>
      </c>
      <c r="R790" s="2" t="inlineStr"/>
    </row>
    <row r="791" ht="15" customHeight="1">
      <c r="A791" t="inlineStr">
        <is>
          <t>A 16318-2019</t>
        </is>
      </c>
      <c r="B791" s="1" t="n">
        <v>43545</v>
      </c>
      <c r="C791" s="1" t="n">
        <v>45224</v>
      </c>
      <c r="D791" t="inlineStr">
        <is>
          <t>STOCKHOLMS LÄN</t>
        </is>
      </c>
      <c r="E791" t="inlineStr">
        <is>
          <t>NORRTÄLJE</t>
        </is>
      </c>
      <c r="F791" t="inlineStr">
        <is>
          <t>Kyrkan</t>
        </is>
      </c>
      <c r="G791" t="n">
        <v>0.5</v>
      </c>
      <c r="H791" t="n">
        <v>0</v>
      </c>
      <c r="I791" t="n">
        <v>0</v>
      </c>
      <c r="J791" t="n">
        <v>0</v>
      </c>
      <c r="K791" t="n">
        <v>0</v>
      </c>
      <c r="L791" t="n">
        <v>0</v>
      </c>
      <c r="M791" t="n">
        <v>0</v>
      </c>
      <c r="N791" t="n">
        <v>0</v>
      </c>
      <c r="O791" t="n">
        <v>0</v>
      </c>
      <c r="P791" t="n">
        <v>0</v>
      </c>
      <c r="Q791" t="n">
        <v>0</v>
      </c>
      <c r="R791" s="2" t="inlineStr"/>
    </row>
    <row r="792" ht="15" customHeight="1">
      <c r="A792" t="inlineStr">
        <is>
          <t>A 16258-2019</t>
        </is>
      </c>
      <c r="B792" s="1" t="n">
        <v>43545</v>
      </c>
      <c r="C792" s="1" t="n">
        <v>45224</v>
      </c>
      <c r="D792" t="inlineStr">
        <is>
          <t>STOCKHOLMS LÄN</t>
        </is>
      </c>
      <c r="E792" t="inlineStr">
        <is>
          <t>NORRTÄLJE</t>
        </is>
      </c>
      <c r="G792" t="n">
        <v>1</v>
      </c>
      <c r="H792" t="n">
        <v>0</v>
      </c>
      <c r="I792" t="n">
        <v>0</v>
      </c>
      <c r="J792" t="n">
        <v>0</v>
      </c>
      <c r="K792" t="n">
        <v>0</v>
      </c>
      <c r="L792" t="n">
        <v>0</v>
      </c>
      <c r="M792" t="n">
        <v>0</v>
      </c>
      <c r="N792" t="n">
        <v>0</v>
      </c>
      <c r="O792" t="n">
        <v>0</v>
      </c>
      <c r="P792" t="n">
        <v>0</v>
      </c>
      <c r="Q792" t="n">
        <v>0</v>
      </c>
      <c r="R792" s="2" t="inlineStr"/>
    </row>
    <row r="793" ht="15" customHeight="1">
      <c r="A793" t="inlineStr">
        <is>
          <t>A 16533-2019</t>
        </is>
      </c>
      <c r="B793" s="1" t="n">
        <v>43546</v>
      </c>
      <c r="C793" s="1" t="n">
        <v>45224</v>
      </c>
      <c r="D793" t="inlineStr">
        <is>
          <t>STOCKHOLMS LÄN</t>
        </is>
      </c>
      <c r="E793" t="inlineStr">
        <is>
          <t>NORRTÄLJE</t>
        </is>
      </c>
      <c r="G793" t="n">
        <v>0.8</v>
      </c>
      <c r="H793" t="n">
        <v>0</v>
      </c>
      <c r="I793" t="n">
        <v>0</v>
      </c>
      <c r="J793" t="n">
        <v>0</v>
      </c>
      <c r="K793" t="n">
        <v>0</v>
      </c>
      <c r="L793" t="n">
        <v>0</v>
      </c>
      <c r="M793" t="n">
        <v>0</v>
      </c>
      <c r="N793" t="n">
        <v>0</v>
      </c>
      <c r="O793" t="n">
        <v>0</v>
      </c>
      <c r="P793" t="n">
        <v>0</v>
      </c>
      <c r="Q793" t="n">
        <v>0</v>
      </c>
      <c r="R793" s="2" t="inlineStr"/>
    </row>
    <row r="794" ht="15" customHeight="1">
      <c r="A794" t="inlineStr">
        <is>
          <t>A 16575-2019</t>
        </is>
      </c>
      <c r="B794" s="1" t="n">
        <v>43547</v>
      </c>
      <c r="C794" s="1" t="n">
        <v>45224</v>
      </c>
      <c r="D794" t="inlineStr">
        <is>
          <t>STOCKHOLMS LÄN</t>
        </is>
      </c>
      <c r="E794" t="inlineStr">
        <is>
          <t>NORRTÄLJE</t>
        </is>
      </c>
      <c r="G794" t="n">
        <v>2.8</v>
      </c>
      <c r="H794" t="n">
        <v>0</v>
      </c>
      <c r="I794" t="n">
        <v>0</v>
      </c>
      <c r="J794" t="n">
        <v>0</v>
      </c>
      <c r="K794" t="n">
        <v>0</v>
      </c>
      <c r="L794" t="n">
        <v>0</v>
      </c>
      <c r="M794" t="n">
        <v>0</v>
      </c>
      <c r="N794" t="n">
        <v>0</v>
      </c>
      <c r="O794" t="n">
        <v>0</v>
      </c>
      <c r="P794" t="n">
        <v>0</v>
      </c>
      <c r="Q794" t="n">
        <v>0</v>
      </c>
      <c r="R794" s="2" t="inlineStr"/>
    </row>
    <row r="795" ht="15" customHeight="1">
      <c r="A795" t="inlineStr">
        <is>
          <t>A 16581-2019</t>
        </is>
      </c>
      <c r="B795" s="1" t="n">
        <v>43548</v>
      </c>
      <c r="C795" s="1" t="n">
        <v>45224</v>
      </c>
      <c r="D795" t="inlineStr">
        <is>
          <t>STOCKHOLMS LÄN</t>
        </is>
      </c>
      <c r="E795" t="inlineStr">
        <is>
          <t>NORRTÄLJE</t>
        </is>
      </c>
      <c r="G795" t="n">
        <v>4.3</v>
      </c>
      <c r="H795" t="n">
        <v>0</v>
      </c>
      <c r="I795" t="n">
        <v>0</v>
      </c>
      <c r="J795" t="n">
        <v>0</v>
      </c>
      <c r="K795" t="n">
        <v>0</v>
      </c>
      <c r="L795" t="n">
        <v>0</v>
      </c>
      <c r="M795" t="n">
        <v>0</v>
      </c>
      <c r="N795" t="n">
        <v>0</v>
      </c>
      <c r="O795" t="n">
        <v>0</v>
      </c>
      <c r="P795" t="n">
        <v>0</v>
      </c>
      <c r="Q795" t="n">
        <v>0</v>
      </c>
      <c r="R795" s="2" t="inlineStr"/>
    </row>
    <row r="796" ht="15" customHeight="1">
      <c r="A796" t="inlineStr">
        <is>
          <t>A 16579-2019</t>
        </is>
      </c>
      <c r="B796" s="1" t="n">
        <v>43548</v>
      </c>
      <c r="C796" s="1" t="n">
        <v>45224</v>
      </c>
      <c r="D796" t="inlineStr">
        <is>
          <t>STOCKHOLMS LÄN</t>
        </is>
      </c>
      <c r="E796" t="inlineStr">
        <is>
          <t>NORRTÄLJE</t>
        </is>
      </c>
      <c r="G796" t="n">
        <v>5.9</v>
      </c>
      <c r="H796" t="n">
        <v>0</v>
      </c>
      <c r="I796" t="n">
        <v>0</v>
      </c>
      <c r="J796" t="n">
        <v>0</v>
      </c>
      <c r="K796" t="n">
        <v>0</v>
      </c>
      <c r="L796" t="n">
        <v>0</v>
      </c>
      <c r="M796" t="n">
        <v>0</v>
      </c>
      <c r="N796" t="n">
        <v>0</v>
      </c>
      <c r="O796" t="n">
        <v>0</v>
      </c>
      <c r="P796" t="n">
        <v>0</v>
      </c>
      <c r="Q796" t="n">
        <v>0</v>
      </c>
      <c r="R796" s="2" t="inlineStr"/>
    </row>
    <row r="797" ht="15" customHeight="1">
      <c r="A797" t="inlineStr">
        <is>
          <t>A 16584-2019</t>
        </is>
      </c>
      <c r="B797" s="1" t="n">
        <v>43548</v>
      </c>
      <c r="C797" s="1" t="n">
        <v>45224</v>
      </c>
      <c r="D797" t="inlineStr">
        <is>
          <t>STOCKHOLMS LÄN</t>
        </is>
      </c>
      <c r="E797" t="inlineStr">
        <is>
          <t>NORRTÄLJE</t>
        </is>
      </c>
      <c r="G797" t="n">
        <v>1.1</v>
      </c>
      <c r="H797" t="n">
        <v>0</v>
      </c>
      <c r="I797" t="n">
        <v>0</v>
      </c>
      <c r="J797" t="n">
        <v>0</v>
      </c>
      <c r="K797" t="n">
        <v>0</v>
      </c>
      <c r="L797" t="n">
        <v>0</v>
      </c>
      <c r="M797" t="n">
        <v>0</v>
      </c>
      <c r="N797" t="n">
        <v>0</v>
      </c>
      <c r="O797" t="n">
        <v>0</v>
      </c>
      <c r="P797" t="n">
        <v>0</v>
      </c>
      <c r="Q797" t="n">
        <v>0</v>
      </c>
      <c r="R797" s="2" t="inlineStr"/>
    </row>
    <row r="798" ht="15" customHeight="1">
      <c r="A798" t="inlineStr">
        <is>
          <t>A 16815-2019</t>
        </is>
      </c>
      <c r="B798" s="1" t="n">
        <v>43549</v>
      </c>
      <c r="C798" s="1" t="n">
        <v>45224</v>
      </c>
      <c r="D798" t="inlineStr">
        <is>
          <t>STOCKHOLMS LÄN</t>
        </is>
      </c>
      <c r="E798" t="inlineStr">
        <is>
          <t>UPPLANDS-BRO</t>
        </is>
      </c>
      <c r="G798" t="n">
        <v>2.1</v>
      </c>
      <c r="H798" t="n">
        <v>0</v>
      </c>
      <c r="I798" t="n">
        <v>0</v>
      </c>
      <c r="J798" t="n">
        <v>0</v>
      </c>
      <c r="K798" t="n">
        <v>0</v>
      </c>
      <c r="L798" t="n">
        <v>0</v>
      </c>
      <c r="M798" t="n">
        <v>0</v>
      </c>
      <c r="N798" t="n">
        <v>0</v>
      </c>
      <c r="O798" t="n">
        <v>0</v>
      </c>
      <c r="P798" t="n">
        <v>0</v>
      </c>
      <c r="Q798" t="n">
        <v>0</v>
      </c>
      <c r="R798" s="2" t="inlineStr"/>
    </row>
    <row r="799" ht="15" customHeight="1">
      <c r="A799" t="inlineStr">
        <is>
          <t>A 17233-2019</t>
        </is>
      </c>
      <c r="B799" s="1" t="n">
        <v>43550</v>
      </c>
      <c r="C799" s="1" t="n">
        <v>45224</v>
      </c>
      <c r="D799" t="inlineStr">
        <is>
          <t>STOCKHOLMS LÄN</t>
        </is>
      </c>
      <c r="E799" t="inlineStr">
        <is>
          <t>NORRTÄLJE</t>
        </is>
      </c>
      <c r="F799" t="inlineStr">
        <is>
          <t>Kyrkan</t>
        </is>
      </c>
      <c r="G799" t="n">
        <v>1.4</v>
      </c>
      <c r="H799" t="n">
        <v>0</v>
      </c>
      <c r="I799" t="n">
        <v>0</v>
      </c>
      <c r="J799" t="n">
        <v>0</v>
      </c>
      <c r="K799" t="n">
        <v>0</v>
      </c>
      <c r="L799" t="n">
        <v>0</v>
      </c>
      <c r="M799" t="n">
        <v>0</v>
      </c>
      <c r="N799" t="n">
        <v>0</v>
      </c>
      <c r="O799" t="n">
        <v>0</v>
      </c>
      <c r="P799" t="n">
        <v>0</v>
      </c>
      <c r="Q799" t="n">
        <v>0</v>
      </c>
      <c r="R799" s="2" t="inlineStr"/>
    </row>
    <row r="800" ht="15" customHeight="1">
      <c r="A800" t="inlineStr">
        <is>
          <t>A 16881-2019</t>
        </is>
      </c>
      <c r="B800" s="1" t="n">
        <v>43550</v>
      </c>
      <c r="C800" s="1" t="n">
        <v>45224</v>
      </c>
      <c r="D800" t="inlineStr">
        <is>
          <t>STOCKHOLMS LÄN</t>
        </is>
      </c>
      <c r="E800" t="inlineStr">
        <is>
          <t>NORRTÄLJE</t>
        </is>
      </c>
      <c r="F800" t="inlineStr">
        <is>
          <t>Övriga Aktiebolag</t>
        </is>
      </c>
      <c r="G800" t="n">
        <v>6.3</v>
      </c>
      <c r="H800" t="n">
        <v>0</v>
      </c>
      <c r="I800" t="n">
        <v>0</v>
      </c>
      <c r="J800" t="n">
        <v>0</v>
      </c>
      <c r="K800" t="n">
        <v>0</v>
      </c>
      <c r="L800" t="n">
        <v>0</v>
      </c>
      <c r="M800" t="n">
        <v>0</v>
      </c>
      <c r="N800" t="n">
        <v>0</v>
      </c>
      <c r="O800" t="n">
        <v>0</v>
      </c>
      <c r="P800" t="n">
        <v>0</v>
      </c>
      <c r="Q800" t="n">
        <v>0</v>
      </c>
      <c r="R800" s="2" t="inlineStr"/>
    </row>
    <row r="801" ht="15" customHeight="1">
      <c r="A801" t="inlineStr">
        <is>
          <t>A 16918-2019</t>
        </is>
      </c>
      <c r="B801" s="1" t="n">
        <v>43550</v>
      </c>
      <c r="C801" s="1" t="n">
        <v>45224</v>
      </c>
      <c r="D801" t="inlineStr">
        <is>
          <t>STOCKHOLMS LÄN</t>
        </is>
      </c>
      <c r="E801" t="inlineStr">
        <is>
          <t>NORRTÄLJE</t>
        </is>
      </c>
      <c r="F801" t="inlineStr">
        <is>
          <t>Kommuner</t>
        </is>
      </c>
      <c r="G801" t="n">
        <v>1</v>
      </c>
      <c r="H801" t="n">
        <v>0</v>
      </c>
      <c r="I801" t="n">
        <v>0</v>
      </c>
      <c r="J801" t="n">
        <v>0</v>
      </c>
      <c r="K801" t="n">
        <v>0</v>
      </c>
      <c r="L801" t="n">
        <v>0</v>
      </c>
      <c r="M801" t="n">
        <v>0</v>
      </c>
      <c r="N801" t="n">
        <v>0</v>
      </c>
      <c r="O801" t="n">
        <v>0</v>
      </c>
      <c r="P801" t="n">
        <v>0</v>
      </c>
      <c r="Q801" t="n">
        <v>0</v>
      </c>
      <c r="R801" s="2" t="inlineStr"/>
    </row>
    <row r="802" ht="15" customHeight="1">
      <c r="A802" t="inlineStr">
        <is>
          <t>A 16984-2019</t>
        </is>
      </c>
      <c r="B802" s="1" t="n">
        <v>43550</v>
      </c>
      <c r="C802" s="1" t="n">
        <v>45224</v>
      </c>
      <c r="D802" t="inlineStr">
        <is>
          <t>STOCKHOLMS LÄN</t>
        </is>
      </c>
      <c r="E802" t="inlineStr">
        <is>
          <t>NORRTÄLJE</t>
        </is>
      </c>
      <c r="G802" t="n">
        <v>2.6</v>
      </c>
      <c r="H802" t="n">
        <v>0</v>
      </c>
      <c r="I802" t="n">
        <v>0</v>
      </c>
      <c r="J802" t="n">
        <v>0</v>
      </c>
      <c r="K802" t="n">
        <v>0</v>
      </c>
      <c r="L802" t="n">
        <v>0</v>
      </c>
      <c r="M802" t="n">
        <v>0</v>
      </c>
      <c r="N802" t="n">
        <v>0</v>
      </c>
      <c r="O802" t="n">
        <v>0</v>
      </c>
      <c r="P802" t="n">
        <v>0</v>
      </c>
      <c r="Q802" t="n">
        <v>0</v>
      </c>
      <c r="R802" s="2" t="inlineStr"/>
    </row>
    <row r="803" ht="15" customHeight="1">
      <c r="A803" t="inlineStr">
        <is>
          <t>A 17060-2019</t>
        </is>
      </c>
      <c r="B803" s="1" t="n">
        <v>43551</v>
      </c>
      <c r="C803" s="1" t="n">
        <v>45224</v>
      </c>
      <c r="D803" t="inlineStr">
        <is>
          <t>STOCKHOLMS LÄN</t>
        </is>
      </c>
      <c r="E803" t="inlineStr">
        <is>
          <t>NORRTÄLJE</t>
        </is>
      </c>
      <c r="F803" t="inlineStr">
        <is>
          <t>Kommuner</t>
        </is>
      </c>
      <c r="G803" t="n">
        <v>1.5</v>
      </c>
      <c r="H803" t="n">
        <v>0</v>
      </c>
      <c r="I803" t="n">
        <v>0</v>
      </c>
      <c r="J803" t="n">
        <v>0</v>
      </c>
      <c r="K803" t="n">
        <v>0</v>
      </c>
      <c r="L803" t="n">
        <v>0</v>
      </c>
      <c r="M803" t="n">
        <v>0</v>
      </c>
      <c r="N803" t="n">
        <v>0</v>
      </c>
      <c r="O803" t="n">
        <v>0</v>
      </c>
      <c r="P803" t="n">
        <v>0</v>
      </c>
      <c r="Q803" t="n">
        <v>0</v>
      </c>
      <c r="R803" s="2" t="inlineStr"/>
    </row>
    <row r="804" ht="15" customHeight="1">
      <c r="A804" t="inlineStr">
        <is>
          <t>A 17149-2019</t>
        </is>
      </c>
      <c r="B804" s="1" t="n">
        <v>43551</v>
      </c>
      <c r="C804" s="1" t="n">
        <v>45224</v>
      </c>
      <c r="D804" t="inlineStr">
        <is>
          <t>STOCKHOLMS LÄN</t>
        </is>
      </c>
      <c r="E804" t="inlineStr">
        <is>
          <t>NORRTÄLJE</t>
        </is>
      </c>
      <c r="G804" t="n">
        <v>1.9</v>
      </c>
      <c r="H804" t="n">
        <v>0</v>
      </c>
      <c r="I804" t="n">
        <v>0</v>
      </c>
      <c r="J804" t="n">
        <v>0</v>
      </c>
      <c r="K804" t="n">
        <v>0</v>
      </c>
      <c r="L804" t="n">
        <v>0</v>
      </c>
      <c r="M804" t="n">
        <v>0</v>
      </c>
      <c r="N804" t="n">
        <v>0</v>
      </c>
      <c r="O804" t="n">
        <v>0</v>
      </c>
      <c r="P804" t="n">
        <v>0</v>
      </c>
      <c r="Q804" t="n">
        <v>0</v>
      </c>
      <c r="R804" s="2" t="inlineStr"/>
    </row>
    <row r="805" ht="15" customHeight="1">
      <c r="A805" t="inlineStr">
        <is>
          <t>A 17061-2019</t>
        </is>
      </c>
      <c r="B805" s="1" t="n">
        <v>43551</v>
      </c>
      <c r="C805" s="1" t="n">
        <v>45224</v>
      </c>
      <c r="D805" t="inlineStr">
        <is>
          <t>STOCKHOLMS LÄN</t>
        </is>
      </c>
      <c r="E805" t="inlineStr">
        <is>
          <t>NORRTÄLJE</t>
        </is>
      </c>
      <c r="F805" t="inlineStr">
        <is>
          <t>Kommuner</t>
        </is>
      </c>
      <c r="G805" t="n">
        <v>3.7</v>
      </c>
      <c r="H805" t="n">
        <v>0</v>
      </c>
      <c r="I805" t="n">
        <v>0</v>
      </c>
      <c r="J805" t="n">
        <v>0</v>
      </c>
      <c r="K805" t="n">
        <v>0</v>
      </c>
      <c r="L805" t="n">
        <v>0</v>
      </c>
      <c r="M805" t="n">
        <v>0</v>
      </c>
      <c r="N805" t="n">
        <v>0</v>
      </c>
      <c r="O805" t="n">
        <v>0</v>
      </c>
      <c r="P805" t="n">
        <v>0</v>
      </c>
      <c r="Q805" t="n">
        <v>0</v>
      </c>
      <c r="R805" s="2" t="inlineStr"/>
    </row>
    <row r="806" ht="15" customHeight="1">
      <c r="A806" t="inlineStr">
        <is>
          <t>A 17272-2019</t>
        </is>
      </c>
      <c r="B806" s="1" t="n">
        <v>43552</v>
      </c>
      <c r="C806" s="1" t="n">
        <v>45224</v>
      </c>
      <c r="D806" t="inlineStr">
        <is>
          <t>STOCKHOLMS LÄN</t>
        </is>
      </c>
      <c r="E806" t="inlineStr">
        <is>
          <t>NORRTÄLJE</t>
        </is>
      </c>
      <c r="G806" t="n">
        <v>5.8</v>
      </c>
      <c r="H806" t="n">
        <v>0</v>
      </c>
      <c r="I806" t="n">
        <v>0</v>
      </c>
      <c r="J806" t="n">
        <v>0</v>
      </c>
      <c r="K806" t="n">
        <v>0</v>
      </c>
      <c r="L806" t="n">
        <v>0</v>
      </c>
      <c r="M806" t="n">
        <v>0</v>
      </c>
      <c r="N806" t="n">
        <v>0</v>
      </c>
      <c r="O806" t="n">
        <v>0</v>
      </c>
      <c r="P806" t="n">
        <v>0</v>
      </c>
      <c r="Q806" t="n">
        <v>0</v>
      </c>
      <c r="R806" s="2" t="inlineStr"/>
    </row>
    <row r="807" ht="15" customHeight="1">
      <c r="A807" t="inlineStr">
        <is>
          <t>A 17389-2019</t>
        </is>
      </c>
      <c r="B807" s="1" t="n">
        <v>43552</v>
      </c>
      <c r="C807" s="1" t="n">
        <v>45224</v>
      </c>
      <c r="D807" t="inlineStr">
        <is>
          <t>STOCKHOLMS LÄN</t>
        </is>
      </c>
      <c r="E807" t="inlineStr">
        <is>
          <t>NORRTÄLJE</t>
        </is>
      </c>
      <c r="G807" t="n">
        <v>2.4</v>
      </c>
      <c r="H807" t="n">
        <v>0</v>
      </c>
      <c r="I807" t="n">
        <v>0</v>
      </c>
      <c r="J807" t="n">
        <v>0</v>
      </c>
      <c r="K807" t="n">
        <v>0</v>
      </c>
      <c r="L807" t="n">
        <v>0</v>
      </c>
      <c r="M807" t="n">
        <v>0</v>
      </c>
      <c r="N807" t="n">
        <v>0</v>
      </c>
      <c r="O807" t="n">
        <v>0</v>
      </c>
      <c r="P807" t="n">
        <v>0</v>
      </c>
      <c r="Q807" t="n">
        <v>0</v>
      </c>
      <c r="R807" s="2" t="inlineStr"/>
    </row>
    <row r="808" ht="15" customHeight="1">
      <c r="A808" t="inlineStr">
        <is>
          <t>A 17297-2019</t>
        </is>
      </c>
      <c r="B808" s="1" t="n">
        <v>43552</v>
      </c>
      <c r="C808" s="1" t="n">
        <v>45224</v>
      </c>
      <c r="D808" t="inlineStr">
        <is>
          <t>STOCKHOLMS LÄN</t>
        </is>
      </c>
      <c r="E808" t="inlineStr">
        <is>
          <t>NORRTÄLJE</t>
        </is>
      </c>
      <c r="G808" t="n">
        <v>2.1</v>
      </c>
      <c r="H808" t="n">
        <v>0</v>
      </c>
      <c r="I808" t="n">
        <v>0</v>
      </c>
      <c r="J808" t="n">
        <v>0</v>
      </c>
      <c r="K808" t="n">
        <v>0</v>
      </c>
      <c r="L808" t="n">
        <v>0</v>
      </c>
      <c r="M808" t="n">
        <v>0</v>
      </c>
      <c r="N808" t="n">
        <v>0</v>
      </c>
      <c r="O808" t="n">
        <v>0</v>
      </c>
      <c r="P808" t="n">
        <v>0</v>
      </c>
      <c r="Q808" t="n">
        <v>0</v>
      </c>
      <c r="R808" s="2" t="inlineStr"/>
    </row>
    <row r="809" ht="15" customHeight="1">
      <c r="A809" t="inlineStr">
        <is>
          <t>A 17390-2019</t>
        </is>
      </c>
      <c r="B809" s="1" t="n">
        <v>43552</v>
      </c>
      <c r="C809" s="1" t="n">
        <v>45224</v>
      </c>
      <c r="D809" t="inlineStr">
        <is>
          <t>STOCKHOLMS LÄN</t>
        </is>
      </c>
      <c r="E809" t="inlineStr">
        <is>
          <t>NORRTÄLJE</t>
        </is>
      </c>
      <c r="G809" t="n">
        <v>3.5</v>
      </c>
      <c r="H809" t="n">
        <v>0</v>
      </c>
      <c r="I809" t="n">
        <v>0</v>
      </c>
      <c r="J809" t="n">
        <v>0</v>
      </c>
      <c r="K809" t="n">
        <v>0</v>
      </c>
      <c r="L809" t="n">
        <v>0</v>
      </c>
      <c r="M809" t="n">
        <v>0</v>
      </c>
      <c r="N809" t="n">
        <v>0</v>
      </c>
      <c r="O809" t="n">
        <v>0</v>
      </c>
      <c r="P809" t="n">
        <v>0</v>
      </c>
      <c r="Q809" t="n">
        <v>0</v>
      </c>
      <c r="R809" s="2" t="inlineStr"/>
    </row>
    <row r="810" ht="15" customHeight="1">
      <c r="A810" t="inlineStr">
        <is>
          <t>A 17806-2019</t>
        </is>
      </c>
      <c r="B810" s="1" t="n">
        <v>43552</v>
      </c>
      <c r="C810" s="1" t="n">
        <v>45224</v>
      </c>
      <c r="D810" t="inlineStr">
        <is>
          <t>STOCKHOLMS LÄN</t>
        </is>
      </c>
      <c r="E810" t="inlineStr">
        <is>
          <t>VAXHOLM</t>
        </is>
      </c>
      <c r="F810" t="inlineStr">
        <is>
          <t>Övriga statliga verk och myndigheter</t>
        </is>
      </c>
      <c r="G810" t="n">
        <v>4.3</v>
      </c>
      <c r="H810" t="n">
        <v>0</v>
      </c>
      <c r="I810" t="n">
        <v>0</v>
      </c>
      <c r="J810" t="n">
        <v>0</v>
      </c>
      <c r="K810" t="n">
        <v>0</v>
      </c>
      <c r="L810" t="n">
        <v>0</v>
      </c>
      <c r="M810" t="n">
        <v>0</v>
      </c>
      <c r="N810" t="n">
        <v>0</v>
      </c>
      <c r="O810" t="n">
        <v>0</v>
      </c>
      <c r="P810" t="n">
        <v>0</v>
      </c>
      <c r="Q810" t="n">
        <v>0</v>
      </c>
      <c r="R810" s="2" t="inlineStr"/>
    </row>
    <row r="811" ht="15" customHeight="1">
      <c r="A811" t="inlineStr">
        <is>
          <t>A 17240-2019</t>
        </is>
      </c>
      <c r="B811" s="1" t="n">
        <v>43552</v>
      </c>
      <c r="C811" s="1" t="n">
        <v>45224</v>
      </c>
      <c r="D811" t="inlineStr">
        <is>
          <t>STOCKHOLMS LÄN</t>
        </is>
      </c>
      <c r="E811" t="inlineStr">
        <is>
          <t>NORRTÄLJE</t>
        </is>
      </c>
      <c r="G811" t="n">
        <v>1.4</v>
      </c>
      <c r="H811" t="n">
        <v>0</v>
      </c>
      <c r="I811" t="n">
        <v>0</v>
      </c>
      <c r="J811" t="n">
        <v>0</v>
      </c>
      <c r="K811" t="n">
        <v>0</v>
      </c>
      <c r="L811" t="n">
        <v>0</v>
      </c>
      <c r="M811" t="n">
        <v>0</v>
      </c>
      <c r="N811" t="n">
        <v>0</v>
      </c>
      <c r="O811" t="n">
        <v>0</v>
      </c>
      <c r="P811" t="n">
        <v>0</v>
      </c>
      <c r="Q811" t="n">
        <v>0</v>
      </c>
      <c r="R811" s="2" t="inlineStr"/>
    </row>
    <row r="812" ht="15" customHeight="1">
      <c r="A812" t="inlineStr">
        <is>
          <t>A 17292-2019</t>
        </is>
      </c>
      <c r="B812" s="1" t="n">
        <v>43552</v>
      </c>
      <c r="C812" s="1" t="n">
        <v>45224</v>
      </c>
      <c r="D812" t="inlineStr">
        <is>
          <t>STOCKHOLMS LÄN</t>
        </is>
      </c>
      <c r="E812" t="inlineStr">
        <is>
          <t>NORRTÄLJE</t>
        </is>
      </c>
      <c r="G812" t="n">
        <v>0.9</v>
      </c>
      <c r="H812" t="n">
        <v>0</v>
      </c>
      <c r="I812" t="n">
        <v>0</v>
      </c>
      <c r="J812" t="n">
        <v>0</v>
      </c>
      <c r="K812" t="n">
        <v>0</v>
      </c>
      <c r="L812" t="n">
        <v>0</v>
      </c>
      <c r="M812" t="n">
        <v>0</v>
      </c>
      <c r="N812" t="n">
        <v>0</v>
      </c>
      <c r="O812" t="n">
        <v>0</v>
      </c>
      <c r="P812" t="n">
        <v>0</v>
      </c>
      <c r="Q812" t="n">
        <v>0</v>
      </c>
      <c r="R812" s="2" t="inlineStr"/>
    </row>
    <row r="813" ht="15" customHeight="1">
      <c r="A813" t="inlineStr">
        <is>
          <t>A 17350-2019</t>
        </is>
      </c>
      <c r="B813" s="1" t="n">
        <v>43552</v>
      </c>
      <c r="C813" s="1" t="n">
        <v>45224</v>
      </c>
      <c r="D813" t="inlineStr">
        <is>
          <t>STOCKHOLMS LÄN</t>
        </is>
      </c>
      <c r="E813" t="inlineStr">
        <is>
          <t>NORRTÄLJE</t>
        </is>
      </c>
      <c r="G813" t="n">
        <v>2.1</v>
      </c>
      <c r="H813" t="n">
        <v>0</v>
      </c>
      <c r="I813" t="n">
        <v>0</v>
      </c>
      <c r="J813" t="n">
        <v>0</v>
      </c>
      <c r="K813" t="n">
        <v>0</v>
      </c>
      <c r="L813" t="n">
        <v>0</v>
      </c>
      <c r="M813" t="n">
        <v>0</v>
      </c>
      <c r="N813" t="n">
        <v>0</v>
      </c>
      <c r="O813" t="n">
        <v>0</v>
      </c>
      <c r="P813" t="n">
        <v>0</v>
      </c>
      <c r="Q813" t="n">
        <v>0</v>
      </c>
      <c r="R813" s="2" t="inlineStr"/>
    </row>
    <row r="814" ht="15" customHeight="1">
      <c r="A814" t="inlineStr">
        <is>
          <t>A 17378-2019</t>
        </is>
      </c>
      <c r="B814" s="1" t="n">
        <v>43552</v>
      </c>
      <c r="C814" s="1" t="n">
        <v>45224</v>
      </c>
      <c r="D814" t="inlineStr">
        <is>
          <t>STOCKHOLMS LÄN</t>
        </is>
      </c>
      <c r="E814" t="inlineStr">
        <is>
          <t>NORRTÄLJE</t>
        </is>
      </c>
      <c r="G814" t="n">
        <v>8.1</v>
      </c>
      <c r="H814" t="n">
        <v>0</v>
      </c>
      <c r="I814" t="n">
        <v>0</v>
      </c>
      <c r="J814" t="n">
        <v>0</v>
      </c>
      <c r="K814" t="n">
        <v>0</v>
      </c>
      <c r="L814" t="n">
        <v>0</v>
      </c>
      <c r="M814" t="n">
        <v>0</v>
      </c>
      <c r="N814" t="n">
        <v>0</v>
      </c>
      <c r="O814" t="n">
        <v>0</v>
      </c>
      <c r="P814" t="n">
        <v>0</v>
      </c>
      <c r="Q814" t="n">
        <v>0</v>
      </c>
      <c r="R814" s="2" t="inlineStr"/>
    </row>
    <row r="815" ht="15" customHeight="1">
      <c r="A815" t="inlineStr">
        <is>
          <t>A 17552-2019</t>
        </is>
      </c>
      <c r="B815" s="1" t="n">
        <v>43553</v>
      </c>
      <c r="C815" s="1" t="n">
        <v>45224</v>
      </c>
      <c r="D815" t="inlineStr">
        <is>
          <t>STOCKHOLMS LÄN</t>
        </is>
      </c>
      <c r="E815" t="inlineStr">
        <is>
          <t>NORRTÄLJE</t>
        </is>
      </c>
      <c r="G815" t="n">
        <v>1.1</v>
      </c>
      <c r="H815" t="n">
        <v>0</v>
      </c>
      <c r="I815" t="n">
        <v>0</v>
      </c>
      <c r="J815" t="n">
        <v>0</v>
      </c>
      <c r="K815" t="n">
        <v>0</v>
      </c>
      <c r="L815" t="n">
        <v>0</v>
      </c>
      <c r="M815" t="n">
        <v>0</v>
      </c>
      <c r="N815" t="n">
        <v>0</v>
      </c>
      <c r="O815" t="n">
        <v>0</v>
      </c>
      <c r="P815" t="n">
        <v>0</v>
      </c>
      <c r="Q815" t="n">
        <v>0</v>
      </c>
      <c r="R815" s="2" t="inlineStr"/>
    </row>
    <row r="816" ht="15" customHeight="1">
      <c r="A816" t="inlineStr">
        <is>
          <t>A 17582-2019</t>
        </is>
      </c>
      <c r="B816" s="1" t="n">
        <v>43553</v>
      </c>
      <c r="C816" s="1" t="n">
        <v>45224</v>
      </c>
      <c r="D816" t="inlineStr">
        <is>
          <t>STOCKHOLMS LÄN</t>
        </is>
      </c>
      <c r="E816" t="inlineStr">
        <is>
          <t>NORRTÄLJE</t>
        </is>
      </c>
      <c r="G816" t="n">
        <v>1.9</v>
      </c>
      <c r="H816" t="n">
        <v>0</v>
      </c>
      <c r="I816" t="n">
        <v>0</v>
      </c>
      <c r="J816" t="n">
        <v>0</v>
      </c>
      <c r="K816" t="n">
        <v>0</v>
      </c>
      <c r="L816" t="n">
        <v>0</v>
      </c>
      <c r="M816" t="n">
        <v>0</v>
      </c>
      <c r="N816" t="n">
        <v>0</v>
      </c>
      <c r="O816" t="n">
        <v>0</v>
      </c>
      <c r="P816" t="n">
        <v>0</v>
      </c>
      <c r="Q816" t="n">
        <v>0</v>
      </c>
      <c r="R816" s="2" t="inlineStr"/>
    </row>
    <row r="817" ht="15" customHeight="1">
      <c r="A817" t="inlineStr">
        <is>
          <t>A 17480-2019</t>
        </is>
      </c>
      <c r="B817" s="1" t="n">
        <v>43553</v>
      </c>
      <c r="C817" s="1" t="n">
        <v>45224</v>
      </c>
      <c r="D817" t="inlineStr">
        <is>
          <t>STOCKHOLMS LÄN</t>
        </is>
      </c>
      <c r="E817" t="inlineStr">
        <is>
          <t>EKERÖ</t>
        </is>
      </c>
      <c r="G817" t="n">
        <v>3.9</v>
      </c>
      <c r="H817" t="n">
        <v>0</v>
      </c>
      <c r="I817" t="n">
        <v>0</v>
      </c>
      <c r="J817" t="n">
        <v>0</v>
      </c>
      <c r="K817" t="n">
        <v>0</v>
      </c>
      <c r="L817" t="n">
        <v>0</v>
      </c>
      <c r="M817" t="n">
        <v>0</v>
      </c>
      <c r="N817" t="n">
        <v>0</v>
      </c>
      <c r="O817" t="n">
        <v>0</v>
      </c>
      <c r="P817" t="n">
        <v>0</v>
      </c>
      <c r="Q817" t="n">
        <v>0</v>
      </c>
      <c r="R817" s="2" t="inlineStr"/>
    </row>
    <row r="818" ht="15" customHeight="1">
      <c r="A818" t="inlineStr">
        <is>
          <t>A 17487-2019</t>
        </is>
      </c>
      <c r="B818" s="1" t="n">
        <v>43553</v>
      </c>
      <c r="C818" s="1" t="n">
        <v>45224</v>
      </c>
      <c r="D818" t="inlineStr">
        <is>
          <t>STOCKHOLMS LÄN</t>
        </is>
      </c>
      <c r="E818" t="inlineStr">
        <is>
          <t>EKERÖ</t>
        </is>
      </c>
      <c r="G818" t="n">
        <v>0.7</v>
      </c>
      <c r="H818" t="n">
        <v>0</v>
      </c>
      <c r="I818" t="n">
        <v>0</v>
      </c>
      <c r="J818" t="n">
        <v>0</v>
      </c>
      <c r="K818" t="n">
        <v>0</v>
      </c>
      <c r="L818" t="n">
        <v>0</v>
      </c>
      <c r="M818" t="n">
        <v>0</v>
      </c>
      <c r="N818" t="n">
        <v>0</v>
      </c>
      <c r="O818" t="n">
        <v>0</v>
      </c>
      <c r="P818" t="n">
        <v>0</v>
      </c>
      <c r="Q818" t="n">
        <v>0</v>
      </c>
      <c r="R818" s="2" t="inlineStr"/>
    </row>
    <row r="819" ht="15" customHeight="1">
      <c r="A819" t="inlineStr">
        <is>
          <t>A 17757-2019</t>
        </is>
      </c>
      <c r="B819" s="1" t="n">
        <v>43556</v>
      </c>
      <c r="C819" s="1" t="n">
        <v>45224</v>
      </c>
      <c r="D819" t="inlineStr">
        <is>
          <t>STOCKHOLMS LÄN</t>
        </is>
      </c>
      <c r="E819" t="inlineStr">
        <is>
          <t>NORRTÄLJE</t>
        </is>
      </c>
      <c r="G819" t="n">
        <v>2.5</v>
      </c>
      <c r="H819" t="n">
        <v>0</v>
      </c>
      <c r="I819" t="n">
        <v>0</v>
      </c>
      <c r="J819" t="n">
        <v>0</v>
      </c>
      <c r="K819" t="n">
        <v>0</v>
      </c>
      <c r="L819" t="n">
        <v>0</v>
      </c>
      <c r="M819" t="n">
        <v>0</v>
      </c>
      <c r="N819" t="n">
        <v>0</v>
      </c>
      <c r="O819" t="n">
        <v>0</v>
      </c>
      <c r="P819" t="n">
        <v>0</v>
      </c>
      <c r="Q819" t="n">
        <v>0</v>
      </c>
      <c r="R819" s="2" t="inlineStr"/>
    </row>
    <row r="820" ht="15" customHeight="1">
      <c r="A820" t="inlineStr">
        <is>
          <t>A 17752-2019</t>
        </is>
      </c>
      <c r="B820" s="1" t="n">
        <v>43556</v>
      </c>
      <c r="C820" s="1" t="n">
        <v>45224</v>
      </c>
      <c r="D820" t="inlineStr">
        <is>
          <t>STOCKHOLMS LÄN</t>
        </is>
      </c>
      <c r="E820" t="inlineStr">
        <is>
          <t>NORRTÄLJE</t>
        </is>
      </c>
      <c r="G820" t="n">
        <v>3</v>
      </c>
      <c r="H820" t="n">
        <v>0</v>
      </c>
      <c r="I820" t="n">
        <v>0</v>
      </c>
      <c r="J820" t="n">
        <v>0</v>
      </c>
      <c r="K820" t="n">
        <v>0</v>
      </c>
      <c r="L820" t="n">
        <v>0</v>
      </c>
      <c r="M820" t="n">
        <v>0</v>
      </c>
      <c r="N820" t="n">
        <v>0</v>
      </c>
      <c r="O820" t="n">
        <v>0</v>
      </c>
      <c r="P820" t="n">
        <v>0</v>
      </c>
      <c r="Q820" t="n">
        <v>0</v>
      </c>
      <c r="R820" s="2" t="inlineStr"/>
    </row>
    <row r="821" ht="15" customHeight="1">
      <c r="A821" t="inlineStr">
        <is>
          <t>A 17795-2019</t>
        </is>
      </c>
      <c r="B821" s="1" t="n">
        <v>43556</v>
      </c>
      <c r="C821" s="1" t="n">
        <v>45224</v>
      </c>
      <c r="D821" t="inlineStr">
        <is>
          <t>STOCKHOLMS LÄN</t>
        </is>
      </c>
      <c r="E821" t="inlineStr">
        <is>
          <t>NORRTÄLJE</t>
        </is>
      </c>
      <c r="G821" t="n">
        <v>0.8</v>
      </c>
      <c r="H821" t="n">
        <v>0</v>
      </c>
      <c r="I821" t="n">
        <v>0</v>
      </c>
      <c r="J821" t="n">
        <v>0</v>
      </c>
      <c r="K821" t="n">
        <v>0</v>
      </c>
      <c r="L821" t="n">
        <v>0</v>
      </c>
      <c r="M821" t="n">
        <v>0</v>
      </c>
      <c r="N821" t="n">
        <v>0</v>
      </c>
      <c r="O821" t="n">
        <v>0</v>
      </c>
      <c r="P821" t="n">
        <v>0</v>
      </c>
      <c r="Q821" t="n">
        <v>0</v>
      </c>
      <c r="R821" s="2" t="inlineStr"/>
    </row>
    <row r="822" ht="15" customHeight="1">
      <c r="A822" t="inlineStr">
        <is>
          <t>A 17963-2019</t>
        </is>
      </c>
      <c r="B822" s="1" t="n">
        <v>43557</v>
      </c>
      <c r="C822" s="1" t="n">
        <v>45224</v>
      </c>
      <c r="D822" t="inlineStr">
        <is>
          <t>STOCKHOLMS LÄN</t>
        </is>
      </c>
      <c r="E822" t="inlineStr">
        <is>
          <t>NORRTÄLJE</t>
        </is>
      </c>
      <c r="G822" t="n">
        <v>0.9</v>
      </c>
      <c r="H822" t="n">
        <v>0</v>
      </c>
      <c r="I822" t="n">
        <v>0</v>
      </c>
      <c r="J822" t="n">
        <v>0</v>
      </c>
      <c r="K822" t="n">
        <v>0</v>
      </c>
      <c r="L822" t="n">
        <v>0</v>
      </c>
      <c r="M822" t="n">
        <v>0</v>
      </c>
      <c r="N822" t="n">
        <v>0</v>
      </c>
      <c r="O822" t="n">
        <v>0</v>
      </c>
      <c r="P822" t="n">
        <v>0</v>
      </c>
      <c r="Q822" t="n">
        <v>0</v>
      </c>
      <c r="R822" s="2" t="inlineStr"/>
    </row>
    <row r="823" ht="15" customHeight="1">
      <c r="A823" t="inlineStr">
        <is>
          <t>A 18378-2019</t>
        </is>
      </c>
      <c r="B823" s="1" t="n">
        <v>43559</v>
      </c>
      <c r="C823" s="1" t="n">
        <v>45224</v>
      </c>
      <c r="D823" t="inlineStr">
        <is>
          <t>STOCKHOLMS LÄN</t>
        </is>
      </c>
      <c r="E823" t="inlineStr">
        <is>
          <t>NORRTÄLJE</t>
        </is>
      </c>
      <c r="G823" t="n">
        <v>5.8</v>
      </c>
      <c r="H823" t="n">
        <v>0</v>
      </c>
      <c r="I823" t="n">
        <v>0</v>
      </c>
      <c r="J823" t="n">
        <v>0</v>
      </c>
      <c r="K823" t="n">
        <v>0</v>
      </c>
      <c r="L823" t="n">
        <v>0</v>
      </c>
      <c r="M823" t="n">
        <v>0</v>
      </c>
      <c r="N823" t="n">
        <v>0</v>
      </c>
      <c r="O823" t="n">
        <v>0</v>
      </c>
      <c r="P823" t="n">
        <v>0</v>
      </c>
      <c r="Q823" t="n">
        <v>0</v>
      </c>
      <c r="R823" s="2" t="inlineStr"/>
    </row>
    <row r="824" ht="15" customHeight="1">
      <c r="A824" t="inlineStr">
        <is>
          <t>A 18664-2019</t>
        </is>
      </c>
      <c r="B824" s="1" t="n">
        <v>43560</v>
      </c>
      <c r="C824" s="1" t="n">
        <v>45224</v>
      </c>
      <c r="D824" t="inlineStr">
        <is>
          <t>STOCKHOLMS LÄN</t>
        </is>
      </c>
      <c r="E824" t="inlineStr">
        <is>
          <t>NORRTÄLJE</t>
        </is>
      </c>
      <c r="G824" t="n">
        <v>0.6</v>
      </c>
      <c r="H824" t="n">
        <v>0</v>
      </c>
      <c r="I824" t="n">
        <v>0</v>
      </c>
      <c r="J824" t="n">
        <v>0</v>
      </c>
      <c r="K824" t="n">
        <v>0</v>
      </c>
      <c r="L824" t="n">
        <v>0</v>
      </c>
      <c r="M824" t="n">
        <v>0</v>
      </c>
      <c r="N824" t="n">
        <v>0</v>
      </c>
      <c r="O824" t="n">
        <v>0</v>
      </c>
      <c r="P824" t="n">
        <v>0</v>
      </c>
      <c r="Q824" t="n">
        <v>0</v>
      </c>
      <c r="R824" s="2" t="inlineStr"/>
    </row>
    <row r="825" ht="15" customHeight="1">
      <c r="A825" t="inlineStr">
        <is>
          <t>A 18767-2019</t>
        </is>
      </c>
      <c r="B825" s="1" t="n">
        <v>43560</v>
      </c>
      <c r="C825" s="1" t="n">
        <v>45224</v>
      </c>
      <c r="D825" t="inlineStr">
        <is>
          <t>STOCKHOLMS LÄN</t>
        </is>
      </c>
      <c r="E825" t="inlineStr">
        <is>
          <t>NORRTÄLJE</t>
        </is>
      </c>
      <c r="G825" t="n">
        <v>4</v>
      </c>
      <c r="H825" t="n">
        <v>0</v>
      </c>
      <c r="I825" t="n">
        <v>0</v>
      </c>
      <c r="J825" t="n">
        <v>0</v>
      </c>
      <c r="K825" t="n">
        <v>0</v>
      </c>
      <c r="L825" t="n">
        <v>0</v>
      </c>
      <c r="M825" t="n">
        <v>0</v>
      </c>
      <c r="N825" t="n">
        <v>0</v>
      </c>
      <c r="O825" t="n">
        <v>0</v>
      </c>
      <c r="P825" t="n">
        <v>0</v>
      </c>
      <c r="Q825" t="n">
        <v>0</v>
      </c>
      <c r="R825" s="2" t="inlineStr"/>
    </row>
    <row r="826" ht="15" customHeight="1">
      <c r="A826" t="inlineStr">
        <is>
          <t>A 18820-2019</t>
        </is>
      </c>
      <c r="B826" s="1" t="n">
        <v>43563</v>
      </c>
      <c r="C826" s="1" t="n">
        <v>45224</v>
      </c>
      <c r="D826" t="inlineStr">
        <is>
          <t>STOCKHOLMS LÄN</t>
        </is>
      </c>
      <c r="E826" t="inlineStr">
        <is>
          <t>NORRTÄLJE</t>
        </is>
      </c>
      <c r="G826" t="n">
        <v>3</v>
      </c>
      <c r="H826" t="n">
        <v>0</v>
      </c>
      <c r="I826" t="n">
        <v>0</v>
      </c>
      <c r="J826" t="n">
        <v>0</v>
      </c>
      <c r="K826" t="n">
        <v>0</v>
      </c>
      <c r="L826" t="n">
        <v>0</v>
      </c>
      <c r="M826" t="n">
        <v>0</v>
      </c>
      <c r="N826" t="n">
        <v>0</v>
      </c>
      <c r="O826" t="n">
        <v>0</v>
      </c>
      <c r="P826" t="n">
        <v>0</v>
      </c>
      <c r="Q826" t="n">
        <v>0</v>
      </c>
      <c r="R826" s="2" t="inlineStr"/>
    </row>
    <row r="827" ht="15" customHeight="1">
      <c r="A827" t="inlineStr">
        <is>
          <t>A 18890-2019</t>
        </is>
      </c>
      <c r="B827" s="1" t="n">
        <v>43563</v>
      </c>
      <c r="C827" s="1" t="n">
        <v>45224</v>
      </c>
      <c r="D827" t="inlineStr">
        <is>
          <t>STOCKHOLMS LÄN</t>
        </is>
      </c>
      <c r="E827" t="inlineStr">
        <is>
          <t>NORRTÄLJE</t>
        </is>
      </c>
      <c r="G827" t="n">
        <v>4.7</v>
      </c>
      <c r="H827" t="n">
        <v>0</v>
      </c>
      <c r="I827" t="n">
        <v>0</v>
      </c>
      <c r="J827" t="n">
        <v>0</v>
      </c>
      <c r="K827" t="n">
        <v>0</v>
      </c>
      <c r="L827" t="n">
        <v>0</v>
      </c>
      <c r="M827" t="n">
        <v>0</v>
      </c>
      <c r="N827" t="n">
        <v>0</v>
      </c>
      <c r="O827" t="n">
        <v>0</v>
      </c>
      <c r="P827" t="n">
        <v>0</v>
      </c>
      <c r="Q827" t="n">
        <v>0</v>
      </c>
      <c r="R827" s="2" t="inlineStr"/>
    </row>
    <row r="828" ht="15" customHeight="1">
      <c r="A828" t="inlineStr">
        <is>
          <t>A 18909-2019</t>
        </is>
      </c>
      <c r="B828" s="1" t="n">
        <v>43563</v>
      </c>
      <c r="C828" s="1" t="n">
        <v>45224</v>
      </c>
      <c r="D828" t="inlineStr">
        <is>
          <t>STOCKHOLMS LÄN</t>
        </is>
      </c>
      <c r="E828" t="inlineStr">
        <is>
          <t>NORRTÄLJE</t>
        </is>
      </c>
      <c r="G828" t="n">
        <v>2.9</v>
      </c>
      <c r="H828" t="n">
        <v>0</v>
      </c>
      <c r="I828" t="n">
        <v>0</v>
      </c>
      <c r="J828" t="n">
        <v>0</v>
      </c>
      <c r="K828" t="n">
        <v>0</v>
      </c>
      <c r="L828" t="n">
        <v>0</v>
      </c>
      <c r="M828" t="n">
        <v>0</v>
      </c>
      <c r="N828" t="n">
        <v>0</v>
      </c>
      <c r="O828" t="n">
        <v>0</v>
      </c>
      <c r="P828" t="n">
        <v>0</v>
      </c>
      <c r="Q828" t="n">
        <v>0</v>
      </c>
      <c r="R828" s="2" t="inlineStr"/>
    </row>
    <row r="829" ht="15" customHeight="1">
      <c r="A829" t="inlineStr">
        <is>
          <t>A 19014-2019</t>
        </is>
      </c>
      <c r="B829" s="1" t="n">
        <v>43563</v>
      </c>
      <c r="C829" s="1" t="n">
        <v>45224</v>
      </c>
      <c r="D829" t="inlineStr">
        <is>
          <t>STOCKHOLMS LÄN</t>
        </is>
      </c>
      <c r="E829" t="inlineStr">
        <is>
          <t>NORRTÄLJE</t>
        </is>
      </c>
      <c r="G829" t="n">
        <v>2.2</v>
      </c>
      <c r="H829" t="n">
        <v>0</v>
      </c>
      <c r="I829" t="n">
        <v>0</v>
      </c>
      <c r="J829" t="n">
        <v>0</v>
      </c>
      <c r="K829" t="n">
        <v>0</v>
      </c>
      <c r="L829" t="n">
        <v>0</v>
      </c>
      <c r="M829" t="n">
        <v>0</v>
      </c>
      <c r="N829" t="n">
        <v>0</v>
      </c>
      <c r="O829" t="n">
        <v>0</v>
      </c>
      <c r="P829" t="n">
        <v>0</v>
      </c>
      <c r="Q829" t="n">
        <v>0</v>
      </c>
      <c r="R829" s="2" t="inlineStr"/>
    </row>
    <row r="830" ht="15" customHeight="1">
      <c r="A830" t="inlineStr">
        <is>
          <t>A 19026-2019</t>
        </is>
      </c>
      <c r="B830" s="1" t="n">
        <v>43563</v>
      </c>
      <c r="C830" s="1" t="n">
        <v>45224</v>
      </c>
      <c r="D830" t="inlineStr">
        <is>
          <t>STOCKHOLMS LÄN</t>
        </is>
      </c>
      <c r="E830" t="inlineStr">
        <is>
          <t>NORRTÄLJE</t>
        </is>
      </c>
      <c r="G830" t="n">
        <v>4.4</v>
      </c>
      <c r="H830" t="n">
        <v>0</v>
      </c>
      <c r="I830" t="n">
        <v>0</v>
      </c>
      <c r="J830" t="n">
        <v>0</v>
      </c>
      <c r="K830" t="n">
        <v>0</v>
      </c>
      <c r="L830" t="n">
        <v>0</v>
      </c>
      <c r="M830" t="n">
        <v>0</v>
      </c>
      <c r="N830" t="n">
        <v>0</v>
      </c>
      <c r="O830" t="n">
        <v>0</v>
      </c>
      <c r="P830" t="n">
        <v>0</v>
      </c>
      <c r="Q830" t="n">
        <v>0</v>
      </c>
      <c r="R830" s="2" t="inlineStr"/>
    </row>
    <row r="831" ht="15" customHeight="1">
      <c r="A831" t="inlineStr">
        <is>
          <t>A 19198-2019</t>
        </is>
      </c>
      <c r="B831" s="1" t="n">
        <v>43564</v>
      </c>
      <c r="C831" s="1" t="n">
        <v>45224</v>
      </c>
      <c r="D831" t="inlineStr">
        <is>
          <t>STOCKHOLMS LÄN</t>
        </is>
      </c>
      <c r="E831" t="inlineStr">
        <is>
          <t>VALLENTUNA</t>
        </is>
      </c>
      <c r="G831" t="n">
        <v>0.9</v>
      </c>
      <c r="H831" t="n">
        <v>0</v>
      </c>
      <c r="I831" t="n">
        <v>0</v>
      </c>
      <c r="J831" t="n">
        <v>0</v>
      </c>
      <c r="K831" t="n">
        <v>0</v>
      </c>
      <c r="L831" t="n">
        <v>0</v>
      </c>
      <c r="M831" t="n">
        <v>0</v>
      </c>
      <c r="N831" t="n">
        <v>0</v>
      </c>
      <c r="O831" t="n">
        <v>0</v>
      </c>
      <c r="P831" t="n">
        <v>0</v>
      </c>
      <c r="Q831" t="n">
        <v>0</v>
      </c>
      <c r="R831" s="2" t="inlineStr"/>
    </row>
    <row r="832" ht="15" customHeight="1">
      <c r="A832" t="inlineStr">
        <is>
          <t>A 19255-2019</t>
        </is>
      </c>
      <c r="B832" s="1" t="n">
        <v>43564</v>
      </c>
      <c r="C832" s="1" t="n">
        <v>45224</v>
      </c>
      <c r="D832" t="inlineStr">
        <is>
          <t>STOCKHOLMS LÄN</t>
        </is>
      </c>
      <c r="E832" t="inlineStr">
        <is>
          <t>NORRTÄLJE</t>
        </is>
      </c>
      <c r="G832" t="n">
        <v>2.6</v>
      </c>
      <c r="H832" t="n">
        <v>0</v>
      </c>
      <c r="I832" t="n">
        <v>0</v>
      </c>
      <c r="J832" t="n">
        <v>0</v>
      </c>
      <c r="K832" t="n">
        <v>0</v>
      </c>
      <c r="L832" t="n">
        <v>0</v>
      </c>
      <c r="M832" t="n">
        <v>0</v>
      </c>
      <c r="N832" t="n">
        <v>0</v>
      </c>
      <c r="O832" t="n">
        <v>0</v>
      </c>
      <c r="P832" t="n">
        <v>0</v>
      </c>
      <c r="Q832" t="n">
        <v>0</v>
      </c>
      <c r="R832" s="2" t="inlineStr"/>
    </row>
    <row r="833" ht="15" customHeight="1">
      <c r="A833" t="inlineStr">
        <is>
          <t>A 19170-2019</t>
        </is>
      </c>
      <c r="B833" s="1" t="n">
        <v>43564</v>
      </c>
      <c r="C833" s="1" t="n">
        <v>45224</v>
      </c>
      <c r="D833" t="inlineStr">
        <is>
          <t>STOCKHOLMS LÄN</t>
        </is>
      </c>
      <c r="E833" t="inlineStr">
        <is>
          <t>ÖSTERÅKER</t>
        </is>
      </c>
      <c r="G833" t="n">
        <v>2.2</v>
      </c>
      <c r="H833" t="n">
        <v>0</v>
      </c>
      <c r="I833" t="n">
        <v>0</v>
      </c>
      <c r="J833" t="n">
        <v>0</v>
      </c>
      <c r="K833" t="n">
        <v>0</v>
      </c>
      <c r="L833" t="n">
        <v>0</v>
      </c>
      <c r="M833" t="n">
        <v>0</v>
      </c>
      <c r="N833" t="n">
        <v>0</v>
      </c>
      <c r="O833" t="n">
        <v>0</v>
      </c>
      <c r="P833" t="n">
        <v>0</v>
      </c>
      <c r="Q833" t="n">
        <v>0</v>
      </c>
      <c r="R833" s="2" t="inlineStr"/>
    </row>
    <row r="834" ht="15" customHeight="1">
      <c r="A834" t="inlineStr">
        <is>
          <t>A 19247-2019</t>
        </is>
      </c>
      <c r="B834" s="1" t="n">
        <v>43564</v>
      </c>
      <c r="C834" s="1" t="n">
        <v>45224</v>
      </c>
      <c r="D834" t="inlineStr">
        <is>
          <t>STOCKHOLMS LÄN</t>
        </is>
      </c>
      <c r="E834" t="inlineStr">
        <is>
          <t>NORRTÄLJE</t>
        </is>
      </c>
      <c r="G834" t="n">
        <v>1.8</v>
      </c>
      <c r="H834" t="n">
        <v>0</v>
      </c>
      <c r="I834" t="n">
        <v>0</v>
      </c>
      <c r="J834" t="n">
        <v>0</v>
      </c>
      <c r="K834" t="n">
        <v>0</v>
      </c>
      <c r="L834" t="n">
        <v>0</v>
      </c>
      <c r="M834" t="n">
        <v>0</v>
      </c>
      <c r="N834" t="n">
        <v>0</v>
      </c>
      <c r="O834" t="n">
        <v>0</v>
      </c>
      <c r="P834" t="n">
        <v>0</v>
      </c>
      <c r="Q834" t="n">
        <v>0</v>
      </c>
      <c r="R834" s="2" t="inlineStr"/>
    </row>
    <row r="835" ht="15" customHeight="1">
      <c r="A835" t="inlineStr">
        <is>
          <t>A 19301-2019</t>
        </is>
      </c>
      <c r="B835" s="1" t="n">
        <v>43565</v>
      </c>
      <c r="C835" s="1" t="n">
        <v>45224</v>
      </c>
      <c r="D835" t="inlineStr">
        <is>
          <t>STOCKHOLMS LÄN</t>
        </is>
      </c>
      <c r="E835" t="inlineStr">
        <is>
          <t>NORRTÄLJE</t>
        </is>
      </c>
      <c r="F835" t="inlineStr">
        <is>
          <t>Kommuner</t>
        </is>
      </c>
      <c r="G835" t="n">
        <v>3.9</v>
      </c>
      <c r="H835" t="n">
        <v>0</v>
      </c>
      <c r="I835" t="n">
        <v>0</v>
      </c>
      <c r="J835" t="n">
        <v>0</v>
      </c>
      <c r="K835" t="n">
        <v>0</v>
      </c>
      <c r="L835" t="n">
        <v>0</v>
      </c>
      <c r="M835" t="n">
        <v>0</v>
      </c>
      <c r="N835" t="n">
        <v>0</v>
      </c>
      <c r="O835" t="n">
        <v>0</v>
      </c>
      <c r="P835" t="n">
        <v>0</v>
      </c>
      <c r="Q835" t="n">
        <v>0</v>
      </c>
      <c r="R835" s="2" t="inlineStr"/>
    </row>
    <row r="836" ht="15" customHeight="1">
      <c r="A836" t="inlineStr">
        <is>
          <t>A 19537-2019</t>
        </is>
      </c>
      <c r="B836" s="1" t="n">
        <v>43565</v>
      </c>
      <c r="C836" s="1" t="n">
        <v>45224</v>
      </c>
      <c r="D836" t="inlineStr">
        <is>
          <t>STOCKHOLMS LÄN</t>
        </is>
      </c>
      <c r="E836" t="inlineStr">
        <is>
          <t>NORRTÄLJE</t>
        </is>
      </c>
      <c r="G836" t="n">
        <v>0.6</v>
      </c>
      <c r="H836" t="n">
        <v>0</v>
      </c>
      <c r="I836" t="n">
        <v>0</v>
      </c>
      <c r="J836" t="n">
        <v>0</v>
      </c>
      <c r="K836" t="n">
        <v>0</v>
      </c>
      <c r="L836" t="n">
        <v>0</v>
      </c>
      <c r="M836" t="n">
        <v>0</v>
      </c>
      <c r="N836" t="n">
        <v>0</v>
      </c>
      <c r="O836" t="n">
        <v>0</v>
      </c>
      <c r="P836" t="n">
        <v>0</v>
      </c>
      <c r="Q836" t="n">
        <v>0</v>
      </c>
      <c r="R836" s="2" t="inlineStr"/>
    </row>
    <row r="837" ht="15" customHeight="1">
      <c r="A837" t="inlineStr">
        <is>
          <t>A 19302-2019</t>
        </is>
      </c>
      <c r="B837" s="1" t="n">
        <v>43565</v>
      </c>
      <c r="C837" s="1" t="n">
        <v>45224</v>
      </c>
      <c r="D837" t="inlineStr">
        <is>
          <t>STOCKHOLMS LÄN</t>
        </is>
      </c>
      <c r="E837" t="inlineStr">
        <is>
          <t>NORRTÄLJE</t>
        </is>
      </c>
      <c r="F837" t="inlineStr">
        <is>
          <t>Kommuner</t>
        </is>
      </c>
      <c r="G837" t="n">
        <v>4.2</v>
      </c>
      <c r="H837" t="n">
        <v>0</v>
      </c>
      <c r="I837" t="n">
        <v>0</v>
      </c>
      <c r="J837" t="n">
        <v>0</v>
      </c>
      <c r="K837" t="n">
        <v>0</v>
      </c>
      <c r="L837" t="n">
        <v>0</v>
      </c>
      <c r="M837" t="n">
        <v>0</v>
      </c>
      <c r="N837" t="n">
        <v>0</v>
      </c>
      <c r="O837" t="n">
        <v>0</v>
      </c>
      <c r="P837" t="n">
        <v>0</v>
      </c>
      <c r="Q837" t="n">
        <v>0</v>
      </c>
      <c r="R837" s="2" t="inlineStr"/>
    </row>
    <row r="838" ht="15" customHeight="1">
      <c r="A838" t="inlineStr">
        <is>
          <t>A 19539-2019</t>
        </is>
      </c>
      <c r="B838" s="1" t="n">
        <v>43565</v>
      </c>
      <c r="C838" s="1" t="n">
        <v>45224</v>
      </c>
      <c r="D838" t="inlineStr">
        <is>
          <t>STOCKHOLMS LÄN</t>
        </is>
      </c>
      <c r="E838" t="inlineStr">
        <is>
          <t>NORRTÄLJE</t>
        </is>
      </c>
      <c r="G838" t="n">
        <v>2.4</v>
      </c>
      <c r="H838" t="n">
        <v>0</v>
      </c>
      <c r="I838" t="n">
        <v>0</v>
      </c>
      <c r="J838" t="n">
        <v>0</v>
      </c>
      <c r="K838" t="n">
        <v>0</v>
      </c>
      <c r="L838" t="n">
        <v>0</v>
      </c>
      <c r="M838" t="n">
        <v>0</v>
      </c>
      <c r="N838" t="n">
        <v>0</v>
      </c>
      <c r="O838" t="n">
        <v>0</v>
      </c>
      <c r="P838" t="n">
        <v>0</v>
      </c>
      <c r="Q838" t="n">
        <v>0</v>
      </c>
      <c r="R838" s="2" t="inlineStr"/>
    </row>
    <row r="839" ht="15" customHeight="1">
      <c r="A839" t="inlineStr">
        <is>
          <t>A 19377-2019</t>
        </is>
      </c>
      <c r="B839" s="1" t="n">
        <v>43565</v>
      </c>
      <c r="C839" s="1" t="n">
        <v>45224</v>
      </c>
      <c r="D839" t="inlineStr">
        <is>
          <t>STOCKHOLMS LÄN</t>
        </is>
      </c>
      <c r="E839" t="inlineStr">
        <is>
          <t>NYKVARN</t>
        </is>
      </c>
      <c r="G839" t="n">
        <v>2.9</v>
      </c>
      <c r="H839" t="n">
        <v>0</v>
      </c>
      <c r="I839" t="n">
        <v>0</v>
      </c>
      <c r="J839" t="n">
        <v>0</v>
      </c>
      <c r="K839" t="n">
        <v>0</v>
      </c>
      <c r="L839" t="n">
        <v>0</v>
      </c>
      <c r="M839" t="n">
        <v>0</v>
      </c>
      <c r="N839" t="n">
        <v>0</v>
      </c>
      <c r="O839" t="n">
        <v>0</v>
      </c>
      <c r="P839" t="n">
        <v>0</v>
      </c>
      <c r="Q839" t="n">
        <v>0</v>
      </c>
      <c r="R839" s="2" t="inlineStr"/>
    </row>
    <row r="840" ht="15" customHeight="1">
      <c r="A840" t="inlineStr">
        <is>
          <t>A 19540-2019</t>
        </is>
      </c>
      <c r="B840" s="1" t="n">
        <v>43565</v>
      </c>
      <c r="C840" s="1" t="n">
        <v>45224</v>
      </c>
      <c r="D840" t="inlineStr">
        <is>
          <t>STOCKHOLMS LÄN</t>
        </is>
      </c>
      <c r="E840" t="inlineStr">
        <is>
          <t>NORRTÄLJE</t>
        </is>
      </c>
      <c r="G840" t="n">
        <v>1.8</v>
      </c>
      <c r="H840" t="n">
        <v>0</v>
      </c>
      <c r="I840" t="n">
        <v>0</v>
      </c>
      <c r="J840" t="n">
        <v>0</v>
      </c>
      <c r="K840" t="n">
        <v>0</v>
      </c>
      <c r="L840" t="n">
        <v>0</v>
      </c>
      <c r="M840" t="n">
        <v>0</v>
      </c>
      <c r="N840" t="n">
        <v>0</v>
      </c>
      <c r="O840" t="n">
        <v>0</v>
      </c>
      <c r="P840" t="n">
        <v>0</v>
      </c>
      <c r="Q840" t="n">
        <v>0</v>
      </c>
      <c r="R840" s="2" t="inlineStr"/>
    </row>
    <row r="841" ht="15" customHeight="1">
      <c r="A841" t="inlineStr">
        <is>
          <t>A 19297-2019</t>
        </is>
      </c>
      <c r="B841" s="1" t="n">
        <v>43565</v>
      </c>
      <c r="C841" s="1" t="n">
        <v>45224</v>
      </c>
      <c r="D841" t="inlineStr">
        <is>
          <t>STOCKHOLMS LÄN</t>
        </is>
      </c>
      <c r="E841" t="inlineStr">
        <is>
          <t>NORRTÄLJE</t>
        </is>
      </c>
      <c r="F841" t="inlineStr">
        <is>
          <t>Kommuner</t>
        </is>
      </c>
      <c r="G841" t="n">
        <v>1.2</v>
      </c>
      <c r="H841" t="n">
        <v>0</v>
      </c>
      <c r="I841" t="n">
        <v>0</v>
      </c>
      <c r="J841" t="n">
        <v>0</v>
      </c>
      <c r="K841" t="n">
        <v>0</v>
      </c>
      <c r="L841" t="n">
        <v>0</v>
      </c>
      <c r="M841" t="n">
        <v>0</v>
      </c>
      <c r="N841" t="n">
        <v>0</v>
      </c>
      <c r="O841" t="n">
        <v>0</v>
      </c>
      <c r="P841" t="n">
        <v>0</v>
      </c>
      <c r="Q841" t="n">
        <v>0</v>
      </c>
      <c r="R841" s="2" t="inlineStr"/>
    </row>
    <row r="842" ht="15" customHeight="1">
      <c r="A842" t="inlineStr">
        <is>
          <t>A 19593-2019</t>
        </is>
      </c>
      <c r="B842" s="1" t="n">
        <v>43566</v>
      </c>
      <c r="C842" s="1" t="n">
        <v>45224</v>
      </c>
      <c r="D842" t="inlineStr">
        <is>
          <t>STOCKHOLMS LÄN</t>
        </is>
      </c>
      <c r="E842" t="inlineStr">
        <is>
          <t>NORRTÄLJE</t>
        </is>
      </c>
      <c r="G842" t="n">
        <v>0.6</v>
      </c>
      <c r="H842" t="n">
        <v>0</v>
      </c>
      <c r="I842" t="n">
        <v>0</v>
      </c>
      <c r="J842" t="n">
        <v>0</v>
      </c>
      <c r="K842" t="n">
        <v>0</v>
      </c>
      <c r="L842" t="n">
        <v>0</v>
      </c>
      <c r="M842" t="n">
        <v>0</v>
      </c>
      <c r="N842" t="n">
        <v>0</v>
      </c>
      <c r="O842" t="n">
        <v>0</v>
      </c>
      <c r="P842" t="n">
        <v>0</v>
      </c>
      <c r="Q842" t="n">
        <v>0</v>
      </c>
      <c r="R842" s="2" t="inlineStr"/>
    </row>
    <row r="843" ht="15" customHeight="1">
      <c r="A843" t="inlineStr">
        <is>
          <t>A 19563-2019</t>
        </is>
      </c>
      <c r="B843" s="1" t="n">
        <v>43566</v>
      </c>
      <c r="C843" s="1" t="n">
        <v>45224</v>
      </c>
      <c r="D843" t="inlineStr">
        <is>
          <t>STOCKHOLMS LÄN</t>
        </is>
      </c>
      <c r="E843" t="inlineStr">
        <is>
          <t>SIGTUNA</t>
        </is>
      </c>
      <c r="G843" t="n">
        <v>7.8</v>
      </c>
      <c r="H843" t="n">
        <v>0</v>
      </c>
      <c r="I843" t="n">
        <v>0</v>
      </c>
      <c r="J843" t="n">
        <v>0</v>
      </c>
      <c r="K843" t="n">
        <v>0</v>
      </c>
      <c r="L843" t="n">
        <v>0</v>
      </c>
      <c r="M843" t="n">
        <v>0</v>
      </c>
      <c r="N843" t="n">
        <v>0</v>
      </c>
      <c r="O843" t="n">
        <v>0</v>
      </c>
      <c r="P843" t="n">
        <v>0</v>
      </c>
      <c r="Q843" t="n">
        <v>0</v>
      </c>
      <c r="R843" s="2" t="inlineStr"/>
    </row>
    <row r="844" ht="15" customHeight="1">
      <c r="A844" t="inlineStr">
        <is>
          <t>A 19638-2019</t>
        </is>
      </c>
      <c r="B844" s="1" t="n">
        <v>43566</v>
      </c>
      <c r="C844" s="1" t="n">
        <v>45224</v>
      </c>
      <c r="D844" t="inlineStr">
        <is>
          <t>STOCKHOLMS LÄN</t>
        </is>
      </c>
      <c r="E844" t="inlineStr">
        <is>
          <t>NORRTÄLJE</t>
        </is>
      </c>
      <c r="G844" t="n">
        <v>0.6</v>
      </c>
      <c r="H844" t="n">
        <v>0</v>
      </c>
      <c r="I844" t="n">
        <v>0</v>
      </c>
      <c r="J844" t="n">
        <v>0</v>
      </c>
      <c r="K844" t="n">
        <v>0</v>
      </c>
      <c r="L844" t="n">
        <v>0</v>
      </c>
      <c r="M844" t="n">
        <v>0</v>
      </c>
      <c r="N844" t="n">
        <v>0</v>
      </c>
      <c r="O844" t="n">
        <v>0</v>
      </c>
      <c r="P844" t="n">
        <v>0</v>
      </c>
      <c r="Q844" t="n">
        <v>0</v>
      </c>
      <c r="R844" s="2" t="inlineStr"/>
    </row>
    <row r="845" ht="15" customHeight="1">
      <c r="A845" t="inlineStr">
        <is>
          <t>A 19811-2019</t>
        </is>
      </c>
      <c r="B845" s="1" t="n">
        <v>43567</v>
      </c>
      <c r="C845" s="1" t="n">
        <v>45224</v>
      </c>
      <c r="D845" t="inlineStr">
        <is>
          <t>STOCKHOLMS LÄN</t>
        </is>
      </c>
      <c r="E845" t="inlineStr">
        <is>
          <t>NORRTÄLJE</t>
        </is>
      </c>
      <c r="F845" t="inlineStr">
        <is>
          <t>Kommuner</t>
        </is>
      </c>
      <c r="G845" t="n">
        <v>1.6</v>
      </c>
      <c r="H845" t="n">
        <v>0</v>
      </c>
      <c r="I845" t="n">
        <v>0</v>
      </c>
      <c r="J845" t="n">
        <v>0</v>
      </c>
      <c r="K845" t="n">
        <v>0</v>
      </c>
      <c r="L845" t="n">
        <v>0</v>
      </c>
      <c r="M845" t="n">
        <v>0</v>
      </c>
      <c r="N845" t="n">
        <v>0</v>
      </c>
      <c r="O845" t="n">
        <v>0</v>
      </c>
      <c r="P845" t="n">
        <v>0</v>
      </c>
      <c r="Q845" t="n">
        <v>0</v>
      </c>
      <c r="R845" s="2" t="inlineStr"/>
    </row>
    <row r="846" ht="15" customHeight="1">
      <c r="A846" t="inlineStr">
        <is>
          <t>A 19872-2019</t>
        </is>
      </c>
      <c r="B846" s="1" t="n">
        <v>43567</v>
      </c>
      <c r="C846" s="1" t="n">
        <v>45224</v>
      </c>
      <c r="D846" t="inlineStr">
        <is>
          <t>STOCKHOLMS LÄN</t>
        </is>
      </c>
      <c r="E846" t="inlineStr">
        <is>
          <t>NORRTÄLJE</t>
        </is>
      </c>
      <c r="G846" t="n">
        <v>1.8</v>
      </c>
      <c r="H846" t="n">
        <v>0</v>
      </c>
      <c r="I846" t="n">
        <v>0</v>
      </c>
      <c r="J846" t="n">
        <v>0</v>
      </c>
      <c r="K846" t="n">
        <v>0</v>
      </c>
      <c r="L846" t="n">
        <v>0</v>
      </c>
      <c r="M846" t="n">
        <v>0</v>
      </c>
      <c r="N846" t="n">
        <v>0</v>
      </c>
      <c r="O846" t="n">
        <v>0</v>
      </c>
      <c r="P846" t="n">
        <v>0</v>
      </c>
      <c r="Q846" t="n">
        <v>0</v>
      </c>
      <c r="R846" s="2" t="inlineStr"/>
    </row>
    <row r="847" ht="15" customHeight="1">
      <c r="A847" t="inlineStr">
        <is>
          <t>A 19812-2019</t>
        </is>
      </c>
      <c r="B847" s="1" t="n">
        <v>43567</v>
      </c>
      <c r="C847" s="1" t="n">
        <v>45224</v>
      </c>
      <c r="D847" t="inlineStr">
        <is>
          <t>STOCKHOLMS LÄN</t>
        </is>
      </c>
      <c r="E847" t="inlineStr">
        <is>
          <t>NORRTÄLJE</t>
        </is>
      </c>
      <c r="F847" t="inlineStr">
        <is>
          <t>Kommuner</t>
        </is>
      </c>
      <c r="G847" t="n">
        <v>1.5</v>
      </c>
      <c r="H847" t="n">
        <v>0</v>
      </c>
      <c r="I847" t="n">
        <v>0</v>
      </c>
      <c r="J847" t="n">
        <v>0</v>
      </c>
      <c r="K847" t="n">
        <v>0</v>
      </c>
      <c r="L847" t="n">
        <v>0</v>
      </c>
      <c r="M847" t="n">
        <v>0</v>
      </c>
      <c r="N847" t="n">
        <v>0</v>
      </c>
      <c r="O847" t="n">
        <v>0</v>
      </c>
      <c r="P847" t="n">
        <v>0</v>
      </c>
      <c r="Q847" t="n">
        <v>0</v>
      </c>
      <c r="R847" s="2" t="inlineStr"/>
    </row>
    <row r="848" ht="15" customHeight="1">
      <c r="A848" t="inlineStr">
        <is>
          <t>A 19931-2019</t>
        </is>
      </c>
      <c r="B848" s="1" t="n">
        <v>43568</v>
      </c>
      <c r="C848" s="1" t="n">
        <v>45224</v>
      </c>
      <c r="D848" t="inlineStr">
        <is>
          <t>STOCKHOLMS LÄN</t>
        </is>
      </c>
      <c r="E848" t="inlineStr">
        <is>
          <t>NORRTÄLJE</t>
        </is>
      </c>
      <c r="G848" t="n">
        <v>4.2</v>
      </c>
      <c r="H848" t="n">
        <v>0</v>
      </c>
      <c r="I848" t="n">
        <v>0</v>
      </c>
      <c r="J848" t="n">
        <v>0</v>
      </c>
      <c r="K848" t="n">
        <v>0</v>
      </c>
      <c r="L848" t="n">
        <v>0</v>
      </c>
      <c r="M848" t="n">
        <v>0</v>
      </c>
      <c r="N848" t="n">
        <v>0</v>
      </c>
      <c r="O848" t="n">
        <v>0</v>
      </c>
      <c r="P848" t="n">
        <v>0</v>
      </c>
      <c r="Q848" t="n">
        <v>0</v>
      </c>
      <c r="R848" s="2" t="inlineStr"/>
    </row>
    <row r="849" ht="15" customHeight="1">
      <c r="A849" t="inlineStr">
        <is>
          <t>A 20137-2019</t>
        </is>
      </c>
      <c r="B849" s="1" t="n">
        <v>43570</v>
      </c>
      <c r="C849" s="1" t="n">
        <v>45224</v>
      </c>
      <c r="D849" t="inlineStr">
        <is>
          <t>STOCKHOLMS LÄN</t>
        </is>
      </c>
      <c r="E849" t="inlineStr">
        <is>
          <t>NORRTÄLJE</t>
        </is>
      </c>
      <c r="G849" t="n">
        <v>3</v>
      </c>
      <c r="H849" t="n">
        <v>0</v>
      </c>
      <c r="I849" t="n">
        <v>0</v>
      </c>
      <c r="J849" t="n">
        <v>0</v>
      </c>
      <c r="K849" t="n">
        <v>0</v>
      </c>
      <c r="L849" t="n">
        <v>0</v>
      </c>
      <c r="M849" t="n">
        <v>0</v>
      </c>
      <c r="N849" t="n">
        <v>0</v>
      </c>
      <c r="O849" t="n">
        <v>0</v>
      </c>
      <c r="P849" t="n">
        <v>0</v>
      </c>
      <c r="Q849" t="n">
        <v>0</v>
      </c>
      <c r="R849" s="2" t="inlineStr"/>
    </row>
    <row r="850" ht="15" customHeight="1">
      <c r="A850" t="inlineStr">
        <is>
          <t>A 20159-2019</t>
        </is>
      </c>
      <c r="B850" s="1" t="n">
        <v>43570</v>
      </c>
      <c r="C850" s="1" t="n">
        <v>45224</v>
      </c>
      <c r="D850" t="inlineStr">
        <is>
          <t>STOCKHOLMS LÄN</t>
        </is>
      </c>
      <c r="E850" t="inlineStr">
        <is>
          <t>NORRTÄLJE</t>
        </is>
      </c>
      <c r="F850" t="inlineStr">
        <is>
          <t>Kommuner</t>
        </is>
      </c>
      <c r="G850" t="n">
        <v>2</v>
      </c>
      <c r="H850" t="n">
        <v>0</v>
      </c>
      <c r="I850" t="n">
        <v>0</v>
      </c>
      <c r="J850" t="n">
        <v>0</v>
      </c>
      <c r="K850" t="n">
        <v>0</v>
      </c>
      <c r="L850" t="n">
        <v>0</v>
      </c>
      <c r="M850" t="n">
        <v>0</v>
      </c>
      <c r="N850" t="n">
        <v>0</v>
      </c>
      <c r="O850" t="n">
        <v>0</v>
      </c>
      <c r="P850" t="n">
        <v>0</v>
      </c>
      <c r="Q850" t="n">
        <v>0</v>
      </c>
      <c r="R850" s="2" t="inlineStr"/>
    </row>
    <row r="851" ht="15" customHeight="1">
      <c r="A851" t="inlineStr">
        <is>
          <t>A 20181-2019</t>
        </is>
      </c>
      <c r="B851" s="1" t="n">
        <v>43570</v>
      </c>
      <c r="C851" s="1" t="n">
        <v>45224</v>
      </c>
      <c r="D851" t="inlineStr">
        <is>
          <t>STOCKHOLMS LÄN</t>
        </is>
      </c>
      <c r="E851" t="inlineStr">
        <is>
          <t>NORRTÄLJE</t>
        </is>
      </c>
      <c r="G851" t="n">
        <v>0.9</v>
      </c>
      <c r="H851" t="n">
        <v>0</v>
      </c>
      <c r="I851" t="n">
        <v>0</v>
      </c>
      <c r="J851" t="n">
        <v>0</v>
      </c>
      <c r="K851" t="n">
        <v>0</v>
      </c>
      <c r="L851" t="n">
        <v>0</v>
      </c>
      <c r="M851" t="n">
        <v>0</v>
      </c>
      <c r="N851" t="n">
        <v>0</v>
      </c>
      <c r="O851" t="n">
        <v>0</v>
      </c>
      <c r="P851" t="n">
        <v>0</v>
      </c>
      <c r="Q851" t="n">
        <v>0</v>
      </c>
      <c r="R851" s="2" t="inlineStr"/>
    </row>
    <row r="852" ht="15" customHeight="1">
      <c r="A852" t="inlineStr">
        <is>
          <t>A 20007-2019</t>
        </is>
      </c>
      <c r="B852" s="1" t="n">
        <v>43570</v>
      </c>
      <c r="C852" s="1" t="n">
        <v>45224</v>
      </c>
      <c r="D852" t="inlineStr">
        <is>
          <t>STOCKHOLMS LÄN</t>
        </is>
      </c>
      <c r="E852" t="inlineStr">
        <is>
          <t>NORRTÄLJE</t>
        </is>
      </c>
      <c r="G852" t="n">
        <v>1</v>
      </c>
      <c r="H852" t="n">
        <v>0</v>
      </c>
      <c r="I852" t="n">
        <v>0</v>
      </c>
      <c r="J852" t="n">
        <v>0</v>
      </c>
      <c r="K852" t="n">
        <v>0</v>
      </c>
      <c r="L852" t="n">
        <v>0</v>
      </c>
      <c r="M852" t="n">
        <v>0</v>
      </c>
      <c r="N852" t="n">
        <v>0</v>
      </c>
      <c r="O852" t="n">
        <v>0</v>
      </c>
      <c r="P852" t="n">
        <v>0</v>
      </c>
      <c r="Q852" t="n">
        <v>0</v>
      </c>
      <c r="R852" s="2" t="inlineStr"/>
    </row>
    <row r="853" ht="15" customHeight="1">
      <c r="A853" t="inlineStr">
        <is>
          <t>A 20052-2019</t>
        </is>
      </c>
      <c r="B853" s="1" t="n">
        <v>43570</v>
      </c>
      <c r="C853" s="1" t="n">
        <v>45224</v>
      </c>
      <c r="D853" t="inlineStr">
        <is>
          <t>STOCKHOLMS LÄN</t>
        </is>
      </c>
      <c r="E853" t="inlineStr">
        <is>
          <t>NORRTÄLJE</t>
        </is>
      </c>
      <c r="G853" t="n">
        <v>0.5</v>
      </c>
      <c r="H853" t="n">
        <v>0</v>
      </c>
      <c r="I853" t="n">
        <v>0</v>
      </c>
      <c r="J853" t="n">
        <v>0</v>
      </c>
      <c r="K853" t="n">
        <v>0</v>
      </c>
      <c r="L853" t="n">
        <v>0</v>
      </c>
      <c r="M853" t="n">
        <v>0</v>
      </c>
      <c r="N853" t="n">
        <v>0</v>
      </c>
      <c r="O853" t="n">
        <v>0</v>
      </c>
      <c r="P853" t="n">
        <v>0</v>
      </c>
      <c r="Q853" t="n">
        <v>0</v>
      </c>
      <c r="R853" s="2" t="inlineStr"/>
    </row>
    <row r="854" ht="15" customHeight="1">
      <c r="A854" t="inlineStr">
        <is>
          <t>A 20165-2019</t>
        </is>
      </c>
      <c r="B854" s="1" t="n">
        <v>43570</v>
      </c>
      <c r="C854" s="1" t="n">
        <v>45224</v>
      </c>
      <c r="D854" t="inlineStr">
        <is>
          <t>STOCKHOLMS LÄN</t>
        </is>
      </c>
      <c r="E854" t="inlineStr">
        <is>
          <t>NORRTÄLJE</t>
        </is>
      </c>
      <c r="F854" t="inlineStr">
        <is>
          <t>Kommuner</t>
        </is>
      </c>
      <c r="G854" t="n">
        <v>0.5</v>
      </c>
      <c r="H854" t="n">
        <v>0</v>
      </c>
      <c r="I854" t="n">
        <v>0</v>
      </c>
      <c r="J854" t="n">
        <v>0</v>
      </c>
      <c r="K854" t="n">
        <v>0</v>
      </c>
      <c r="L854" t="n">
        <v>0</v>
      </c>
      <c r="M854" t="n">
        <v>0</v>
      </c>
      <c r="N854" t="n">
        <v>0</v>
      </c>
      <c r="O854" t="n">
        <v>0</v>
      </c>
      <c r="P854" t="n">
        <v>0</v>
      </c>
      <c r="Q854" t="n">
        <v>0</v>
      </c>
      <c r="R854" s="2" t="inlineStr"/>
    </row>
    <row r="855" ht="15" customHeight="1">
      <c r="A855" t="inlineStr">
        <is>
          <t>A 20020-2019</t>
        </is>
      </c>
      <c r="B855" s="1" t="n">
        <v>43570</v>
      </c>
      <c r="C855" s="1" t="n">
        <v>45224</v>
      </c>
      <c r="D855" t="inlineStr">
        <is>
          <t>STOCKHOLMS LÄN</t>
        </is>
      </c>
      <c r="E855" t="inlineStr">
        <is>
          <t>NORRTÄLJE</t>
        </is>
      </c>
      <c r="G855" t="n">
        <v>0.9</v>
      </c>
      <c r="H855" t="n">
        <v>0</v>
      </c>
      <c r="I855" t="n">
        <v>0</v>
      </c>
      <c r="J855" t="n">
        <v>0</v>
      </c>
      <c r="K855" t="n">
        <v>0</v>
      </c>
      <c r="L855" t="n">
        <v>0</v>
      </c>
      <c r="M855" t="n">
        <v>0</v>
      </c>
      <c r="N855" t="n">
        <v>0</v>
      </c>
      <c r="O855" t="n">
        <v>0</v>
      </c>
      <c r="P855" t="n">
        <v>0</v>
      </c>
      <c r="Q855" t="n">
        <v>0</v>
      </c>
      <c r="R855" s="2" t="inlineStr"/>
    </row>
    <row r="856" ht="15" customHeight="1">
      <c r="A856" t="inlineStr">
        <is>
          <t>A 20051-2019</t>
        </is>
      </c>
      <c r="B856" s="1" t="n">
        <v>43570</v>
      </c>
      <c r="C856" s="1" t="n">
        <v>45224</v>
      </c>
      <c r="D856" t="inlineStr">
        <is>
          <t>STOCKHOLMS LÄN</t>
        </is>
      </c>
      <c r="E856" t="inlineStr">
        <is>
          <t>NORRTÄLJE</t>
        </is>
      </c>
      <c r="G856" t="n">
        <v>1.4</v>
      </c>
      <c r="H856" t="n">
        <v>0</v>
      </c>
      <c r="I856" t="n">
        <v>0</v>
      </c>
      <c r="J856" t="n">
        <v>0</v>
      </c>
      <c r="K856" t="n">
        <v>0</v>
      </c>
      <c r="L856" t="n">
        <v>0</v>
      </c>
      <c r="M856" t="n">
        <v>0</v>
      </c>
      <c r="N856" t="n">
        <v>0</v>
      </c>
      <c r="O856" t="n">
        <v>0</v>
      </c>
      <c r="P856" t="n">
        <v>0</v>
      </c>
      <c r="Q856" t="n">
        <v>0</v>
      </c>
      <c r="R856" s="2" t="inlineStr"/>
    </row>
    <row r="857" ht="15" customHeight="1">
      <c r="A857" t="inlineStr">
        <is>
          <t>A 20184-2019</t>
        </is>
      </c>
      <c r="B857" s="1" t="n">
        <v>43570</v>
      </c>
      <c r="C857" s="1" t="n">
        <v>45224</v>
      </c>
      <c r="D857" t="inlineStr">
        <is>
          <t>STOCKHOLMS LÄN</t>
        </is>
      </c>
      <c r="E857" t="inlineStr">
        <is>
          <t>NORRTÄLJE</t>
        </is>
      </c>
      <c r="G857" t="n">
        <v>2.8</v>
      </c>
      <c r="H857" t="n">
        <v>0</v>
      </c>
      <c r="I857" t="n">
        <v>0</v>
      </c>
      <c r="J857" t="n">
        <v>0</v>
      </c>
      <c r="K857" t="n">
        <v>0</v>
      </c>
      <c r="L857" t="n">
        <v>0</v>
      </c>
      <c r="M857" t="n">
        <v>0</v>
      </c>
      <c r="N857" t="n">
        <v>0</v>
      </c>
      <c r="O857" t="n">
        <v>0</v>
      </c>
      <c r="P857" t="n">
        <v>0</v>
      </c>
      <c r="Q857" t="n">
        <v>0</v>
      </c>
      <c r="R857" s="2" t="inlineStr"/>
    </row>
    <row r="858" ht="15" customHeight="1">
      <c r="A858" t="inlineStr">
        <is>
          <t>A 20023-2019</t>
        </is>
      </c>
      <c r="B858" s="1" t="n">
        <v>43570</v>
      </c>
      <c r="C858" s="1" t="n">
        <v>45224</v>
      </c>
      <c r="D858" t="inlineStr">
        <is>
          <t>STOCKHOLMS LÄN</t>
        </is>
      </c>
      <c r="E858" t="inlineStr">
        <is>
          <t>NORRTÄLJE</t>
        </is>
      </c>
      <c r="G858" t="n">
        <v>5.1</v>
      </c>
      <c r="H858" t="n">
        <v>0</v>
      </c>
      <c r="I858" t="n">
        <v>0</v>
      </c>
      <c r="J858" t="n">
        <v>0</v>
      </c>
      <c r="K858" t="n">
        <v>0</v>
      </c>
      <c r="L858" t="n">
        <v>0</v>
      </c>
      <c r="M858" t="n">
        <v>0</v>
      </c>
      <c r="N858" t="n">
        <v>0</v>
      </c>
      <c r="O858" t="n">
        <v>0</v>
      </c>
      <c r="P858" t="n">
        <v>0</v>
      </c>
      <c r="Q858" t="n">
        <v>0</v>
      </c>
      <c r="R858" s="2" t="inlineStr"/>
    </row>
    <row r="859" ht="15" customHeight="1">
      <c r="A859" t="inlineStr">
        <is>
          <t>A 20033-2019</t>
        </is>
      </c>
      <c r="B859" s="1" t="n">
        <v>43570</v>
      </c>
      <c r="C859" s="1" t="n">
        <v>45224</v>
      </c>
      <c r="D859" t="inlineStr">
        <is>
          <t>STOCKHOLMS LÄN</t>
        </is>
      </c>
      <c r="E859" t="inlineStr">
        <is>
          <t>NORRTÄLJE</t>
        </is>
      </c>
      <c r="G859" t="n">
        <v>1.3</v>
      </c>
      <c r="H859" t="n">
        <v>0</v>
      </c>
      <c r="I859" t="n">
        <v>0</v>
      </c>
      <c r="J859" t="n">
        <v>0</v>
      </c>
      <c r="K859" t="n">
        <v>0</v>
      </c>
      <c r="L859" t="n">
        <v>0</v>
      </c>
      <c r="M859" t="n">
        <v>0</v>
      </c>
      <c r="N859" t="n">
        <v>0</v>
      </c>
      <c r="O859" t="n">
        <v>0</v>
      </c>
      <c r="P859" t="n">
        <v>0</v>
      </c>
      <c r="Q859" t="n">
        <v>0</v>
      </c>
      <c r="R859" s="2" t="inlineStr"/>
    </row>
    <row r="860" ht="15" customHeight="1">
      <c r="A860" t="inlineStr">
        <is>
          <t>A 20090-2019</t>
        </is>
      </c>
      <c r="B860" s="1" t="n">
        <v>43570</v>
      </c>
      <c r="C860" s="1" t="n">
        <v>45224</v>
      </c>
      <c r="D860" t="inlineStr">
        <is>
          <t>STOCKHOLMS LÄN</t>
        </is>
      </c>
      <c r="E860" t="inlineStr">
        <is>
          <t>NORRTÄLJE</t>
        </is>
      </c>
      <c r="F860" t="inlineStr">
        <is>
          <t>Kommuner</t>
        </is>
      </c>
      <c r="G860" t="n">
        <v>1.3</v>
      </c>
      <c r="H860" t="n">
        <v>0</v>
      </c>
      <c r="I860" t="n">
        <v>0</v>
      </c>
      <c r="J860" t="n">
        <v>0</v>
      </c>
      <c r="K860" t="n">
        <v>0</v>
      </c>
      <c r="L860" t="n">
        <v>0</v>
      </c>
      <c r="M860" t="n">
        <v>0</v>
      </c>
      <c r="N860" t="n">
        <v>0</v>
      </c>
      <c r="O860" t="n">
        <v>0</v>
      </c>
      <c r="P860" t="n">
        <v>0</v>
      </c>
      <c r="Q860" t="n">
        <v>0</v>
      </c>
      <c r="R860" s="2" t="inlineStr"/>
    </row>
    <row r="861" ht="15" customHeight="1">
      <c r="A861" t="inlineStr">
        <is>
          <t>A 20193-2019</t>
        </is>
      </c>
      <c r="B861" s="1" t="n">
        <v>43570</v>
      </c>
      <c r="C861" s="1" t="n">
        <v>45224</v>
      </c>
      <c r="D861" t="inlineStr">
        <is>
          <t>STOCKHOLMS LÄN</t>
        </is>
      </c>
      <c r="E861" t="inlineStr">
        <is>
          <t>NORRTÄLJE</t>
        </is>
      </c>
      <c r="G861" t="n">
        <v>1.7</v>
      </c>
      <c r="H861" t="n">
        <v>0</v>
      </c>
      <c r="I861" t="n">
        <v>0</v>
      </c>
      <c r="J861" t="n">
        <v>0</v>
      </c>
      <c r="K861" t="n">
        <v>0</v>
      </c>
      <c r="L861" t="n">
        <v>0</v>
      </c>
      <c r="M861" t="n">
        <v>0</v>
      </c>
      <c r="N861" t="n">
        <v>0</v>
      </c>
      <c r="O861" t="n">
        <v>0</v>
      </c>
      <c r="P861" t="n">
        <v>0</v>
      </c>
      <c r="Q861" t="n">
        <v>0</v>
      </c>
      <c r="R861" s="2" t="inlineStr"/>
    </row>
    <row r="862" ht="15" customHeight="1">
      <c r="A862" t="inlineStr">
        <is>
          <t>A 20531-2019</t>
        </is>
      </c>
      <c r="B862" s="1" t="n">
        <v>43572</v>
      </c>
      <c r="C862" s="1" t="n">
        <v>45224</v>
      </c>
      <c r="D862" t="inlineStr">
        <is>
          <t>STOCKHOLMS LÄN</t>
        </is>
      </c>
      <c r="E862" t="inlineStr">
        <is>
          <t>NORRTÄLJE</t>
        </is>
      </c>
      <c r="G862" t="n">
        <v>2</v>
      </c>
      <c r="H862" t="n">
        <v>0</v>
      </c>
      <c r="I862" t="n">
        <v>0</v>
      </c>
      <c r="J862" t="n">
        <v>0</v>
      </c>
      <c r="K862" t="n">
        <v>0</v>
      </c>
      <c r="L862" t="n">
        <v>0</v>
      </c>
      <c r="M862" t="n">
        <v>0</v>
      </c>
      <c r="N862" t="n">
        <v>0</v>
      </c>
      <c r="O862" t="n">
        <v>0</v>
      </c>
      <c r="P862" t="n">
        <v>0</v>
      </c>
      <c r="Q862" t="n">
        <v>0</v>
      </c>
      <c r="R862" s="2" t="inlineStr"/>
    </row>
    <row r="863" ht="15" customHeight="1">
      <c r="A863" t="inlineStr">
        <is>
          <t>A 20809-2019</t>
        </is>
      </c>
      <c r="B863" s="1" t="n">
        <v>43573</v>
      </c>
      <c r="C863" s="1" t="n">
        <v>45224</v>
      </c>
      <c r="D863" t="inlineStr">
        <is>
          <t>STOCKHOLMS LÄN</t>
        </is>
      </c>
      <c r="E863" t="inlineStr">
        <is>
          <t>NORRTÄLJE</t>
        </is>
      </c>
      <c r="F863" t="inlineStr">
        <is>
          <t>Kommuner</t>
        </is>
      </c>
      <c r="G863" t="n">
        <v>2.2</v>
      </c>
      <c r="H863" t="n">
        <v>0</v>
      </c>
      <c r="I863" t="n">
        <v>0</v>
      </c>
      <c r="J863" t="n">
        <v>0</v>
      </c>
      <c r="K863" t="n">
        <v>0</v>
      </c>
      <c r="L863" t="n">
        <v>0</v>
      </c>
      <c r="M863" t="n">
        <v>0</v>
      </c>
      <c r="N863" t="n">
        <v>0</v>
      </c>
      <c r="O863" t="n">
        <v>0</v>
      </c>
      <c r="P863" t="n">
        <v>0</v>
      </c>
      <c r="Q863" t="n">
        <v>0</v>
      </c>
      <c r="R863" s="2" t="inlineStr"/>
    </row>
    <row r="864" ht="15" customHeight="1">
      <c r="A864" t="inlineStr">
        <is>
          <t>A 20743-2019</t>
        </is>
      </c>
      <c r="B864" s="1" t="n">
        <v>43573</v>
      </c>
      <c r="C864" s="1" t="n">
        <v>45224</v>
      </c>
      <c r="D864" t="inlineStr">
        <is>
          <t>STOCKHOLMS LÄN</t>
        </is>
      </c>
      <c r="E864" t="inlineStr">
        <is>
          <t>NORRTÄLJE</t>
        </is>
      </c>
      <c r="G864" t="n">
        <v>2.2</v>
      </c>
      <c r="H864" t="n">
        <v>0</v>
      </c>
      <c r="I864" t="n">
        <v>0</v>
      </c>
      <c r="J864" t="n">
        <v>0</v>
      </c>
      <c r="K864" t="n">
        <v>0</v>
      </c>
      <c r="L864" t="n">
        <v>0</v>
      </c>
      <c r="M864" t="n">
        <v>0</v>
      </c>
      <c r="N864" t="n">
        <v>0</v>
      </c>
      <c r="O864" t="n">
        <v>0</v>
      </c>
      <c r="P864" t="n">
        <v>0</v>
      </c>
      <c r="Q864" t="n">
        <v>0</v>
      </c>
      <c r="R864" s="2" t="inlineStr"/>
    </row>
    <row r="865" ht="15" customHeight="1">
      <c r="A865" t="inlineStr">
        <is>
          <t>A 20925-2019</t>
        </is>
      </c>
      <c r="B865" s="1" t="n">
        <v>43578</v>
      </c>
      <c r="C865" s="1" t="n">
        <v>45224</v>
      </c>
      <c r="D865" t="inlineStr">
        <is>
          <t>STOCKHOLMS LÄN</t>
        </is>
      </c>
      <c r="E865" t="inlineStr">
        <is>
          <t>NORRTÄLJE</t>
        </is>
      </c>
      <c r="G865" t="n">
        <v>5</v>
      </c>
      <c r="H865" t="n">
        <v>0</v>
      </c>
      <c r="I865" t="n">
        <v>0</v>
      </c>
      <c r="J865" t="n">
        <v>0</v>
      </c>
      <c r="K865" t="n">
        <v>0</v>
      </c>
      <c r="L865" t="n">
        <v>0</v>
      </c>
      <c r="M865" t="n">
        <v>0</v>
      </c>
      <c r="N865" t="n">
        <v>0</v>
      </c>
      <c r="O865" t="n">
        <v>0</v>
      </c>
      <c r="P865" t="n">
        <v>0</v>
      </c>
      <c r="Q865" t="n">
        <v>0</v>
      </c>
      <c r="R865" s="2" t="inlineStr"/>
    </row>
    <row r="866" ht="15" customHeight="1">
      <c r="A866" t="inlineStr">
        <is>
          <t>A 21062-2019</t>
        </is>
      </c>
      <c r="B866" s="1" t="n">
        <v>43578</v>
      </c>
      <c r="C866" s="1" t="n">
        <v>45224</v>
      </c>
      <c r="D866" t="inlineStr">
        <is>
          <t>STOCKHOLMS LÄN</t>
        </is>
      </c>
      <c r="E866" t="inlineStr">
        <is>
          <t>NORRTÄLJE</t>
        </is>
      </c>
      <c r="G866" t="n">
        <v>2.7</v>
      </c>
      <c r="H866" t="n">
        <v>0</v>
      </c>
      <c r="I866" t="n">
        <v>0</v>
      </c>
      <c r="J866" t="n">
        <v>0</v>
      </c>
      <c r="K866" t="n">
        <v>0</v>
      </c>
      <c r="L866" t="n">
        <v>0</v>
      </c>
      <c r="M866" t="n">
        <v>0</v>
      </c>
      <c r="N866" t="n">
        <v>0</v>
      </c>
      <c r="O866" t="n">
        <v>0</v>
      </c>
      <c r="P866" t="n">
        <v>0</v>
      </c>
      <c r="Q866" t="n">
        <v>0</v>
      </c>
      <c r="R866" s="2" t="inlineStr"/>
    </row>
    <row r="867" ht="15" customHeight="1">
      <c r="A867" t="inlineStr">
        <is>
          <t>A 21441-2019</t>
        </is>
      </c>
      <c r="B867" s="1" t="n">
        <v>43580</v>
      </c>
      <c r="C867" s="1" t="n">
        <v>45224</v>
      </c>
      <c r="D867" t="inlineStr">
        <is>
          <t>STOCKHOLMS LÄN</t>
        </is>
      </c>
      <c r="E867" t="inlineStr">
        <is>
          <t>NORRTÄLJE</t>
        </is>
      </c>
      <c r="G867" t="n">
        <v>0.7</v>
      </c>
      <c r="H867" t="n">
        <v>0</v>
      </c>
      <c r="I867" t="n">
        <v>0</v>
      </c>
      <c r="J867" t="n">
        <v>0</v>
      </c>
      <c r="K867" t="n">
        <v>0</v>
      </c>
      <c r="L867" t="n">
        <v>0</v>
      </c>
      <c r="M867" t="n">
        <v>0</v>
      </c>
      <c r="N867" t="n">
        <v>0</v>
      </c>
      <c r="O867" t="n">
        <v>0</v>
      </c>
      <c r="P867" t="n">
        <v>0</v>
      </c>
      <c r="Q867" t="n">
        <v>0</v>
      </c>
      <c r="R867" s="2" t="inlineStr"/>
    </row>
    <row r="868" ht="15" customHeight="1">
      <c r="A868" t="inlineStr">
        <is>
          <t>A 21501-2019</t>
        </is>
      </c>
      <c r="B868" s="1" t="n">
        <v>43580</v>
      </c>
      <c r="C868" s="1" t="n">
        <v>45224</v>
      </c>
      <c r="D868" t="inlineStr">
        <is>
          <t>STOCKHOLMS LÄN</t>
        </is>
      </c>
      <c r="E868" t="inlineStr">
        <is>
          <t>NORRTÄLJE</t>
        </is>
      </c>
      <c r="G868" t="n">
        <v>3.6</v>
      </c>
      <c r="H868" t="n">
        <v>0</v>
      </c>
      <c r="I868" t="n">
        <v>0</v>
      </c>
      <c r="J868" t="n">
        <v>0</v>
      </c>
      <c r="K868" t="n">
        <v>0</v>
      </c>
      <c r="L868" t="n">
        <v>0</v>
      </c>
      <c r="M868" t="n">
        <v>0</v>
      </c>
      <c r="N868" t="n">
        <v>0</v>
      </c>
      <c r="O868" t="n">
        <v>0</v>
      </c>
      <c r="P868" t="n">
        <v>0</v>
      </c>
      <c r="Q868" t="n">
        <v>0</v>
      </c>
      <c r="R868" s="2" t="inlineStr"/>
    </row>
    <row r="869" ht="15" customHeight="1">
      <c r="A869" t="inlineStr">
        <is>
          <t>A 21457-2019</t>
        </is>
      </c>
      <c r="B869" s="1" t="n">
        <v>43580</v>
      </c>
      <c r="C869" s="1" t="n">
        <v>45224</v>
      </c>
      <c r="D869" t="inlineStr">
        <is>
          <t>STOCKHOLMS LÄN</t>
        </is>
      </c>
      <c r="E869" t="inlineStr">
        <is>
          <t>NORRTÄLJE</t>
        </is>
      </c>
      <c r="G869" t="n">
        <v>2.6</v>
      </c>
      <c r="H869" t="n">
        <v>0</v>
      </c>
      <c r="I869" t="n">
        <v>0</v>
      </c>
      <c r="J869" t="n">
        <v>0</v>
      </c>
      <c r="K869" t="n">
        <v>0</v>
      </c>
      <c r="L869" t="n">
        <v>0</v>
      </c>
      <c r="M869" t="n">
        <v>0</v>
      </c>
      <c r="N869" t="n">
        <v>0</v>
      </c>
      <c r="O869" t="n">
        <v>0</v>
      </c>
      <c r="P869" t="n">
        <v>0</v>
      </c>
      <c r="Q869" t="n">
        <v>0</v>
      </c>
      <c r="R869" s="2" t="inlineStr"/>
    </row>
    <row r="870" ht="15" customHeight="1">
      <c r="A870" t="inlineStr">
        <is>
          <t>A 21508-2019</t>
        </is>
      </c>
      <c r="B870" s="1" t="n">
        <v>43580</v>
      </c>
      <c r="C870" s="1" t="n">
        <v>45224</v>
      </c>
      <c r="D870" t="inlineStr">
        <is>
          <t>STOCKHOLMS LÄN</t>
        </is>
      </c>
      <c r="E870" t="inlineStr">
        <is>
          <t>NORRTÄLJE</t>
        </is>
      </c>
      <c r="G870" t="n">
        <v>1.2</v>
      </c>
      <c r="H870" t="n">
        <v>0</v>
      </c>
      <c r="I870" t="n">
        <v>0</v>
      </c>
      <c r="J870" t="n">
        <v>0</v>
      </c>
      <c r="K870" t="n">
        <v>0</v>
      </c>
      <c r="L870" t="n">
        <v>0</v>
      </c>
      <c r="M870" t="n">
        <v>0</v>
      </c>
      <c r="N870" t="n">
        <v>0</v>
      </c>
      <c r="O870" t="n">
        <v>0</v>
      </c>
      <c r="P870" t="n">
        <v>0</v>
      </c>
      <c r="Q870" t="n">
        <v>0</v>
      </c>
      <c r="R870" s="2" t="inlineStr"/>
    </row>
    <row r="871" ht="15" customHeight="1">
      <c r="A871" t="inlineStr">
        <is>
          <t>A 21521-2019</t>
        </is>
      </c>
      <c r="B871" s="1" t="n">
        <v>43580</v>
      </c>
      <c r="C871" s="1" t="n">
        <v>45224</v>
      </c>
      <c r="D871" t="inlineStr">
        <is>
          <t>STOCKHOLMS LÄN</t>
        </is>
      </c>
      <c r="E871" t="inlineStr">
        <is>
          <t>NORRTÄLJE</t>
        </is>
      </c>
      <c r="G871" t="n">
        <v>0.9</v>
      </c>
      <c r="H871" t="n">
        <v>0</v>
      </c>
      <c r="I871" t="n">
        <v>0</v>
      </c>
      <c r="J871" t="n">
        <v>0</v>
      </c>
      <c r="K871" t="n">
        <v>0</v>
      </c>
      <c r="L871" t="n">
        <v>0</v>
      </c>
      <c r="M871" t="n">
        <v>0</v>
      </c>
      <c r="N871" t="n">
        <v>0</v>
      </c>
      <c r="O871" t="n">
        <v>0</v>
      </c>
      <c r="P871" t="n">
        <v>0</v>
      </c>
      <c r="Q871" t="n">
        <v>0</v>
      </c>
      <c r="R871" s="2" t="inlineStr"/>
    </row>
    <row r="872" ht="15" customHeight="1">
      <c r="A872" t="inlineStr">
        <is>
          <t>A 21720-2019</t>
        </is>
      </c>
      <c r="B872" s="1" t="n">
        <v>43581</v>
      </c>
      <c r="C872" s="1" t="n">
        <v>45224</v>
      </c>
      <c r="D872" t="inlineStr">
        <is>
          <t>STOCKHOLMS LÄN</t>
        </is>
      </c>
      <c r="E872" t="inlineStr">
        <is>
          <t>NORRTÄLJE</t>
        </is>
      </c>
      <c r="F872" t="inlineStr">
        <is>
          <t>Kommuner</t>
        </is>
      </c>
      <c r="G872" t="n">
        <v>1.5</v>
      </c>
      <c r="H872" t="n">
        <v>0</v>
      </c>
      <c r="I872" t="n">
        <v>0</v>
      </c>
      <c r="J872" t="n">
        <v>0</v>
      </c>
      <c r="K872" t="n">
        <v>0</v>
      </c>
      <c r="L872" t="n">
        <v>0</v>
      </c>
      <c r="M872" t="n">
        <v>0</v>
      </c>
      <c r="N872" t="n">
        <v>0</v>
      </c>
      <c r="O872" t="n">
        <v>0</v>
      </c>
      <c r="P872" t="n">
        <v>0</v>
      </c>
      <c r="Q872" t="n">
        <v>0</v>
      </c>
      <c r="R872" s="2" t="inlineStr"/>
    </row>
    <row r="873" ht="15" customHeight="1">
      <c r="A873" t="inlineStr">
        <is>
          <t>A 21616-2019</t>
        </is>
      </c>
      <c r="B873" s="1" t="n">
        <v>43581</v>
      </c>
      <c r="C873" s="1" t="n">
        <v>45224</v>
      </c>
      <c r="D873" t="inlineStr">
        <is>
          <t>STOCKHOLMS LÄN</t>
        </is>
      </c>
      <c r="E873" t="inlineStr">
        <is>
          <t>NORRTÄLJE</t>
        </is>
      </c>
      <c r="G873" t="n">
        <v>5.3</v>
      </c>
      <c r="H873" t="n">
        <v>0</v>
      </c>
      <c r="I873" t="n">
        <v>0</v>
      </c>
      <c r="J873" t="n">
        <v>0</v>
      </c>
      <c r="K873" t="n">
        <v>0</v>
      </c>
      <c r="L873" t="n">
        <v>0</v>
      </c>
      <c r="M873" t="n">
        <v>0</v>
      </c>
      <c r="N873" t="n">
        <v>0</v>
      </c>
      <c r="O873" t="n">
        <v>0</v>
      </c>
      <c r="P873" t="n">
        <v>0</v>
      </c>
      <c r="Q873" t="n">
        <v>0</v>
      </c>
      <c r="R873" s="2" t="inlineStr"/>
    </row>
    <row r="874" ht="15" customHeight="1">
      <c r="A874" t="inlineStr">
        <is>
          <t>A 21662-2019</t>
        </is>
      </c>
      <c r="B874" s="1" t="n">
        <v>43581</v>
      </c>
      <c r="C874" s="1" t="n">
        <v>45224</v>
      </c>
      <c r="D874" t="inlineStr">
        <is>
          <t>STOCKHOLMS LÄN</t>
        </is>
      </c>
      <c r="E874" t="inlineStr">
        <is>
          <t>NORRTÄLJE</t>
        </is>
      </c>
      <c r="G874" t="n">
        <v>1.5</v>
      </c>
      <c r="H874" t="n">
        <v>0</v>
      </c>
      <c r="I874" t="n">
        <v>0</v>
      </c>
      <c r="J874" t="n">
        <v>0</v>
      </c>
      <c r="K874" t="n">
        <v>0</v>
      </c>
      <c r="L874" t="n">
        <v>0</v>
      </c>
      <c r="M874" t="n">
        <v>0</v>
      </c>
      <c r="N874" t="n">
        <v>0</v>
      </c>
      <c r="O874" t="n">
        <v>0</v>
      </c>
      <c r="P874" t="n">
        <v>0</v>
      </c>
      <c r="Q874" t="n">
        <v>0</v>
      </c>
      <c r="R874" s="2" t="inlineStr"/>
    </row>
    <row r="875" ht="15" customHeight="1">
      <c r="A875" t="inlineStr">
        <is>
          <t>A 21811-2019</t>
        </is>
      </c>
      <c r="B875" s="1" t="n">
        <v>43582</v>
      </c>
      <c r="C875" s="1" t="n">
        <v>45224</v>
      </c>
      <c r="D875" t="inlineStr">
        <is>
          <t>STOCKHOLMS LÄN</t>
        </is>
      </c>
      <c r="E875" t="inlineStr">
        <is>
          <t>NORRTÄLJE</t>
        </is>
      </c>
      <c r="G875" t="n">
        <v>1.4</v>
      </c>
      <c r="H875" t="n">
        <v>0</v>
      </c>
      <c r="I875" t="n">
        <v>0</v>
      </c>
      <c r="J875" t="n">
        <v>0</v>
      </c>
      <c r="K875" t="n">
        <v>0</v>
      </c>
      <c r="L875" t="n">
        <v>0</v>
      </c>
      <c r="M875" t="n">
        <v>0</v>
      </c>
      <c r="N875" t="n">
        <v>0</v>
      </c>
      <c r="O875" t="n">
        <v>0</v>
      </c>
      <c r="P875" t="n">
        <v>0</v>
      </c>
      <c r="Q875" t="n">
        <v>0</v>
      </c>
      <c r="R875" s="2" t="inlineStr"/>
    </row>
    <row r="876" ht="15" customHeight="1">
      <c r="A876" t="inlineStr">
        <is>
          <t>A 22218-2019</t>
        </is>
      </c>
      <c r="B876" s="1" t="n">
        <v>43585</v>
      </c>
      <c r="C876" s="1" t="n">
        <v>45224</v>
      </c>
      <c r="D876" t="inlineStr">
        <is>
          <t>STOCKHOLMS LÄN</t>
        </is>
      </c>
      <c r="E876" t="inlineStr">
        <is>
          <t>NORRTÄLJE</t>
        </is>
      </c>
      <c r="G876" t="n">
        <v>1.3</v>
      </c>
      <c r="H876" t="n">
        <v>0</v>
      </c>
      <c r="I876" t="n">
        <v>0</v>
      </c>
      <c r="J876" t="n">
        <v>0</v>
      </c>
      <c r="K876" t="n">
        <v>0</v>
      </c>
      <c r="L876" t="n">
        <v>0</v>
      </c>
      <c r="M876" t="n">
        <v>0</v>
      </c>
      <c r="N876" t="n">
        <v>0</v>
      </c>
      <c r="O876" t="n">
        <v>0</v>
      </c>
      <c r="P876" t="n">
        <v>0</v>
      </c>
      <c r="Q876" t="n">
        <v>0</v>
      </c>
      <c r="R876" s="2" t="inlineStr"/>
    </row>
    <row r="877" ht="15" customHeight="1">
      <c r="A877" t="inlineStr">
        <is>
          <t>A 22207-2019</t>
        </is>
      </c>
      <c r="B877" s="1" t="n">
        <v>43585</v>
      </c>
      <c r="C877" s="1" t="n">
        <v>45224</v>
      </c>
      <c r="D877" t="inlineStr">
        <is>
          <t>STOCKHOLMS LÄN</t>
        </is>
      </c>
      <c r="E877" t="inlineStr">
        <is>
          <t>NORRTÄLJE</t>
        </is>
      </c>
      <c r="G877" t="n">
        <v>0.8</v>
      </c>
      <c r="H877" t="n">
        <v>0</v>
      </c>
      <c r="I877" t="n">
        <v>0</v>
      </c>
      <c r="J877" t="n">
        <v>0</v>
      </c>
      <c r="K877" t="n">
        <v>0</v>
      </c>
      <c r="L877" t="n">
        <v>0</v>
      </c>
      <c r="M877" t="n">
        <v>0</v>
      </c>
      <c r="N877" t="n">
        <v>0</v>
      </c>
      <c r="O877" t="n">
        <v>0</v>
      </c>
      <c r="P877" t="n">
        <v>0</v>
      </c>
      <c r="Q877" t="n">
        <v>0</v>
      </c>
      <c r="R877" s="2" t="inlineStr"/>
    </row>
    <row r="878" ht="15" customHeight="1">
      <c r="A878" t="inlineStr">
        <is>
          <t>A 22211-2019</t>
        </is>
      </c>
      <c r="B878" s="1" t="n">
        <v>43585</v>
      </c>
      <c r="C878" s="1" t="n">
        <v>45224</v>
      </c>
      <c r="D878" t="inlineStr">
        <is>
          <t>STOCKHOLMS LÄN</t>
        </is>
      </c>
      <c r="E878" t="inlineStr">
        <is>
          <t>NORRTÄLJE</t>
        </is>
      </c>
      <c r="G878" t="n">
        <v>6.8</v>
      </c>
      <c r="H878" t="n">
        <v>0</v>
      </c>
      <c r="I878" t="n">
        <v>0</v>
      </c>
      <c r="J878" t="n">
        <v>0</v>
      </c>
      <c r="K878" t="n">
        <v>0</v>
      </c>
      <c r="L878" t="n">
        <v>0</v>
      </c>
      <c r="M878" t="n">
        <v>0</v>
      </c>
      <c r="N878" t="n">
        <v>0</v>
      </c>
      <c r="O878" t="n">
        <v>0</v>
      </c>
      <c r="P878" t="n">
        <v>0</v>
      </c>
      <c r="Q878" t="n">
        <v>0</v>
      </c>
      <c r="R878" s="2" t="inlineStr"/>
    </row>
    <row r="879" ht="15" customHeight="1">
      <c r="A879" t="inlineStr">
        <is>
          <t>A 22254-2019</t>
        </is>
      </c>
      <c r="B879" s="1" t="n">
        <v>43585</v>
      </c>
      <c r="C879" s="1" t="n">
        <v>45224</v>
      </c>
      <c r="D879" t="inlineStr">
        <is>
          <t>STOCKHOLMS LÄN</t>
        </is>
      </c>
      <c r="E879" t="inlineStr">
        <is>
          <t>NORRTÄLJE</t>
        </is>
      </c>
      <c r="G879" t="n">
        <v>1.3</v>
      </c>
      <c r="H879" t="n">
        <v>0</v>
      </c>
      <c r="I879" t="n">
        <v>0</v>
      </c>
      <c r="J879" t="n">
        <v>0</v>
      </c>
      <c r="K879" t="n">
        <v>0</v>
      </c>
      <c r="L879" t="n">
        <v>0</v>
      </c>
      <c r="M879" t="n">
        <v>0</v>
      </c>
      <c r="N879" t="n">
        <v>0</v>
      </c>
      <c r="O879" t="n">
        <v>0</v>
      </c>
      <c r="P879" t="n">
        <v>0</v>
      </c>
      <c r="Q879" t="n">
        <v>0</v>
      </c>
      <c r="R879" s="2" t="inlineStr"/>
    </row>
    <row r="880" ht="15" customHeight="1">
      <c r="A880" t="inlineStr">
        <is>
          <t>A 22331-2019</t>
        </is>
      </c>
      <c r="B880" s="1" t="n">
        <v>43586</v>
      </c>
      <c r="C880" s="1" t="n">
        <v>45224</v>
      </c>
      <c r="D880" t="inlineStr">
        <is>
          <t>STOCKHOLMS LÄN</t>
        </is>
      </c>
      <c r="E880" t="inlineStr">
        <is>
          <t>NORRTÄLJE</t>
        </is>
      </c>
      <c r="G880" t="n">
        <v>2.6</v>
      </c>
      <c r="H880" t="n">
        <v>0</v>
      </c>
      <c r="I880" t="n">
        <v>0</v>
      </c>
      <c r="J880" t="n">
        <v>0</v>
      </c>
      <c r="K880" t="n">
        <v>0</v>
      </c>
      <c r="L880" t="n">
        <v>0</v>
      </c>
      <c r="M880" t="n">
        <v>0</v>
      </c>
      <c r="N880" t="n">
        <v>0</v>
      </c>
      <c r="O880" t="n">
        <v>0</v>
      </c>
      <c r="P880" t="n">
        <v>0</v>
      </c>
      <c r="Q880" t="n">
        <v>0</v>
      </c>
      <c r="R880" s="2" t="inlineStr"/>
    </row>
    <row r="881" ht="15" customHeight="1">
      <c r="A881" t="inlineStr">
        <is>
          <t>A 22359-2019</t>
        </is>
      </c>
      <c r="B881" s="1" t="n">
        <v>43587</v>
      </c>
      <c r="C881" s="1" t="n">
        <v>45224</v>
      </c>
      <c r="D881" t="inlineStr">
        <is>
          <t>STOCKHOLMS LÄN</t>
        </is>
      </c>
      <c r="E881" t="inlineStr">
        <is>
          <t>NORRTÄLJE</t>
        </is>
      </c>
      <c r="G881" t="n">
        <v>1.1</v>
      </c>
      <c r="H881" t="n">
        <v>0</v>
      </c>
      <c r="I881" t="n">
        <v>0</v>
      </c>
      <c r="J881" t="n">
        <v>0</v>
      </c>
      <c r="K881" t="n">
        <v>0</v>
      </c>
      <c r="L881" t="n">
        <v>0</v>
      </c>
      <c r="M881" t="n">
        <v>0</v>
      </c>
      <c r="N881" t="n">
        <v>0</v>
      </c>
      <c r="O881" t="n">
        <v>0</v>
      </c>
      <c r="P881" t="n">
        <v>0</v>
      </c>
      <c r="Q881" t="n">
        <v>0</v>
      </c>
      <c r="R881" s="2" t="inlineStr"/>
    </row>
    <row r="882" ht="15" customHeight="1">
      <c r="A882" t="inlineStr">
        <is>
          <t>A 22422-2019</t>
        </is>
      </c>
      <c r="B882" s="1" t="n">
        <v>43587</v>
      </c>
      <c r="C882" s="1" t="n">
        <v>45224</v>
      </c>
      <c r="D882" t="inlineStr">
        <is>
          <t>STOCKHOLMS LÄN</t>
        </is>
      </c>
      <c r="E882" t="inlineStr">
        <is>
          <t>NORRTÄLJE</t>
        </is>
      </c>
      <c r="G882" t="n">
        <v>1.5</v>
      </c>
      <c r="H882" t="n">
        <v>0</v>
      </c>
      <c r="I882" t="n">
        <v>0</v>
      </c>
      <c r="J882" t="n">
        <v>0</v>
      </c>
      <c r="K882" t="n">
        <v>0</v>
      </c>
      <c r="L882" t="n">
        <v>0</v>
      </c>
      <c r="M882" t="n">
        <v>0</v>
      </c>
      <c r="N882" t="n">
        <v>0</v>
      </c>
      <c r="O882" t="n">
        <v>0</v>
      </c>
      <c r="P882" t="n">
        <v>0</v>
      </c>
      <c r="Q882" t="n">
        <v>0</v>
      </c>
      <c r="R882" s="2" t="inlineStr"/>
    </row>
    <row r="883" ht="15" customHeight="1">
      <c r="A883" t="inlineStr">
        <is>
          <t>A 22490-2019</t>
        </is>
      </c>
      <c r="B883" s="1" t="n">
        <v>43587</v>
      </c>
      <c r="C883" s="1" t="n">
        <v>45224</v>
      </c>
      <c r="D883" t="inlineStr">
        <is>
          <t>STOCKHOLMS LÄN</t>
        </is>
      </c>
      <c r="E883" t="inlineStr">
        <is>
          <t>NORRTÄLJE</t>
        </is>
      </c>
      <c r="G883" t="n">
        <v>1.4</v>
      </c>
      <c r="H883" t="n">
        <v>0</v>
      </c>
      <c r="I883" t="n">
        <v>0</v>
      </c>
      <c r="J883" t="n">
        <v>0</v>
      </c>
      <c r="K883" t="n">
        <v>0</v>
      </c>
      <c r="L883" t="n">
        <v>0</v>
      </c>
      <c r="M883" t="n">
        <v>0</v>
      </c>
      <c r="N883" t="n">
        <v>0</v>
      </c>
      <c r="O883" t="n">
        <v>0</v>
      </c>
      <c r="P883" t="n">
        <v>0</v>
      </c>
      <c r="Q883" t="n">
        <v>0</v>
      </c>
      <c r="R883" s="2" t="inlineStr"/>
    </row>
    <row r="884" ht="15" customHeight="1">
      <c r="A884" t="inlineStr">
        <is>
          <t>A 22496-2019</t>
        </is>
      </c>
      <c r="B884" s="1" t="n">
        <v>43587</v>
      </c>
      <c r="C884" s="1" t="n">
        <v>45224</v>
      </c>
      <c r="D884" t="inlineStr">
        <is>
          <t>STOCKHOLMS LÄN</t>
        </is>
      </c>
      <c r="E884" t="inlineStr">
        <is>
          <t>NORRTÄLJE</t>
        </is>
      </c>
      <c r="G884" t="n">
        <v>0.6</v>
      </c>
      <c r="H884" t="n">
        <v>0</v>
      </c>
      <c r="I884" t="n">
        <v>0</v>
      </c>
      <c r="J884" t="n">
        <v>0</v>
      </c>
      <c r="K884" t="n">
        <v>0</v>
      </c>
      <c r="L884" t="n">
        <v>0</v>
      </c>
      <c r="M884" t="n">
        <v>0</v>
      </c>
      <c r="N884" t="n">
        <v>0</v>
      </c>
      <c r="O884" t="n">
        <v>0</v>
      </c>
      <c r="P884" t="n">
        <v>0</v>
      </c>
      <c r="Q884" t="n">
        <v>0</v>
      </c>
      <c r="R884" s="2" t="inlineStr"/>
    </row>
    <row r="885" ht="15" customHeight="1">
      <c r="A885" t="inlineStr">
        <is>
          <t>A 23444-2019</t>
        </is>
      </c>
      <c r="B885" s="1" t="n">
        <v>43592</v>
      </c>
      <c r="C885" s="1" t="n">
        <v>45224</v>
      </c>
      <c r="D885" t="inlineStr">
        <is>
          <t>STOCKHOLMS LÄN</t>
        </is>
      </c>
      <c r="E885" t="inlineStr">
        <is>
          <t>NYNÄSHAMN</t>
        </is>
      </c>
      <c r="F885" t="inlineStr">
        <is>
          <t>Övriga statliga verk och myndigheter</t>
        </is>
      </c>
      <c r="G885" t="n">
        <v>6.9</v>
      </c>
      <c r="H885" t="n">
        <v>0</v>
      </c>
      <c r="I885" t="n">
        <v>0</v>
      </c>
      <c r="J885" t="n">
        <v>0</v>
      </c>
      <c r="K885" t="n">
        <v>0</v>
      </c>
      <c r="L885" t="n">
        <v>0</v>
      </c>
      <c r="M885" t="n">
        <v>0</v>
      </c>
      <c r="N885" t="n">
        <v>0</v>
      </c>
      <c r="O885" t="n">
        <v>0</v>
      </c>
      <c r="P885" t="n">
        <v>0</v>
      </c>
      <c r="Q885" t="n">
        <v>0</v>
      </c>
      <c r="R885" s="2" t="inlineStr"/>
    </row>
    <row r="886" ht="15" customHeight="1">
      <c r="A886" t="inlineStr">
        <is>
          <t>A 23783-2019</t>
        </is>
      </c>
      <c r="B886" s="1" t="n">
        <v>43592</v>
      </c>
      <c r="C886" s="1" t="n">
        <v>45224</v>
      </c>
      <c r="D886" t="inlineStr">
        <is>
          <t>STOCKHOLMS LÄN</t>
        </is>
      </c>
      <c r="E886" t="inlineStr">
        <is>
          <t>NYNÄSHAMN</t>
        </is>
      </c>
      <c r="F886" t="inlineStr">
        <is>
          <t>Övriga statliga verk och myndigheter</t>
        </is>
      </c>
      <c r="G886" t="n">
        <v>7.3</v>
      </c>
      <c r="H886" t="n">
        <v>0</v>
      </c>
      <c r="I886" t="n">
        <v>0</v>
      </c>
      <c r="J886" t="n">
        <v>0</v>
      </c>
      <c r="K886" t="n">
        <v>0</v>
      </c>
      <c r="L886" t="n">
        <v>0</v>
      </c>
      <c r="M886" t="n">
        <v>0</v>
      </c>
      <c r="N886" t="n">
        <v>0</v>
      </c>
      <c r="O886" t="n">
        <v>0</v>
      </c>
      <c r="P886" t="n">
        <v>0</v>
      </c>
      <c r="Q886" t="n">
        <v>0</v>
      </c>
      <c r="R886" s="2" t="inlineStr"/>
    </row>
    <row r="887" ht="15" customHeight="1">
      <c r="A887" t="inlineStr">
        <is>
          <t>A 23342-2019</t>
        </is>
      </c>
      <c r="B887" s="1" t="n">
        <v>43593</v>
      </c>
      <c r="C887" s="1" t="n">
        <v>45224</v>
      </c>
      <c r="D887" t="inlineStr">
        <is>
          <t>STOCKHOLMS LÄN</t>
        </is>
      </c>
      <c r="E887" t="inlineStr">
        <is>
          <t>VÄRMDÖ</t>
        </is>
      </c>
      <c r="G887" t="n">
        <v>4</v>
      </c>
      <c r="H887" t="n">
        <v>0</v>
      </c>
      <c r="I887" t="n">
        <v>0</v>
      </c>
      <c r="J887" t="n">
        <v>0</v>
      </c>
      <c r="K887" t="n">
        <v>0</v>
      </c>
      <c r="L887" t="n">
        <v>0</v>
      </c>
      <c r="M887" t="n">
        <v>0</v>
      </c>
      <c r="N887" t="n">
        <v>0</v>
      </c>
      <c r="O887" t="n">
        <v>0</v>
      </c>
      <c r="P887" t="n">
        <v>0</v>
      </c>
      <c r="Q887" t="n">
        <v>0</v>
      </c>
      <c r="R887" s="2" t="inlineStr"/>
    </row>
    <row r="888" ht="15" customHeight="1">
      <c r="A888" t="inlineStr">
        <is>
          <t>A 23711-2019</t>
        </is>
      </c>
      <c r="B888" s="1" t="n">
        <v>43594</v>
      </c>
      <c r="C888" s="1" t="n">
        <v>45224</v>
      </c>
      <c r="D888" t="inlineStr">
        <is>
          <t>STOCKHOLMS LÄN</t>
        </is>
      </c>
      <c r="E888" t="inlineStr">
        <is>
          <t>NORRTÄLJE</t>
        </is>
      </c>
      <c r="G888" t="n">
        <v>2.6</v>
      </c>
      <c r="H888" t="n">
        <v>0</v>
      </c>
      <c r="I888" t="n">
        <v>0</v>
      </c>
      <c r="J888" t="n">
        <v>0</v>
      </c>
      <c r="K888" t="n">
        <v>0</v>
      </c>
      <c r="L888" t="n">
        <v>0</v>
      </c>
      <c r="M888" t="n">
        <v>0</v>
      </c>
      <c r="N888" t="n">
        <v>0</v>
      </c>
      <c r="O888" t="n">
        <v>0</v>
      </c>
      <c r="P888" t="n">
        <v>0</v>
      </c>
      <c r="Q888" t="n">
        <v>0</v>
      </c>
      <c r="R888" s="2" t="inlineStr"/>
    </row>
    <row r="889" ht="15" customHeight="1">
      <c r="A889" t="inlineStr">
        <is>
          <t>A 23710-2019</t>
        </is>
      </c>
      <c r="B889" s="1" t="n">
        <v>43594</v>
      </c>
      <c r="C889" s="1" t="n">
        <v>45224</v>
      </c>
      <c r="D889" t="inlineStr">
        <is>
          <t>STOCKHOLMS LÄN</t>
        </is>
      </c>
      <c r="E889" t="inlineStr">
        <is>
          <t>NORRTÄLJE</t>
        </is>
      </c>
      <c r="G889" t="n">
        <v>2.2</v>
      </c>
      <c r="H889" t="n">
        <v>0</v>
      </c>
      <c r="I889" t="n">
        <v>0</v>
      </c>
      <c r="J889" t="n">
        <v>0</v>
      </c>
      <c r="K889" t="n">
        <v>0</v>
      </c>
      <c r="L889" t="n">
        <v>0</v>
      </c>
      <c r="M889" t="n">
        <v>0</v>
      </c>
      <c r="N889" t="n">
        <v>0</v>
      </c>
      <c r="O889" t="n">
        <v>0</v>
      </c>
      <c r="P889" t="n">
        <v>0</v>
      </c>
      <c r="Q889" t="n">
        <v>0</v>
      </c>
      <c r="R889" s="2" t="inlineStr"/>
    </row>
    <row r="890" ht="15" customHeight="1">
      <c r="A890" t="inlineStr">
        <is>
          <t>A 23862-2019</t>
        </is>
      </c>
      <c r="B890" s="1" t="n">
        <v>43595</v>
      </c>
      <c r="C890" s="1" t="n">
        <v>45224</v>
      </c>
      <c r="D890" t="inlineStr">
        <is>
          <t>STOCKHOLMS LÄN</t>
        </is>
      </c>
      <c r="E890" t="inlineStr">
        <is>
          <t>NORRTÄLJE</t>
        </is>
      </c>
      <c r="G890" t="n">
        <v>0.9</v>
      </c>
      <c r="H890" t="n">
        <v>0</v>
      </c>
      <c r="I890" t="n">
        <v>0</v>
      </c>
      <c r="J890" t="n">
        <v>0</v>
      </c>
      <c r="K890" t="n">
        <v>0</v>
      </c>
      <c r="L890" t="n">
        <v>0</v>
      </c>
      <c r="M890" t="n">
        <v>0</v>
      </c>
      <c r="N890" t="n">
        <v>0</v>
      </c>
      <c r="O890" t="n">
        <v>0</v>
      </c>
      <c r="P890" t="n">
        <v>0</v>
      </c>
      <c r="Q890" t="n">
        <v>0</v>
      </c>
      <c r="R890" s="2" t="inlineStr"/>
    </row>
    <row r="891" ht="15" customHeight="1">
      <c r="A891" t="inlineStr">
        <is>
          <t>A 23878-2019</t>
        </is>
      </c>
      <c r="B891" s="1" t="n">
        <v>43595</v>
      </c>
      <c r="C891" s="1" t="n">
        <v>45224</v>
      </c>
      <c r="D891" t="inlineStr">
        <is>
          <t>STOCKHOLMS LÄN</t>
        </is>
      </c>
      <c r="E891" t="inlineStr">
        <is>
          <t>NORRTÄLJE</t>
        </is>
      </c>
      <c r="G891" t="n">
        <v>1.3</v>
      </c>
      <c r="H891" t="n">
        <v>0</v>
      </c>
      <c r="I891" t="n">
        <v>0</v>
      </c>
      <c r="J891" t="n">
        <v>0</v>
      </c>
      <c r="K891" t="n">
        <v>0</v>
      </c>
      <c r="L891" t="n">
        <v>0</v>
      </c>
      <c r="M891" t="n">
        <v>0</v>
      </c>
      <c r="N891" t="n">
        <v>0</v>
      </c>
      <c r="O891" t="n">
        <v>0</v>
      </c>
      <c r="P891" t="n">
        <v>0</v>
      </c>
      <c r="Q891" t="n">
        <v>0</v>
      </c>
      <c r="R891" s="2" t="inlineStr"/>
    </row>
    <row r="892" ht="15" customHeight="1">
      <c r="A892" t="inlineStr">
        <is>
          <t>A 23961-2019</t>
        </is>
      </c>
      <c r="B892" s="1" t="n">
        <v>43597</v>
      </c>
      <c r="C892" s="1" t="n">
        <v>45224</v>
      </c>
      <c r="D892" t="inlineStr">
        <is>
          <t>STOCKHOLMS LÄN</t>
        </is>
      </c>
      <c r="E892" t="inlineStr">
        <is>
          <t>NORRTÄLJE</t>
        </is>
      </c>
      <c r="G892" t="n">
        <v>17.6</v>
      </c>
      <c r="H892" t="n">
        <v>0</v>
      </c>
      <c r="I892" t="n">
        <v>0</v>
      </c>
      <c r="J892" t="n">
        <v>0</v>
      </c>
      <c r="K892" t="n">
        <v>0</v>
      </c>
      <c r="L892" t="n">
        <v>0</v>
      </c>
      <c r="M892" t="n">
        <v>0</v>
      </c>
      <c r="N892" t="n">
        <v>0</v>
      </c>
      <c r="O892" t="n">
        <v>0</v>
      </c>
      <c r="P892" t="n">
        <v>0</v>
      </c>
      <c r="Q892" t="n">
        <v>0</v>
      </c>
      <c r="R892" s="2" t="inlineStr"/>
    </row>
    <row r="893" ht="15" customHeight="1">
      <c r="A893" t="inlineStr">
        <is>
          <t>A 23963-2019</t>
        </is>
      </c>
      <c r="B893" s="1" t="n">
        <v>43597</v>
      </c>
      <c r="C893" s="1" t="n">
        <v>45224</v>
      </c>
      <c r="D893" t="inlineStr">
        <is>
          <t>STOCKHOLMS LÄN</t>
        </is>
      </c>
      <c r="E893" t="inlineStr">
        <is>
          <t>NORRTÄLJE</t>
        </is>
      </c>
      <c r="G893" t="n">
        <v>0.6</v>
      </c>
      <c r="H893" t="n">
        <v>0</v>
      </c>
      <c r="I893" t="n">
        <v>0</v>
      </c>
      <c r="J893" t="n">
        <v>0</v>
      </c>
      <c r="K893" t="n">
        <v>0</v>
      </c>
      <c r="L893" t="n">
        <v>0</v>
      </c>
      <c r="M893" t="n">
        <v>0</v>
      </c>
      <c r="N893" t="n">
        <v>0</v>
      </c>
      <c r="O893" t="n">
        <v>0</v>
      </c>
      <c r="P893" t="n">
        <v>0</v>
      </c>
      <c r="Q893" t="n">
        <v>0</v>
      </c>
      <c r="R893" s="2" t="inlineStr"/>
    </row>
    <row r="894" ht="15" customHeight="1">
      <c r="A894" t="inlineStr">
        <is>
          <t>A 23965-2019</t>
        </is>
      </c>
      <c r="B894" s="1" t="n">
        <v>43597</v>
      </c>
      <c r="C894" s="1" t="n">
        <v>45224</v>
      </c>
      <c r="D894" t="inlineStr">
        <is>
          <t>STOCKHOLMS LÄN</t>
        </is>
      </c>
      <c r="E894" t="inlineStr">
        <is>
          <t>NORRTÄLJE</t>
        </is>
      </c>
      <c r="G894" t="n">
        <v>6.1</v>
      </c>
      <c r="H894" t="n">
        <v>0</v>
      </c>
      <c r="I894" t="n">
        <v>0</v>
      </c>
      <c r="J894" t="n">
        <v>0</v>
      </c>
      <c r="K894" t="n">
        <v>0</v>
      </c>
      <c r="L894" t="n">
        <v>0</v>
      </c>
      <c r="M894" t="n">
        <v>0</v>
      </c>
      <c r="N894" t="n">
        <v>0</v>
      </c>
      <c r="O894" t="n">
        <v>0</v>
      </c>
      <c r="P894" t="n">
        <v>0</v>
      </c>
      <c r="Q894" t="n">
        <v>0</v>
      </c>
      <c r="R894" s="2" t="inlineStr"/>
    </row>
    <row r="895" ht="15" customHeight="1">
      <c r="A895" t="inlineStr">
        <is>
          <t>A 24058-2019</t>
        </is>
      </c>
      <c r="B895" s="1" t="n">
        <v>43598</v>
      </c>
      <c r="C895" s="1" t="n">
        <v>45224</v>
      </c>
      <c r="D895" t="inlineStr">
        <is>
          <t>STOCKHOLMS LÄN</t>
        </is>
      </c>
      <c r="E895" t="inlineStr">
        <is>
          <t>NORRTÄLJE</t>
        </is>
      </c>
      <c r="G895" t="n">
        <v>2.5</v>
      </c>
      <c r="H895" t="n">
        <v>0</v>
      </c>
      <c r="I895" t="n">
        <v>0</v>
      </c>
      <c r="J895" t="n">
        <v>0</v>
      </c>
      <c r="K895" t="n">
        <v>0</v>
      </c>
      <c r="L895" t="n">
        <v>0</v>
      </c>
      <c r="M895" t="n">
        <v>0</v>
      </c>
      <c r="N895" t="n">
        <v>0</v>
      </c>
      <c r="O895" t="n">
        <v>0</v>
      </c>
      <c r="P895" t="n">
        <v>0</v>
      </c>
      <c r="Q895" t="n">
        <v>0</v>
      </c>
      <c r="R895" s="2" t="inlineStr"/>
    </row>
    <row r="896" ht="15" customHeight="1">
      <c r="A896" t="inlineStr">
        <is>
          <t>A 24124-2019</t>
        </is>
      </c>
      <c r="B896" s="1" t="n">
        <v>43598</v>
      </c>
      <c r="C896" s="1" t="n">
        <v>45224</v>
      </c>
      <c r="D896" t="inlineStr">
        <is>
          <t>STOCKHOLMS LÄN</t>
        </is>
      </c>
      <c r="E896" t="inlineStr">
        <is>
          <t>NORRTÄLJE</t>
        </is>
      </c>
      <c r="G896" t="n">
        <v>0.7</v>
      </c>
      <c r="H896" t="n">
        <v>0</v>
      </c>
      <c r="I896" t="n">
        <v>0</v>
      </c>
      <c r="J896" t="n">
        <v>0</v>
      </c>
      <c r="K896" t="n">
        <v>0</v>
      </c>
      <c r="L896" t="n">
        <v>0</v>
      </c>
      <c r="M896" t="n">
        <v>0</v>
      </c>
      <c r="N896" t="n">
        <v>0</v>
      </c>
      <c r="O896" t="n">
        <v>0</v>
      </c>
      <c r="P896" t="n">
        <v>0</v>
      </c>
      <c r="Q896" t="n">
        <v>0</v>
      </c>
      <c r="R896" s="2" t="inlineStr"/>
    </row>
    <row r="897" ht="15" customHeight="1">
      <c r="A897" t="inlineStr">
        <is>
          <t>A 24362-2019</t>
        </is>
      </c>
      <c r="B897" s="1" t="n">
        <v>43599</v>
      </c>
      <c r="C897" s="1" t="n">
        <v>45224</v>
      </c>
      <c r="D897" t="inlineStr">
        <is>
          <t>STOCKHOLMS LÄN</t>
        </is>
      </c>
      <c r="E897" t="inlineStr">
        <is>
          <t>NYNÄSHAMN</t>
        </is>
      </c>
      <c r="F897" t="inlineStr">
        <is>
          <t>Kommuner</t>
        </is>
      </c>
      <c r="G897" t="n">
        <v>2.3</v>
      </c>
      <c r="H897" t="n">
        <v>0</v>
      </c>
      <c r="I897" t="n">
        <v>0</v>
      </c>
      <c r="J897" t="n">
        <v>0</v>
      </c>
      <c r="K897" t="n">
        <v>0</v>
      </c>
      <c r="L897" t="n">
        <v>0</v>
      </c>
      <c r="M897" t="n">
        <v>0</v>
      </c>
      <c r="N897" t="n">
        <v>0</v>
      </c>
      <c r="O897" t="n">
        <v>0</v>
      </c>
      <c r="P897" t="n">
        <v>0</v>
      </c>
      <c r="Q897" t="n">
        <v>0</v>
      </c>
      <c r="R897" s="2" t="inlineStr"/>
    </row>
    <row r="898" ht="15" customHeight="1">
      <c r="A898" t="inlineStr">
        <is>
          <t>A 24360-2019</t>
        </is>
      </c>
      <c r="B898" s="1" t="n">
        <v>43599</v>
      </c>
      <c r="C898" s="1" t="n">
        <v>45224</v>
      </c>
      <c r="D898" t="inlineStr">
        <is>
          <t>STOCKHOLMS LÄN</t>
        </is>
      </c>
      <c r="E898" t="inlineStr">
        <is>
          <t>NYNÄSHAMN</t>
        </is>
      </c>
      <c r="F898" t="inlineStr">
        <is>
          <t>Kommuner</t>
        </is>
      </c>
      <c r="G898" t="n">
        <v>1.2</v>
      </c>
      <c r="H898" t="n">
        <v>0</v>
      </c>
      <c r="I898" t="n">
        <v>0</v>
      </c>
      <c r="J898" t="n">
        <v>0</v>
      </c>
      <c r="K898" t="n">
        <v>0</v>
      </c>
      <c r="L898" t="n">
        <v>0</v>
      </c>
      <c r="M898" t="n">
        <v>0</v>
      </c>
      <c r="N898" t="n">
        <v>0</v>
      </c>
      <c r="O898" t="n">
        <v>0</v>
      </c>
      <c r="P898" t="n">
        <v>0</v>
      </c>
      <c r="Q898" t="n">
        <v>0</v>
      </c>
      <c r="R898" s="2" t="inlineStr"/>
    </row>
    <row r="899" ht="15" customHeight="1">
      <c r="A899" t="inlineStr">
        <is>
          <t>A 24562-2019</t>
        </is>
      </c>
      <c r="B899" s="1" t="n">
        <v>43600</v>
      </c>
      <c r="C899" s="1" t="n">
        <v>45224</v>
      </c>
      <c r="D899" t="inlineStr">
        <is>
          <t>STOCKHOLMS LÄN</t>
        </is>
      </c>
      <c r="E899" t="inlineStr">
        <is>
          <t>NORRTÄLJE</t>
        </is>
      </c>
      <c r="G899" t="n">
        <v>1.1</v>
      </c>
      <c r="H899" t="n">
        <v>0</v>
      </c>
      <c r="I899" t="n">
        <v>0</v>
      </c>
      <c r="J899" t="n">
        <v>0</v>
      </c>
      <c r="K899" t="n">
        <v>0</v>
      </c>
      <c r="L899" t="n">
        <v>0</v>
      </c>
      <c r="M899" t="n">
        <v>0</v>
      </c>
      <c r="N899" t="n">
        <v>0</v>
      </c>
      <c r="O899" t="n">
        <v>0</v>
      </c>
      <c r="P899" t="n">
        <v>0</v>
      </c>
      <c r="Q899" t="n">
        <v>0</v>
      </c>
      <c r="R899" s="2" t="inlineStr"/>
    </row>
    <row r="900" ht="15" customHeight="1">
      <c r="A900" t="inlineStr">
        <is>
          <t>A 24657-2019</t>
        </is>
      </c>
      <c r="B900" s="1" t="n">
        <v>43601</v>
      </c>
      <c r="C900" s="1" t="n">
        <v>45224</v>
      </c>
      <c r="D900" t="inlineStr">
        <is>
          <t>STOCKHOLMS LÄN</t>
        </is>
      </c>
      <c r="E900" t="inlineStr">
        <is>
          <t>SÖDERTÄLJE</t>
        </is>
      </c>
      <c r="G900" t="n">
        <v>1.6</v>
      </c>
      <c r="H900" t="n">
        <v>0</v>
      </c>
      <c r="I900" t="n">
        <v>0</v>
      </c>
      <c r="J900" t="n">
        <v>0</v>
      </c>
      <c r="K900" t="n">
        <v>0</v>
      </c>
      <c r="L900" t="n">
        <v>0</v>
      </c>
      <c r="M900" t="n">
        <v>0</v>
      </c>
      <c r="N900" t="n">
        <v>0</v>
      </c>
      <c r="O900" t="n">
        <v>0</v>
      </c>
      <c r="P900" t="n">
        <v>0</v>
      </c>
      <c r="Q900" t="n">
        <v>0</v>
      </c>
      <c r="R900" s="2" t="inlineStr"/>
    </row>
    <row r="901" ht="15" customHeight="1">
      <c r="A901" t="inlineStr">
        <is>
          <t>A 24721-2019</t>
        </is>
      </c>
      <c r="B901" s="1" t="n">
        <v>43601</v>
      </c>
      <c r="C901" s="1" t="n">
        <v>45224</v>
      </c>
      <c r="D901" t="inlineStr">
        <is>
          <t>STOCKHOLMS LÄN</t>
        </is>
      </c>
      <c r="E901" t="inlineStr">
        <is>
          <t>NORRTÄLJE</t>
        </is>
      </c>
      <c r="G901" t="n">
        <v>1.8</v>
      </c>
      <c r="H901" t="n">
        <v>0</v>
      </c>
      <c r="I901" t="n">
        <v>0</v>
      </c>
      <c r="J901" t="n">
        <v>0</v>
      </c>
      <c r="K901" t="n">
        <v>0</v>
      </c>
      <c r="L901" t="n">
        <v>0</v>
      </c>
      <c r="M901" t="n">
        <v>0</v>
      </c>
      <c r="N901" t="n">
        <v>0</v>
      </c>
      <c r="O901" t="n">
        <v>0</v>
      </c>
      <c r="P901" t="n">
        <v>0</v>
      </c>
      <c r="Q901" t="n">
        <v>0</v>
      </c>
      <c r="R901" s="2" t="inlineStr"/>
    </row>
    <row r="902" ht="15" customHeight="1">
      <c r="A902" t="inlineStr">
        <is>
          <t>A 25284-2019</t>
        </is>
      </c>
      <c r="B902" s="1" t="n">
        <v>43605</v>
      </c>
      <c r="C902" s="1" t="n">
        <v>45224</v>
      </c>
      <c r="D902" t="inlineStr">
        <is>
          <t>STOCKHOLMS LÄN</t>
        </is>
      </c>
      <c r="E902" t="inlineStr">
        <is>
          <t>NORRTÄLJE</t>
        </is>
      </c>
      <c r="G902" t="n">
        <v>3.6</v>
      </c>
      <c r="H902" t="n">
        <v>0</v>
      </c>
      <c r="I902" t="n">
        <v>0</v>
      </c>
      <c r="J902" t="n">
        <v>0</v>
      </c>
      <c r="K902" t="n">
        <v>0</v>
      </c>
      <c r="L902" t="n">
        <v>0</v>
      </c>
      <c r="M902" t="n">
        <v>0</v>
      </c>
      <c r="N902" t="n">
        <v>0</v>
      </c>
      <c r="O902" t="n">
        <v>0</v>
      </c>
      <c r="P902" t="n">
        <v>0</v>
      </c>
      <c r="Q902" t="n">
        <v>0</v>
      </c>
      <c r="R902" s="2" t="inlineStr"/>
    </row>
    <row r="903" ht="15" customHeight="1">
      <c r="A903" t="inlineStr">
        <is>
          <t>A 26374-2019</t>
        </is>
      </c>
      <c r="B903" s="1" t="n">
        <v>43606</v>
      </c>
      <c r="C903" s="1" t="n">
        <v>45224</v>
      </c>
      <c r="D903" t="inlineStr">
        <is>
          <t>STOCKHOLMS LÄN</t>
        </is>
      </c>
      <c r="E903" t="inlineStr">
        <is>
          <t>NORRTÄLJE</t>
        </is>
      </c>
      <c r="G903" t="n">
        <v>11.6</v>
      </c>
      <c r="H903" t="n">
        <v>0</v>
      </c>
      <c r="I903" t="n">
        <v>0</v>
      </c>
      <c r="J903" t="n">
        <v>0</v>
      </c>
      <c r="K903" t="n">
        <v>0</v>
      </c>
      <c r="L903" t="n">
        <v>0</v>
      </c>
      <c r="M903" t="n">
        <v>0</v>
      </c>
      <c r="N903" t="n">
        <v>0</v>
      </c>
      <c r="O903" t="n">
        <v>0</v>
      </c>
      <c r="P903" t="n">
        <v>0</v>
      </c>
      <c r="Q903" t="n">
        <v>0</v>
      </c>
      <c r="R903" s="2" t="inlineStr"/>
    </row>
    <row r="904" ht="15" customHeight="1">
      <c r="A904" t="inlineStr">
        <is>
          <t>A 25316-2019</t>
        </is>
      </c>
      <c r="B904" s="1" t="n">
        <v>43606</v>
      </c>
      <c r="C904" s="1" t="n">
        <v>45224</v>
      </c>
      <c r="D904" t="inlineStr">
        <is>
          <t>STOCKHOLMS LÄN</t>
        </is>
      </c>
      <c r="E904" t="inlineStr">
        <is>
          <t>NORRTÄLJE</t>
        </is>
      </c>
      <c r="G904" t="n">
        <v>1.6</v>
      </c>
      <c r="H904" t="n">
        <v>0</v>
      </c>
      <c r="I904" t="n">
        <v>0</v>
      </c>
      <c r="J904" t="n">
        <v>0</v>
      </c>
      <c r="K904" t="n">
        <v>0</v>
      </c>
      <c r="L904" t="n">
        <v>0</v>
      </c>
      <c r="M904" t="n">
        <v>0</v>
      </c>
      <c r="N904" t="n">
        <v>0</v>
      </c>
      <c r="O904" t="n">
        <v>0</v>
      </c>
      <c r="P904" t="n">
        <v>0</v>
      </c>
      <c r="Q904" t="n">
        <v>0</v>
      </c>
      <c r="R904" s="2" t="inlineStr"/>
    </row>
    <row r="905" ht="15" customHeight="1">
      <c r="A905" t="inlineStr">
        <is>
          <t>A 25535-2019</t>
        </is>
      </c>
      <c r="B905" s="1" t="n">
        <v>43606</v>
      </c>
      <c r="C905" s="1" t="n">
        <v>45224</v>
      </c>
      <c r="D905" t="inlineStr">
        <is>
          <t>STOCKHOLMS LÄN</t>
        </is>
      </c>
      <c r="E905" t="inlineStr">
        <is>
          <t>NORRTÄLJE</t>
        </is>
      </c>
      <c r="G905" t="n">
        <v>1.7</v>
      </c>
      <c r="H905" t="n">
        <v>0</v>
      </c>
      <c r="I905" t="n">
        <v>0</v>
      </c>
      <c r="J905" t="n">
        <v>0</v>
      </c>
      <c r="K905" t="n">
        <v>0</v>
      </c>
      <c r="L905" t="n">
        <v>0</v>
      </c>
      <c r="M905" t="n">
        <v>0</v>
      </c>
      <c r="N905" t="n">
        <v>0</v>
      </c>
      <c r="O905" t="n">
        <v>0</v>
      </c>
      <c r="P905" t="n">
        <v>0</v>
      </c>
      <c r="Q905" t="n">
        <v>0</v>
      </c>
      <c r="R905" s="2" t="inlineStr"/>
    </row>
    <row r="906" ht="15" customHeight="1">
      <c r="A906" t="inlineStr">
        <is>
          <t>A 25315-2019</t>
        </is>
      </c>
      <c r="B906" s="1" t="n">
        <v>43606</v>
      </c>
      <c r="C906" s="1" t="n">
        <v>45224</v>
      </c>
      <c r="D906" t="inlineStr">
        <is>
          <t>STOCKHOLMS LÄN</t>
        </is>
      </c>
      <c r="E906" t="inlineStr">
        <is>
          <t>NORRTÄLJE</t>
        </is>
      </c>
      <c r="G906" t="n">
        <v>0.9</v>
      </c>
      <c r="H906" t="n">
        <v>0</v>
      </c>
      <c r="I906" t="n">
        <v>0</v>
      </c>
      <c r="J906" t="n">
        <v>0</v>
      </c>
      <c r="K906" t="n">
        <v>0</v>
      </c>
      <c r="L906" t="n">
        <v>0</v>
      </c>
      <c r="M906" t="n">
        <v>0</v>
      </c>
      <c r="N906" t="n">
        <v>0</v>
      </c>
      <c r="O906" t="n">
        <v>0</v>
      </c>
      <c r="P906" t="n">
        <v>0</v>
      </c>
      <c r="Q906" t="n">
        <v>0</v>
      </c>
      <c r="R906" s="2" t="inlineStr"/>
    </row>
    <row r="907" ht="15" customHeight="1">
      <c r="A907" t="inlineStr">
        <is>
          <t>A 25625-2019</t>
        </is>
      </c>
      <c r="B907" s="1" t="n">
        <v>43607</v>
      </c>
      <c r="C907" s="1" t="n">
        <v>45224</v>
      </c>
      <c r="D907" t="inlineStr">
        <is>
          <t>STOCKHOLMS LÄN</t>
        </is>
      </c>
      <c r="E907" t="inlineStr">
        <is>
          <t>NORRTÄLJE</t>
        </is>
      </c>
      <c r="G907" t="n">
        <v>1.3</v>
      </c>
      <c r="H907" t="n">
        <v>0</v>
      </c>
      <c r="I907" t="n">
        <v>0</v>
      </c>
      <c r="J907" t="n">
        <v>0</v>
      </c>
      <c r="K907" t="n">
        <v>0</v>
      </c>
      <c r="L907" t="n">
        <v>0</v>
      </c>
      <c r="M907" t="n">
        <v>0</v>
      </c>
      <c r="N907" t="n">
        <v>0</v>
      </c>
      <c r="O907" t="n">
        <v>0</v>
      </c>
      <c r="P907" t="n">
        <v>0</v>
      </c>
      <c r="Q907" t="n">
        <v>0</v>
      </c>
      <c r="R907" s="2" t="inlineStr"/>
    </row>
    <row r="908" ht="15" customHeight="1">
      <c r="A908" t="inlineStr">
        <is>
          <t>A 26235-2019</t>
        </is>
      </c>
      <c r="B908" s="1" t="n">
        <v>43609</v>
      </c>
      <c r="C908" s="1" t="n">
        <v>45224</v>
      </c>
      <c r="D908" t="inlineStr">
        <is>
          <t>STOCKHOLMS LÄN</t>
        </is>
      </c>
      <c r="E908" t="inlineStr">
        <is>
          <t>NYKVARN</t>
        </is>
      </c>
      <c r="G908" t="n">
        <v>0.6</v>
      </c>
      <c r="H908" t="n">
        <v>0</v>
      </c>
      <c r="I908" t="n">
        <v>0</v>
      </c>
      <c r="J908" t="n">
        <v>0</v>
      </c>
      <c r="K908" t="n">
        <v>0</v>
      </c>
      <c r="L908" t="n">
        <v>0</v>
      </c>
      <c r="M908" t="n">
        <v>0</v>
      </c>
      <c r="N908" t="n">
        <v>0</v>
      </c>
      <c r="O908" t="n">
        <v>0</v>
      </c>
      <c r="P908" t="n">
        <v>0</v>
      </c>
      <c r="Q908" t="n">
        <v>0</v>
      </c>
      <c r="R908" s="2" t="inlineStr"/>
    </row>
    <row r="909" ht="15" customHeight="1">
      <c r="A909" t="inlineStr">
        <is>
          <t>A 26272-2019</t>
        </is>
      </c>
      <c r="B909" s="1" t="n">
        <v>43611</v>
      </c>
      <c r="C909" s="1" t="n">
        <v>45224</v>
      </c>
      <c r="D909" t="inlineStr">
        <is>
          <t>STOCKHOLMS LÄN</t>
        </is>
      </c>
      <c r="E909" t="inlineStr">
        <is>
          <t>NORRTÄLJE</t>
        </is>
      </c>
      <c r="G909" t="n">
        <v>0.8</v>
      </c>
      <c r="H909" t="n">
        <v>0</v>
      </c>
      <c r="I909" t="n">
        <v>0</v>
      </c>
      <c r="J909" t="n">
        <v>0</v>
      </c>
      <c r="K909" t="n">
        <v>0</v>
      </c>
      <c r="L909" t="n">
        <v>0</v>
      </c>
      <c r="M909" t="n">
        <v>0</v>
      </c>
      <c r="N909" t="n">
        <v>0</v>
      </c>
      <c r="O909" t="n">
        <v>0</v>
      </c>
      <c r="P909" t="n">
        <v>0</v>
      </c>
      <c r="Q909" t="n">
        <v>0</v>
      </c>
      <c r="R909" s="2" t="inlineStr"/>
    </row>
    <row r="910" ht="15" customHeight="1">
      <c r="A910" t="inlineStr">
        <is>
          <t>A 26566-2019</t>
        </is>
      </c>
      <c r="B910" s="1" t="n">
        <v>43612</v>
      </c>
      <c r="C910" s="1" t="n">
        <v>45224</v>
      </c>
      <c r="D910" t="inlineStr">
        <is>
          <t>STOCKHOLMS LÄN</t>
        </is>
      </c>
      <c r="E910" t="inlineStr">
        <is>
          <t>SÖDERTÄLJE</t>
        </is>
      </c>
      <c r="G910" t="n">
        <v>2.7</v>
      </c>
      <c r="H910" t="n">
        <v>0</v>
      </c>
      <c r="I910" t="n">
        <v>0</v>
      </c>
      <c r="J910" t="n">
        <v>0</v>
      </c>
      <c r="K910" t="n">
        <v>0</v>
      </c>
      <c r="L910" t="n">
        <v>0</v>
      </c>
      <c r="M910" t="n">
        <v>0</v>
      </c>
      <c r="N910" t="n">
        <v>0</v>
      </c>
      <c r="O910" t="n">
        <v>0</v>
      </c>
      <c r="P910" t="n">
        <v>0</v>
      </c>
      <c r="Q910" t="n">
        <v>0</v>
      </c>
      <c r="R910" s="2" t="inlineStr"/>
    </row>
    <row r="911" ht="15" customHeight="1">
      <c r="A911" t="inlineStr">
        <is>
          <t>A 26391-2019</t>
        </is>
      </c>
      <c r="B911" s="1" t="n">
        <v>43612</v>
      </c>
      <c r="C911" s="1" t="n">
        <v>45224</v>
      </c>
      <c r="D911" t="inlineStr">
        <is>
          <t>STOCKHOLMS LÄN</t>
        </is>
      </c>
      <c r="E911" t="inlineStr">
        <is>
          <t>NORRTÄLJE</t>
        </is>
      </c>
      <c r="G911" t="n">
        <v>1.9</v>
      </c>
      <c r="H911" t="n">
        <v>0</v>
      </c>
      <c r="I911" t="n">
        <v>0</v>
      </c>
      <c r="J911" t="n">
        <v>0</v>
      </c>
      <c r="K911" t="n">
        <v>0</v>
      </c>
      <c r="L911" t="n">
        <v>0</v>
      </c>
      <c r="M911" t="n">
        <v>0</v>
      </c>
      <c r="N911" t="n">
        <v>0</v>
      </c>
      <c r="O911" t="n">
        <v>0</v>
      </c>
      <c r="P911" t="n">
        <v>0</v>
      </c>
      <c r="Q911" t="n">
        <v>0</v>
      </c>
      <c r="R911" s="2" t="inlineStr"/>
    </row>
    <row r="912" ht="15" customHeight="1">
      <c r="A912" t="inlineStr">
        <is>
          <t>A 26620-2019</t>
        </is>
      </c>
      <c r="B912" s="1" t="n">
        <v>43612</v>
      </c>
      <c r="C912" s="1" t="n">
        <v>45224</v>
      </c>
      <c r="D912" t="inlineStr">
        <is>
          <t>STOCKHOLMS LÄN</t>
        </is>
      </c>
      <c r="E912" t="inlineStr">
        <is>
          <t>NORRTÄLJE</t>
        </is>
      </c>
      <c r="G912" t="n">
        <v>0.5</v>
      </c>
      <c r="H912" t="n">
        <v>0</v>
      </c>
      <c r="I912" t="n">
        <v>0</v>
      </c>
      <c r="J912" t="n">
        <v>0</v>
      </c>
      <c r="K912" t="n">
        <v>0</v>
      </c>
      <c r="L912" t="n">
        <v>0</v>
      </c>
      <c r="M912" t="n">
        <v>0</v>
      </c>
      <c r="N912" t="n">
        <v>0</v>
      </c>
      <c r="O912" t="n">
        <v>0</v>
      </c>
      <c r="P912" t="n">
        <v>0</v>
      </c>
      <c r="Q912" t="n">
        <v>0</v>
      </c>
      <c r="R912" s="2" t="inlineStr"/>
    </row>
    <row r="913" ht="15" customHeight="1">
      <c r="A913" t="inlineStr">
        <is>
          <t>A 26933-2019</t>
        </is>
      </c>
      <c r="B913" s="1" t="n">
        <v>43613</v>
      </c>
      <c r="C913" s="1" t="n">
        <v>45224</v>
      </c>
      <c r="D913" t="inlineStr">
        <is>
          <t>STOCKHOLMS LÄN</t>
        </is>
      </c>
      <c r="E913" t="inlineStr">
        <is>
          <t>NORRTÄLJE</t>
        </is>
      </c>
      <c r="G913" t="n">
        <v>2.8</v>
      </c>
      <c r="H913" t="n">
        <v>0</v>
      </c>
      <c r="I913" t="n">
        <v>0</v>
      </c>
      <c r="J913" t="n">
        <v>0</v>
      </c>
      <c r="K913" t="n">
        <v>0</v>
      </c>
      <c r="L913" t="n">
        <v>0</v>
      </c>
      <c r="M913" t="n">
        <v>0</v>
      </c>
      <c r="N913" t="n">
        <v>0</v>
      </c>
      <c r="O913" t="n">
        <v>0</v>
      </c>
      <c r="P913" t="n">
        <v>0</v>
      </c>
      <c r="Q913" t="n">
        <v>0</v>
      </c>
      <c r="R913" s="2" t="inlineStr"/>
    </row>
    <row r="914" ht="15" customHeight="1">
      <c r="A914" t="inlineStr">
        <is>
          <t>A 26830-2019</t>
        </is>
      </c>
      <c r="B914" s="1" t="n">
        <v>43613</v>
      </c>
      <c r="C914" s="1" t="n">
        <v>45224</v>
      </c>
      <c r="D914" t="inlineStr">
        <is>
          <t>STOCKHOLMS LÄN</t>
        </is>
      </c>
      <c r="E914" t="inlineStr">
        <is>
          <t>NORRTÄLJE</t>
        </is>
      </c>
      <c r="G914" t="n">
        <v>2.1</v>
      </c>
      <c r="H914" t="n">
        <v>0</v>
      </c>
      <c r="I914" t="n">
        <v>0</v>
      </c>
      <c r="J914" t="n">
        <v>0</v>
      </c>
      <c r="K914" t="n">
        <v>0</v>
      </c>
      <c r="L914" t="n">
        <v>0</v>
      </c>
      <c r="M914" t="n">
        <v>0</v>
      </c>
      <c r="N914" t="n">
        <v>0</v>
      </c>
      <c r="O914" t="n">
        <v>0</v>
      </c>
      <c r="P914" t="n">
        <v>0</v>
      </c>
      <c r="Q914" t="n">
        <v>0</v>
      </c>
      <c r="R914" s="2" t="inlineStr"/>
    </row>
    <row r="915" ht="15" customHeight="1">
      <c r="A915" t="inlineStr">
        <is>
          <t>A 28481-2019</t>
        </is>
      </c>
      <c r="B915" s="1" t="n">
        <v>43614</v>
      </c>
      <c r="C915" s="1" t="n">
        <v>45224</v>
      </c>
      <c r="D915" t="inlineStr">
        <is>
          <t>STOCKHOLMS LÄN</t>
        </is>
      </c>
      <c r="E915" t="inlineStr">
        <is>
          <t>UPPLANDS-BRO</t>
        </is>
      </c>
      <c r="F915" t="inlineStr">
        <is>
          <t>Allmännings- och besparingsskogar</t>
        </is>
      </c>
      <c r="G915" t="n">
        <v>1.8</v>
      </c>
      <c r="H915" t="n">
        <v>0</v>
      </c>
      <c r="I915" t="n">
        <v>0</v>
      </c>
      <c r="J915" t="n">
        <v>0</v>
      </c>
      <c r="K915" t="n">
        <v>0</v>
      </c>
      <c r="L915" t="n">
        <v>0</v>
      </c>
      <c r="M915" t="n">
        <v>0</v>
      </c>
      <c r="N915" t="n">
        <v>0</v>
      </c>
      <c r="O915" t="n">
        <v>0</v>
      </c>
      <c r="P915" t="n">
        <v>0</v>
      </c>
      <c r="Q915" t="n">
        <v>0</v>
      </c>
      <c r="R915" s="2" t="inlineStr"/>
    </row>
    <row r="916" ht="15" customHeight="1">
      <c r="A916" t="inlineStr">
        <is>
          <t>A 28157-2019</t>
        </is>
      </c>
      <c r="B916" s="1" t="n">
        <v>43614</v>
      </c>
      <c r="C916" s="1" t="n">
        <v>45224</v>
      </c>
      <c r="D916" t="inlineStr">
        <is>
          <t>STOCKHOLMS LÄN</t>
        </is>
      </c>
      <c r="E916" t="inlineStr">
        <is>
          <t>NORRTÄLJE</t>
        </is>
      </c>
      <c r="F916" t="inlineStr">
        <is>
          <t>Kyrkan</t>
        </is>
      </c>
      <c r="G916" t="n">
        <v>0.5</v>
      </c>
      <c r="H916" t="n">
        <v>0</v>
      </c>
      <c r="I916" t="n">
        <v>0</v>
      </c>
      <c r="J916" t="n">
        <v>0</v>
      </c>
      <c r="K916" t="n">
        <v>0</v>
      </c>
      <c r="L916" t="n">
        <v>0</v>
      </c>
      <c r="M916" t="n">
        <v>0</v>
      </c>
      <c r="N916" t="n">
        <v>0</v>
      </c>
      <c r="O916" t="n">
        <v>0</v>
      </c>
      <c r="P916" t="n">
        <v>0</v>
      </c>
      <c r="Q916" t="n">
        <v>0</v>
      </c>
      <c r="R916" s="2" t="inlineStr"/>
    </row>
    <row r="917" ht="15" customHeight="1">
      <c r="A917" t="inlineStr">
        <is>
          <t>A 27095-2019</t>
        </is>
      </c>
      <c r="B917" s="1" t="n">
        <v>43614</v>
      </c>
      <c r="C917" s="1" t="n">
        <v>45224</v>
      </c>
      <c r="D917" t="inlineStr">
        <is>
          <t>STOCKHOLMS LÄN</t>
        </is>
      </c>
      <c r="E917" t="inlineStr">
        <is>
          <t>NORRTÄLJE</t>
        </is>
      </c>
      <c r="G917" t="n">
        <v>1.5</v>
      </c>
      <c r="H917" t="n">
        <v>0</v>
      </c>
      <c r="I917" t="n">
        <v>0</v>
      </c>
      <c r="J917" t="n">
        <v>0</v>
      </c>
      <c r="K917" t="n">
        <v>0</v>
      </c>
      <c r="L917" t="n">
        <v>0</v>
      </c>
      <c r="M917" t="n">
        <v>0</v>
      </c>
      <c r="N917" t="n">
        <v>0</v>
      </c>
      <c r="O917" t="n">
        <v>0</v>
      </c>
      <c r="P917" t="n">
        <v>0</v>
      </c>
      <c r="Q917" t="n">
        <v>0</v>
      </c>
      <c r="R917" s="2" t="inlineStr"/>
    </row>
    <row r="918" ht="15" customHeight="1">
      <c r="A918" t="inlineStr">
        <is>
          <t>A 27264-2019</t>
        </is>
      </c>
      <c r="B918" s="1" t="n">
        <v>43615</v>
      </c>
      <c r="C918" s="1" t="n">
        <v>45224</v>
      </c>
      <c r="D918" t="inlineStr">
        <is>
          <t>STOCKHOLMS LÄN</t>
        </is>
      </c>
      <c r="E918" t="inlineStr">
        <is>
          <t>NORRTÄLJE</t>
        </is>
      </c>
      <c r="G918" t="n">
        <v>1.6</v>
      </c>
      <c r="H918" t="n">
        <v>0</v>
      </c>
      <c r="I918" t="n">
        <v>0</v>
      </c>
      <c r="J918" t="n">
        <v>0</v>
      </c>
      <c r="K918" t="n">
        <v>0</v>
      </c>
      <c r="L918" t="n">
        <v>0</v>
      </c>
      <c r="M918" t="n">
        <v>0</v>
      </c>
      <c r="N918" t="n">
        <v>0</v>
      </c>
      <c r="O918" t="n">
        <v>0</v>
      </c>
      <c r="P918" t="n">
        <v>0</v>
      </c>
      <c r="Q918" t="n">
        <v>0</v>
      </c>
      <c r="R918" s="2" t="inlineStr"/>
    </row>
    <row r="919" ht="15" customHeight="1">
      <c r="A919" t="inlineStr">
        <is>
          <t>A 27505-2019</t>
        </is>
      </c>
      <c r="B919" s="1" t="n">
        <v>43619</v>
      </c>
      <c r="C919" s="1" t="n">
        <v>45224</v>
      </c>
      <c r="D919" t="inlineStr">
        <is>
          <t>STOCKHOLMS LÄN</t>
        </is>
      </c>
      <c r="E919" t="inlineStr">
        <is>
          <t>SÖDERTÄLJE</t>
        </is>
      </c>
      <c r="F919" t="inlineStr">
        <is>
          <t>Sveaskog</t>
        </is>
      </c>
      <c r="G919" t="n">
        <v>1.4</v>
      </c>
      <c r="H919" t="n">
        <v>0</v>
      </c>
      <c r="I919" t="n">
        <v>0</v>
      </c>
      <c r="J919" t="n">
        <v>0</v>
      </c>
      <c r="K919" t="n">
        <v>0</v>
      </c>
      <c r="L919" t="n">
        <v>0</v>
      </c>
      <c r="M919" t="n">
        <v>0</v>
      </c>
      <c r="N919" t="n">
        <v>0</v>
      </c>
      <c r="O919" t="n">
        <v>0</v>
      </c>
      <c r="P919" t="n">
        <v>0</v>
      </c>
      <c r="Q919" t="n">
        <v>0</v>
      </c>
      <c r="R919" s="2" t="inlineStr"/>
    </row>
    <row r="920" ht="15" customHeight="1">
      <c r="A920" t="inlineStr">
        <is>
          <t>A 27623-2019</t>
        </is>
      </c>
      <c r="B920" s="1" t="n">
        <v>43619</v>
      </c>
      <c r="C920" s="1" t="n">
        <v>45224</v>
      </c>
      <c r="D920" t="inlineStr">
        <is>
          <t>STOCKHOLMS LÄN</t>
        </is>
      </c>
      <c r="E920" t="inlineStr">
        <is>
          <t>NYKVARN</t>
        </is>
      </c>
      <c r="F920" t="inlineStr">
        <is>
          <t>Sveaskog</t>
        </is>
      </c>
      <c r="G920" t="n">
        <v>0.4</v>
      </c>
      <c r="H920" t="n">
        <v>0</v>
      </c>
      <c r="I920" t="n">
        <v>0</v>
      </c>
      <c r="J920" t="n">
        <v>0</v>
      </c>
      <c r="K920" t="n">
        <v>0</v>
      </c>
      <c r="L920" t="n">
        <v>0</v>
      </c>
      <c r="M920" t="n">
        <v>0</v>
      </c>
      <c r="N920" t="n">
        <v>0</v>
      </c>
      <c r="O920" t="n">
        <v>0</v>
      </c>
      <c r="P920" t="n">
        <v>0</v>
      </c>
      <c r="Q920" t="n">
        <v>0</v>
      </c>
      <c r="R920" s="2" t="inlineStr"/>
    </row>
    <row r="921" ht="15" customHeight="1">
      <c r="A921" t="inlineStr">
        <is>
          <t>A 27502-2019</t>
        </is>
      </c>
      <c r="B921" s="1" t="n">
        <v>43619</v>
      </c>
      <c r="C921" s="1" t="n">
        <v>45224</v>
      </c>
      <c r="D921" t="inlineStr">
        <is>
          <t>STOCKHOLMS LÄN</t>
        </is>
      </c>
      <c r="E921" t="inlineStr">
        <is>
          <t>SÖDERTÄLJE</t>
        </is>
      </c>
      <c r="F921" t="inlineStr">
        <is>
          <t>Sveaskog</t>
        </is>
      </c>
      <c r="G921" t="n">
        <v>1.6</v>
      </c>
      <c r="H921" t="n">
        <v>0</v>
      </c>
      <c r="I921" t="n">
        <v>0</v>
      </c>
      <c r="J921" t="n">
        <v>0</v>
      </c>
      <c r="K921" t="n">
        <v>0</v>
      </c>
      <c r="L921" t="n">
        <v>0</v>
      </c>
      <c r="M921" t="n">
        <v>0</v>
      </c>
      <c r="N921" t="n">
        <v>0</v>
      </c>
      <c r="O921" t="n">
        <v>0</v>
      </c>
      <c r="P921" t="n">
        <v>0</v>
      </c>
      <c r="Q921" t="n">
        <v>0</v>
      </c>
      <c r="R921" s="2" t="inlineStr"/>
    </row>
    <row r="922" ht="15" customHeight="1">
      <c r="A922" t="inlineStr">
        <is>
          <t>A 27611-2019</t>
        </is>
      </c>
      <c r="B922" s="1" t="n">
        <v>43619</v>
      </c>
      <c r="C922" s="1" t="n">
        <v>45224</v>
      </c>
      <c r="D922" t="inlineStr">
        <is>
          <t>STOCKHOLMS LÄN</t>
        </is>
      </c>
      <c r="E922" t="inlineStr">
        <is>
          <t>NYKVARN</t>
        </is>
      </c>
      <c r="F922" t="inlineStr">
        <is>
          <t>Sveaskog</t>
        </is>
      </c>
      <c r="G922" t="n">
        <v>2.4</v>
      </c>
      <c r="H922" t="n">
        <v>0</v>
      </c>
      <c r="I922" t="n">
        <v>0</v>
      </c>
      <c r="J922" t="n">
        <v>0</v>
      </c>
      <c r="K922" t="n">
        <v>0</v>
      </c>
      <c r="L922" t="n">
        <v>0</v>
      </c>
      <c r="M922" t="n">
        <v>0</v>
      </c>
      <c r="N922" t="n">
        <v>0</v>
      </c>
      <c r="O922" t="n">
        <v>0</v>
      </c>
      <c r="P922" t="n">
        <v>0</v>
      </c>
      <c r="Q922" t="n">
        <v>0</v>
      </c>
      <c r="R922" s="2" t="inlineStr"/>
    </row>
    <row r="923" ht="15" customHeight="1">
      <c r="A923" t="inlineStr">
        <is>
          <t>A 27967-2019</t>
        </is>
      </c>
      <c r="B923" s="1" t="n">
        <v>43620</v>
      </c>
      <c r="C923" s="1" t="n">
        <v>45224</v>
      </c>
      <c r="D923" t="inlineStr">
        <is>
          <t>STOCKHOLMS LÄN</t>
        </is>
      </c>
      <c r="E923" t="inlineStr">
        <is>
          <t>NORRTÄLJE</t>
        </is>
      </c>
      <c r="G923" t="n">
        <v>1.5</v>
      </c>
      <c r="H923" t="n">
        <v>0</v>
      </c>
      <c r="I923" t="n">
        <v>0</v>
      </c>
      <c r="J923" t="n">
        <v>0</v>
      </c>
      <c r="K923" t="n">
        <v>0</v>
      </c>
      <c r="L923" t="n">
        <v>0</v>
      </c>
      <c r="M923" t="n">
        <v>0</v>
      </c>
      <c r="N923" t="n">
        <v>0</v>
      </c>
      <c r="O923" t="n">
        <v>0</v>
      </c>
      <c r="P923" t="n">
        <v>0</v>
      </c>
      <c r="Q923" t="n">
        <v>0</v>
      </c>
      <c r="R923" s="2" t="inlineStr"/>
    </row>
    <row r="924" ht="15" customHeight="1">
      <c r="A924" t="inlineStr">
        <is>
          <t>A 27971-2019</t>
        </is>
      </c>
      <c r="B924" s="1" t="n">
        <v>43620</v>
      </c>
      <c r="C924" s="1" t="n">
        <v>45224</v>
      </c>
      <c r="D924" t="inlineStr">
        <is>
          <t>STOCKHOLMS LÄN</t>
        </is>
      </c>
      <c r="E924" t="inlineStr">
        <is>
          <t>NORRTÄLJE</t>
        </is>
      </c>
      <c r="G924" t="n">
        <v>1.7</v>
      </c>
      <c r="H924" t="n">
        <v>0</v>
      </c>
      <c r="I924" t="n">
        <v>0</v>
      </c>
      <c r="J924" t="n">
        <v>0</v>
      </c>
      <c r="K924" t="n">
        <v>0</v>
      </c>
      <c r="L924" t="n">
        <v>0</v>
      </c>
      <c r="M924" t="n">
        <v>0</v>
      </c>
      <c r="N924" t="n">
        <v>0</v>
      </c>
      <c r="O924" t="n">
        <v>0</v>
      </c>
      <c r="P924" t="n">
        <v>0</v>
      </c>
      <c r="Q924" t="n">
        <v>0</v>
      </c>
      <c r="R924" s="2" t="inlineStr"/>
    </row>
    <row r="925" ht="15" customHeight="1">
      <c r="A925" t="inlineStr">
        <is>
          <t>A 24679-2019</t>
        </is>
      </c>
      <c r="B925" s="1" t="n">
        <v>43621</v>
      </c>
      <c r="C925" s="1" t="n">
        <v>45224</v>
      </c>
      <c r="D925" t="inlineStr">
        <is>
          <t>STOCKHOLMS LÄN</t>
        </is>
      </c>
      <c r="E925" t="inlineStr">
        <is>
          <t>VALLENTUNA</t>
        </is>
      </c>
      <c r="F925" t="inlineStr">
        <is>
          <t>Kommuner</t>
        </is>
      </c>
      <c r="G925" t="n">
        <v>31.6</v>
      </c>
      <c r="H925" t="n">
        <v>0</v>
      </c>
      <c r="I925" t="n">
        <v>0</v>
      </c>
      <c r="J925" t="n">
        <v>0</v>
      </c>
      <c r="K925" t="n">
        <v>0</v>
      </c>
      <c r="L925" t="n">
        <v>0</v>
      </c>
      <c r="M925" t="n">
        <v>0</v>
      </c>
      <c r="N925" t="n">
        <v>0</v>
      </c>
      <c r="O925" t="n">
        <v>0</v>
      </c>
      <c r="P925" t="n">
        <v>0</v>
      </c>
      <c r="Q925" t="n">
        <v>0</v>
      </c>
      <c r="R925" s="2" t="inlineStr"/>
    </row>
    <row r="926" ht="15" customHeight="1">
      <c r="A926" t="inlineStr">
        <is>
          <t>A 28121-2019</t>
        </is>
      </c>
      <c r="B926" s="1" t="n">
        <v>43621</v>
      </c>
      <c r="C926" s="1" t="n">
        <v>45224</v>
      </c>
      <c r="D926" t="inlineStr">
        <is>
          <t>STOCKHOLMS LÄN</t>
        </is>
      </c>
      <c r="E926" t="inlineStr">
        <is>
          <t>NORRTÄLJE</t>
        </is>
      </c>
      <c r="F926" t="inlineStr">
        <is>
          <t>Kyrkan</t>
        </is>
      </c>
      <c r="G926" t="n">
        <v>2.5</v>
      </c>
      <c r="H926" t="n">
        <v>0</v>
      </c>
      <c r="I926" t="n">
        <v>0</v>
      </c>
      <c r="J926" t="n">
        <v>0</v>
      </c>
      <c r="K926" t="n">
        <v>0</v>
      </c>
      <c r="L926" t="n">
        <v>0</v>
      </c>
      <c r="M926" t="n">
        <v>0</v>
      </c>
      <c r="N926" t="n">
        <v>0</v>
      </c>
      <c r="O926" t="n">
        <v>0</v>
      </c>
      <c r="P926" t="n">
        <v>0</v>
      </c>
      <c r="Q926" t="n">
        <v>0</v>
      </c>
      <c r="R926" s="2" t="inlineStr"/>
    </row>
    <row r="927" ht="15" customHeight="1">
      <c r="A927" t="inlineStr">
        <is>
          <t>A 28289-2019</t>
        </is>
      </c>
      <c r="B927" s="1" t="n">
        <v>43623</v>
      </c>
      <c r="C927" s="1" t="n">
        <v>45224</v>
      </c>
      <c r="D927" t="inlineStr">
        <is>
          <t>STOCKHOLMS LÄN</t>
        </is>
      </c>
      <c r="E927" t="inlineStr">
        <is>
          <t>NORRTÄLJE</t>
        </is>
      </c>
      <c r="G927" t="n">
        <v>7.7</v>
      </c>
      <c r="H927" t="n">
        <v>0</v>
      </c>
      <c r="I927" t="n">
        <v>0</v>
      </c>
      <c r="J927" t="n">
        <v>0</v>
      </c>
      <c r="K927" t="n">
        <v>0</v>
      </c>
      <c r="L927" t="n">
        <v>0</v>
      </c>
      <c r="M927" t="n">
        <v>0</v>
      </c>
      <c r="N927" t="n">
        <v>0</v>
      </c>
      <c r="O927" t="n">
        <v>0</v>
      </c>
      <c r="P927" t="n">
        <v>0</v>
      </c>
      <c r="Q927" t="n">
        <v>0</v>
      </c>
      <c r="R927" s="2" t="inlineStr"/>
    </row>
    <row r="928" ht="15" customHeight="1">
      <c r="A928" t="inlineStr">
        <is>
          <t>A 28330-2019</t>
        </is>
      </c>
      <c r="B928" s="1" t="n">
        <v>43623</v>
      </c>
      <c r="C928" s="1" t="n">
        <v>45224</v>
      </c>
      <c r="D928" t="inlineStr">
        <is>
          <t>STOCKHOLMS LÄN</t>
        </is>
      </c>
      <c r="E928" t="inlineStr">
        <is>
          <t>SIGTUNA</t>
        </is>
      </c>
      <c r="G928" t="n">
        <v>6.3</v>
      </c>
      <c r="H928" t="n">
        <v>0</v>
      </c>
      <c r="I928" t="n">
        <v>0</v>
      </c>
      <c r="J928" t="n">
        <v>0</v>
      </c>
      <c r="K928" t="n">
        <v>0</v>
      </c>
      <c r="L928" t="n">
        <v>0</v>
      </c>
      <c r="M928" t="n">
        <v>0</v>
      </c>
      <c r="N928" t="n">
        <v>0</v>
      </c>
      <c r="O928" t="n">
        <v>0</v>
      </c>
      <c r="P928" t="n">
        <v>0</v>
      </c>
      <c r="Q928" t="n">
        <v>0</v>
      </c>
      <c r="R928" s="2" t="inlineStr"/>
    </row>
    <row r="929" ht="15" customHeight="1">
      <c r="A929" t="inlineStr">
        <is>
          <t>A 28394-2019</t>
        </is>
      </c>
      <c r="B929" s="1" t="n">
        <v>43626</v>
      </c>
      <c r="C929" s="1" t="n">
        <v>45224</v>
      </c>
      <c r="D929" t="inlineStr">
        <is>
          <t>STOCKHOLMS LÄN</t>
        </is>
      </c>
      <c r="E929" t="inlineStr">
        <is>
          <t>NORRTÄLJE</t>
        </is>
      </c>
      <c r="G929" t="n">
        <v>2.4</v>
      </c>
      <c r="H929" t="n">
        <v>0</v>
      </c>
      <c r="I929" t="n">
        <v>0</v>
      </c>
      <c r="J929" t="n">
        <v>0</v>
      </c>
      <c r="K929" t="n">
        <v>0</v>
      </c>
      <c r="L929" t="n">
        <v>0</v>
      </c>
      <c r="M929" t="n">
        <v>0</v>
      </c>
      <c r="N929" t="n">
        <v>0</v>
      </c>
      <c r="O929" t="n">
        <v>0</v>
      </c>
      <c r="P929" t="n">
        <v>0</v>
      </c>
      <c r="Q929" t="n">
        <v>0</v>
      </c>
      <c r="R929" s="2" t="inlineStr"/>
    </row>
    <row r="930" ht="15" customHeight="1">
      <c r="A930" t="inlineStr">
        <is>
          <t>A 28384-2019</t>
        </is>
      </c>
      <c r="B930" s="1" t="n">
        <v>43626</v>
      </c>
      <c r="C930" s="1" t="n">
        <v>45224</v>
      </c>
      <c r="D930" t="inlineStr">
        <is>
          <t>STOCKHOLMS LÄN</t>
        </is>
      </c>
      <c r="E930" t="inlineStr">
        <is>
          <t>SIGTUNA</t>
        </is>
      </c>
      <c r="G930" t="n">
        <v>6.3</v>
      </c>
      <c r="H930" t="n">
        <v>0</v>
      </c>
      <c r="I930" t="n">
        <v>0</v>
      </c>
      <c r="J930" t="n">
        <v>0</v>
      </c>
      <c r="K930" t="n">
        <v>0</v>
      </c>
      <c r="L930" t="n">
        <v>0</v>
      </c>
      <c r="M930" t="n">
        <v>0</v>
      </c>
      <c r="N930" t="n">
        <v>0</v>
      </c>
      <c r="O930" t="n">
        <v>0</v>
      </c>
      <c r="P930" t="n">
        <v>0</v>
      </c>
      <c r="Q930" t="n">
        <v>0</v>
      </c>
      <c r="R930" s="2" t="inlineStr"/>
    </row>
    <row r="931" ht="15" customHeight="1">
      <c r="A931" t="inlineStr">
        <is>
          <t>A 28519-2019</t>
        </is>
      </c>
      <c r="B931" s="1" t="n">
        <v>43626</v>
      </c>
      <c r="C931" s="1" t="n">
        <v>45224</v>
      </c>
      <c r="D931" t="inlineStr">
        <is>
          <t>STOCKHOLMS LÄN</t>
        </is>
      </c>
      <c r="E931" t="inlineStr">
        <is>
          <t>NORRTÄLJE</t>
        </is>
      </c>
      <c r="G931" t="n">
        <v>3</v>
      </c>
      <c r="H931" t="n">
        <v>0</v>
      </c>
      <c r="I931" t="n">
        <v>0</v>
      </c>
      <c r="J931" t="n">
        <v>0</v>
      </c>
      <c r="K931" t="n">
        <v>0</v>
      </c>
      <c r="L931" t="n">
        <v>0</v>
      </c>
      <c r="M931" t="n">
        <v>0</v>
      </c>
      <c r="N931" t="n">
        <v>0</v>
      </c>
      <c r="O931" t="n">
        <v>0</v>
      </c>
      <c r="P931" t="n">
        <v>0</v>
      </c>
      <c r="Q931" t="n">
        <v>0</v>
      </c>
      <c r="R931" s="2" t="inlineStr"/>
    </row>
    <row r="932" ht="15" customHeight="1">
      <c r="A932" t="inlineStr">
        <is>
          <t>A 28560-2019</t>
        </is>
      </c>
      <c r="B932" s="1" t="n">
        <v>43626</v>
      </c>
      <c r="C932" s="1" t="n">
        <v>45224</v>
      </c>
      <c r="D932" t="inlineStr">
        <is>
          <t>STOCKHOLMS LÄN</t>
        </is>
      </c>
      <c r="E932" t="inlineStr">
        <is>
          <t>SIGTUNA</t>
        </is>
      </c>
      <c r="G932" t="n">
        <v>1.4</v>
      </c>
      <c r="H932" t="n">
        <v>0</v>
      </c>
      <c r="I932" t="n">
        <v>0</v>
      </c>
      <c r="J932" t="n">
        <v>0</v>
      </c>
      <c r="K932" t="n">
        <v>0</v>
      </c>
      <c r="L932" t="n">
        <v>0</v>
      </c>
      <c r="M932" t="n">
        <v>0</v>
      </c>
      <c r="N932" t="n">
        <v>0</v>
      </c>
      <c r="O932" t="n">
        <v>0</v>
      </c>
      <c r="P932" t="n">
        <v>0</v>
      </c>
      <c r="Q932" t="n">
        <v>0</v>
      </c>
      <c r="R932" s="2" t="inlineStr"/>
    </row>
    <row r="933" ht="15" customHeight="1">
      <c r="A933" t="inlineStr">
        <is>
          <t>A 28495-2019</t>
        </is>
      </c>
      <c r="B933" s="1" t="n">
        <v>43626</v>
      </c>
      <c r="C933" s="1" t="n">
        <v>45224</v>
      </c>
      <c r="D933" t="inlineStr">
        <is>
          <t>STOCKHOLMS LÄN</t>
        </is>
      </c>
      <c r="E933" t="inlineStr">
        <is>
          <t>NORRTÄLJE</t>
        </is>
      </c>
      <c r="G933" t="n">
        <v>14.7</v>
      </c>
      <c r="H933" t="n">
        <v>0</v>
      </c>
      <c r="I933" t="n">
        <v>0</v>
      </c>
      <c r="J933" t="n">
        <v>0</v>
      </c>
      <c r="K933" t="n">
        <v>0</v>
      </c>
      <c r="L933" t="n">
        <v>0</v>
      </c>
      <c r="M933" t="n">
        <v>0</v>
      </c>
      <c r="N933" t="n">
        <v>0</v>
      </c>
      <c r="O933" t="n">
        <v>0</v>
      </c>
      <c r="P933" t="n">
        <v>0</v>
      </c>
      <c r="Q933" t="n">
        <v>0</v>
      </c>
      <c r="R933" s="2" t="inlineStr"/>
    </row>
    <row r="934" ht="15" customHeight="1">
      <c r="A934" t="inlineStr">
        <is>
          <t>A 29260-2019</t>
        </is>
      </c>
      <c r="B934" s="1" t="n">
        <v>43629</v>
      </c>
      <c r="C934" s="1" t="n">
        <v>45224</v>
      </c>
      <c r="D934" t="inlineStr">
        <is>
          <t>STOCKHOLMS LÄN</t>
        </is>
      </c>
      <c r="E934" t="inlineStr">
        <is>
          <t>NORRTÄLJE</t>
        </is>
      </c>
      <c r="G934" t="n">
        <v>0.6</v>
      </c>
      <c r="H934" t="n">
        <v>0</v>
      </c>
      <c r="I934" t="n">
        <v>0</v>
      </c>
      <c r="J934" t="n">
        <v>0</v>
      </c>
      <c r="K934" t="n">
        <v>0</v>
      </c>
      <c r="L934" t="n">
        <v>0</v>
      </c>
      <c r="M934" t="n">
        <v>0</v>
      </c>
      <c r="N934" t="n">
        <v>0</v>
      </c>
      <c r="O934" t="n">
        <v>0</v>
      </c>
      <c r="P934" t="n">
        <v>0</v>
      </c>
      <c r="Q934" t="n">
        <v>0</v>
      </c>
      <c r="R934" s="2" t="inlineStr"/>
    </row>
    <row r="935" ht="15" customHeight="1">
      <c r="A935" t="inlineStr">
        <is>
          <t>A 29312-2019</t>
        </is>
      </c>
      <c r="B935" s="1" t="n">
        <v>43629</v>
      </c>
      <c r="C935" s="1" t="n">
        <v>45224</v>
      </c>
      <c r="D935" t="inlineStr">
        <is>
          <t>STOCKHOLMS LÄN</t>
        </is>
      </c>
      <c r="E935" t="inlineStr">
        <is>
          <t>NORRTÄLJE</t>
        </is>
      </c>
      <c r="G935" t="n">
        <v>7.1</v>
      </c>
      <c r="H935" t="n">
        <v>0</v>
      </c>
      <c r="I935" t="n">
        <v>0</v>
      </c>
      <c r="J935" t="n">
        <v>0</v>
      </c>
      <c r="K935" t="n">
        <v>0</v>
      </c>
      <c r="L935" t="n">
        <v>0</v>
      </c>
      <c r="M935" t="n">
        <v>0</v>
      </c>
      <c r="N935" t="n">
        <v>0</v>
      </c>
      <c r="O935" t="n">
        <v>0</v>
      </c>
      <c r="P935" t="n">
        <v>0</v>
      </c>
      <c r="Q935" t="n">
        <v>0</v>
      </c>
      <c r="R935" s="2" t="inlineStr"/>
    </row>
    <row r="936" ht="15" customHeight="1">
      <c r="A936" t="inlineStr">
        <is>
          <t>A 29953-2019</t>
        </is>
      </c>
      <c r="B936" s="1" t="n">
        <v>43629</v>
      </c>
      <c r="C936" s="1" t="n">
        <v>45224</v>
      </c>
      <c r="D936" t="inlineStr">
        <is>
          <t>STOCKHOLMS LÄN</t>
        </is>
      </c>
      <c r="E936" t="inlineStr">
        <is>
          <t>VALLENTUNA</t>
        </is>
      </c>
      <c r="G936" t="n">
        <v>1.6</v>
      </c>
      <c r="H936" t="n">
        <v>0</v>
      </c>
      <c r="I936" t="n">
        <v>0</v>
      </c>
      <c r="J936" t="n">
        <v>0</v>
      </c>
      <c r="K936" t="n">
        <v>0</v>
      </c>
      <c r="L936" t="n">
        <v>0</v>
      </c>
      <c r="M936" t="n">
        <v>0</v>
      </c>
      <c r="N936" t="n">
        <v>0</v>
      </c>
      <c r="O936" t="n">
        <v>0</v>
      </c>
      <c r="P936" t="n">
        <v>0</v>
      </c>
      <c r="Q936" t="n">
        <v>0</v>
      </c>
      <c r="R936" s="2" t="inlineStr"/>
    </row>
    <row r="937" ht="15" customHeight="1">
      <c r="A937" t="inlineStr">
        <is>
          <t>A 29759-2019</t>
        </is>
      </c>
      <c r="B937" s="1" t="n">
        <v>43631</v>
      </c>
      <c r="C937" s="1" t="n">
        <v>45224</v>
      </c>
      <c r="D937" t="inlineStr">
        <is>
          <t>STOCKHOLMS LÄN</t>
        </is>
      </c>
      <c r="E937" t="inlineStr">
        <is>
          <t>NORRTÄLJE</t>
        </is>
      </c>
      <c r="G937" t="n">
        <v>0.8</v>
      </c>
      <c r="H937" t="n">
        <v>0</v>
      </c>
      <c r="I937" t="n">
        <v>0</v>
      </c>
      <c r="J937" t="n">
        <v>0</v>
      </c>
      <c r="K937" t="n">
        <v>0</v>
      </c>
      <c r="L937" t="n">
        <v>0</v>
      </c>
      <c r="M937" t="n">
        <v>0</v>
      </c>
      <c r="N937" t="n">
        <v>0</v>
      </c>
      <c r="O937" t="n">
        <v>0</v>
      </c>
      <c r="P937" t="n">
        <v>0</v>
      </c>
      <c r="Q937" t="n">
        <v>0</v>
      </c>
      <c r="R937" s="2" t="inlineStr"/>
    </row>
    <row r="938" ht="15" customHeight="1">
      <c r="A938" t="inlineStr">
        <is>
          <t>A 29973-2019</t>
        </is>
      </c>
      <c r="B938" s="1" t="n">
        <v>43633</v>
      </c>
      <c r="C938" s="1" t="n">
        <v>45224</v>
      </c>
      <c r="D938" t="inlineStr">
        <is>
          <t>STOCKHOLMS LÄN</t>
        </is>
      </c>
      <c r="E938" t="inlineStr">
        <is>
          <t>ÖSTERÅKER</t>
        </is>
      </c>
      <c r="G938" t="n">
        <v>0.4</v>
      </c>
      <c r="H938" t="n">
        <v>0</v>
      </c>
      <c r="I938" t="n">
        <v>0</v>
      </c>
      <c r="J938" t="n">
        <v>0</v>
      </c>
      <c r="K938" t="n">
        <v>0</v>
      </c>
      <c r="L938" t="n">
        <v>0</v>
      </c>
      <c r="M938" t="n">
        <v>0</v>
      </c>
      <c r="N938" t="n">
        <v>0</v>
      </c>
      <c r="O938" t="n">
        <v>0</v>
      </c>
      <c r="P938" t="n">
        <v>0</v>
      </c>
      <c r="Q938" t="n">
        <v>0</v>
      </c>
      <c r="R938" s="2" t="inlineStr"/>
    </row>
    <row r="939" ht="15" customHeight="1">
      <c r="A939" t="inlineStr">
        <is>
          <t>A 30000-2019</t>
        </is>
      </c>
      <c r="B939" s="1" t="n">
        <v>43633</v>
      </c>
      <c r="C939" s="1" t="n">
        <v>45224</v>
      </c>
      <c r="D939" t="inlineStr">
        <is>
          <t>STOCKHOLMS LÄN</t>
        </is>
      </c>
      <c r="E939" t="inlineStr">
        <is>
          <t>NORRTÄLJE</t>
        </is>
      </c>
      <c r="G939" t="n">
        <v>5.4</v>
      </c>
      <c r="H939" t="n">
        <v>0</v>
      </c>
      <c r="I939" t="n">
        <v>0</v>
      </c>
      <c r="J939" t="n">
        <v>0</v>
      </c>
      <c r="K939" t="n">
        <v>0</v>
      </c>
      <c r="L939" t="n">
        <v>0</v>
      </c>
      <c r="M939" t="n">
        <v>0</v>
      </c>
      <c r="N939" t="n">
        <v>0</v>
      </c>
      <c r="O939" t="n">
        <v>0</v>
      </c>
      <c r="P939" t="n">
        <v>0</v>
      </c>
      <c r="Q939" t="n">
        <v>0</v>
      </c>
      <c r="R939" s="2" t="inlineStr"/>
    </row>
    <row r="940" ht="15" customHeight="1">
      <c r="A940" t="inlineStr">
        <is>
          <t>A 30011-2019</t>
        </is>
      </c>
      <c r="B940" s="1" t="n">
        <v>43633</v>
      </c>
      <c r="C940" s="1" t="n">
        <v>45224</v>
      </c>
      <c r="D940" t="inlineStr">
        <is>
          <t>STOCKHOLMS LÄN</t>
        </is>
      </c>
      <c r="E940" t="inlineStr">
        <is>
          <t>NORRTÄLJE</t>
        </is>
      </c>
      <c r="G940" t="n">
        <v>2.6</v>
      </c>
      <c r="H940" t="n">
        <v>0</v>
      </c>
      <c r="I940" t="n">
        <v>0</v>
      </c>
      <c r="J940" t="n">
        <v>0</v>
      </c>
      <c r="K940" t="n">
        <v>0</v>
      </c>
      <c r="L940" t="n">
        <v>0</v>
      </c>
      <c r="M940" t="n">
        <v>0</v>
      </c>
      <c r="N940" t="n">
        <v>0</v>
      </c>
      <c r="O940" t="n">
        <v>0</v>
      </c>
      <c r="P940" t="n">
        <v>0</v>
      </c>
      <c r="Q940" t="n">
        <v>0</v>
      </c>
      <c r="R940" s="2" t="inlineStr"/>
    </row>
    <row r="941" ht="15" customHeight="1">
      <c r="A941" t="inlineStr">
        <is>
          <t>A 31171-2019</t>
        </is>
      </c>
      <c r="B941" s="1" t="n">
        <v>43635</v>
      </c>
      <c r="C941" s="1" t="n">
        <v>45224</v>
      </c>
      <c r="D941" t="inlineStr">
        <is>
          <t>STOCKHOLMS LÄN</t>
        </is>
      </c>
      <c r="E941" t="inlineStr">
        <is>
          <t>EKERÖ</t>
        </is>
      </c>
      <c r="F941" t="inlineStr">
        <is>
          <t>Övriga statliga verk och myndigheter</t>
        </is>
      </c>
      <c r="G941" t="n">
        <v>2.6</v>
      </c>
      <c r="H941" t="n">
        <v>0</v>
      </c>
      <c r="I941" t="n">
        <v>0</v>
      </c>
      <c r="J941" t="n">
        <v>0</v>
      </c>
      <c r="K941" t="n">
        <v>0</v>
      </c>
      <c r="L941" t="n">
        <v>0</v>
      </c>
      <c r="M941" t="n">
        <v>0</v>
      </c>
      <c r="N941" t="n">
        <v>0</v>
      </c>
      <c r="O941" t="n">
        <v>0</v>
      </c>
      <c r="P941" t="n">
        <v>0</v>
      </c>
      <c r="Q941" t="n">
        <v>0</v>
      </c>
      <c r="R941" s="2" t="inlineStr"/>
    </row>
    <row r="942" ht="15" customHeight="1">
      <c r="A942" t="inlineStr">
        <is>
          <t>A 30529-2019</t>
        </is>
      </c>
      <c r="B942" s="1" t="n">
        <v>43635</v>
      </c>
      <c r="C942" s="1" t="n">
        <v>45224</v>
      </c>
      <c r="D942" t="inlineStr">
        <is>
          <t>STOCKHOLMS LÄN</t>
        </is>
      </c>
      <c r="E942" t="inlineStr">
        <is>
          <t>VÄRMDÖ</t>
        </is>
      </c>
      <c r="G942" t="n">
        <v>2.6</v>
      </c>
      <c r="H942" t="n">
        <v>0</v>
      </c>
      <c r="I942" t="n">
        <v>0</v>
      </c>
      <c r="J942" t="n">
        <v>0</v>
      </c>
      <c r="K942" t="n">
        <v>0</v>
      </c>
      <c r="L942" t="n">
        <v>0</v>
      </c>
      <c r="M942" t="n">
        <v>0</v>
      </c>
      <c r="N942" t="n">
        <v>0</v>
      </c>
      <c r="O942" t="n">
        <v>0</v>
      </c>
      <c r="P942" t="n">
        <v>0</v>
      </c>
      <c r="Q942" t="n">
        <v>0</v>
      </c>
      <c r="R942" s="2" t="inlineStr"/>
    </row>
    <row r="943" ht="15" customHeight="1">
      <c r="A943" t="inlineStr">
        <is>
          <t>A 30833-2019</t>
        </is>
      </c>
      <c r="B943" s="1" t="n">
        <v>43636</v>
      </c>
      <c r="C943" s="1" t="n">
        <v>45224</v>
      </c>
      <c r="D943" t="inlineStr">
        <is>
          <t>STOCKHOLMS LÄN</t>
        </is>
      </c>
      <c r="E943" t="inlineStr">
        <is>
          <t>NORRTÄLJE</t>
        </is>
      </c>
      <c r="G943" t="n">
        <v>1</v>
      </c>
      <c r="H943" t="n">
        <v>0</v>
      </c>
      <c r="I943" t="n">
        <v>0</v>
      </c>
      <c r="J943" t="n">
        <v>0</v>
      </c>
      <c r="K943" t="n">
        <v>0</v>
      </c>
      <c r="L943" t="n">
        <v>0</v>
      </c>
      <c r="M943" t="n">
        <v>0</v>
      </c>
      <c r="N943" t="n">
        <v>0</v>
      </c>
      <c r="O943" t="n">
        <v>0</v>
      </c>
      <c r="P943" t="n">
        <v>0</v>
      </c>
      <c r="Q943" t="n">
        <v>0</v>
      </c>
      <c r="R943" s="2" t="inlineStr"/>
    </row>
    <row r="944" ht="15" customHeight="1">
      <c r="A944" t="inlineStr">
        <is>
          <t>A 31215-2019</t>
        </is>
      </c>
      <c r="B944" s="1" t="n">
        <v>43640</v>
      </c>
      <c r="C944" s="1" t="n">
        <v>45224</v>
      </c>
      <c r="D944" t="inlineStr">
        <is>
          <t>STOCKHOLMS LÄN</t>
        </is>
      </c>
      <c r="E944" t="inlineStr">
        <is>
          <t>NORRTÄLJE</t>
        </is>
      </c>
      <c r="G944" t="n">
        <v>0.9</v>
      </c>
      <c r="H944" t="n">
        <v>0</v>
      </c>
      <c r="I944" t="n">
        <v>0</v>
      </c>
      <c r="J944" t="n">
        <v>0</v>
      </c>
      <c r="K944" t="n">
        <v>0</v>
      </c>
      <c r="L944" t="n">
        <v>0</v>
      </c>
      <c r="M944" t="n">
        <v>0</v>
      </c>
      <c r="N944" t="n">
        <v>0</v>
      </c>
      <c r="O944" t="n">
        <v>0</v>
      </c>
      <c r="P944" t="n">
        <v>0</v>
      </c>
      <c r="Q944" t="n">
        <v>0</v>
      </c>
      <c r="R944" s="2" t="inlineStr"/>
    </row>
    <row r="945" ht="15" customHeight="1">
      <c r="A945" t="inlineStr">
        <is>
          <t>A 31017-2019</t>
        </is>
      </c>
      <c r="B945" s="1" t="n">
        <v>43640</v>
      </c>
      <c r="C945" s="1" t="n">
        <v>45224</v>
      </c>
      <c r="D945" t="inlineStr">
        <is>
          <t>STOCKHOLMS LÄN</t>
        </is>
      </c>
      <c r="E945" t="inlineStr">
        <is>
          <t>NORRTÄLJE</t>
        </is>
      </c>
      <c r="G945" t="n">
        <v>3.4</v>
      </c>
      <c r="H945" t="n">
        <v>0</v>
      </c>
      <c r="I945" t="n">
        <v>0</v>
      </c>
      <c r="J945" t="n">
        <v>0</v>
      </c>
      <c r="K945" t="n">
        <v>0</v>
      </c>
      <c r="L945" t="n">
        <v>0</v>
      </c>
      <c r="M945" t="n">
        <v>0</v>
      </c>
      <c r="N945" t="n">
        <v>0</v>
      </c>
      <c r="O945" t="n">
        <v>0</v>
      </c>
      <c r="P945" t="n">
        <v>0</v>
      </c>
      <c r="Q945" t="n">
        <v>0</v>
      </c>
      <c r="R945" s="2" t="inlineStr"/>
    </row>
    <row r="946" ht="15" customHeight="1">
      <c r="A946" t="inlineStr">
        <is>
          <t>A 31211-2019</t>
        </is>
      </c>
      <c r="B946" s="1" t="n">
        <v>43640</v>
      </c>
      <c r="C946" s="1" t="n">
        <v>45224</v>
      </c>
      <c r="D946" t="inlineStr">
        <is>
          <t>STOCKHOLMS LÄN</t>
        </is>
      </c>
      <c r="E946" t="inlineStr">
        <is>
          <t>VÄRMDÖ</t>
        </is>
      </c>
      <c r="G946" t="n">
        <v>1.3</v>
      </c>
      <c r="H946" t="n">
        <v>0</v>
      </c>
      <c r="I946" t="n">
        <v>0</v>
      </c>
      <c r="J946" t="n">
        <v>0</v>
      </c>
      <c r="K946" t="n">
        <v>0</v>
      </c>
      <c r="L946" t="n">
        <v>0</v>
      </c>
      <c r="M946" t="n">
        <v>0</v>
      </c>
      <c r="N946" t="n">
        <v>0</v>
      </c>
      <c r="O946" t="n">
        <v>0</v>
      </c>
      <c r="P946" t="n">
        <v>0</v>
      </c>
      <c r="Q946" t="n">
        <v>0</v>
      </c>
      <c r="R946" s="2" t="inlineStr"/>
    </row>
    <row r="947" ht="15" customHeight="1">
      <c r="A947" t="inlineStr">
        <is>
          <t>A 31382-2019</t>
        </is>
      </c>
      <c r="B947" s="1" t="n">
        <v>43641</v>
      </c>
      <c r="C947" s="1" t="n">
        <v>45224</v>
      </c>
      <c r="D947" t="inlineStr">
        <is>
          <t>STOCKHOLMS LÄN</t>
        </is>
      </c>
      <c r="E947" t="inlineStr">
        <is>
          <t>NYNÄSHAMN</t>
        </is>
      </c>
      <c r="G947" t="n">
        <v>7</v>
      </c>
      <c r="H947" t="n">
        <v>0</v>
      </c>
      <c r="I947" t="n">
        <v>0</v>
      </c>
      <c r="J947" t="n">
        <v>0</v>
      </c>
      <c r="K947" t="n">
        <v>0</v>
      </c>
      <c r="L947" t="n">
        <v>0</v>
      </c>
      <c r="M947" t="n">
        <v>0</v>
      </c>
      <c r="N947" t="n">
        <v>0</v>
      </c>
      <c r="O947" t="n">
        <v>0</v>
      </c>
      <c r="P947" t="n">
        <v>0</v>
      </c>
      <c r="Q947" t="n">
        <v>0</v>
      </c>
      <c r="R947" s="2" t="inlineStr"/>
    </row>
    <row r="948" ht="15" customHeight="1">
      <c r="A948" t="inlineStr">
        <is>
          <t>A 31662-2019</t>
        </is>
      </c>
      <c r="B948" s="1" t="n">
        <v>43642</v>
      </c>
      <c r="C948" s="1" t="n">
        <v>45224</v>
      </c>
      <c r="D948" t="inlineStr">
        <is>
          <t>STOCKHOLMS LÄN</t>
        </is>
      </c>
      <c r="E948" t="inlineStr">
        <is>
          <t>SÖDERTÄLJE</t>
        </is>
      </c>
      <c r="G948" t="n">
        <v>0.5</v>
      </c>
      <c r="H948" t="n">
        <v>0</v>
      </c>
      <c r="I948" t="n">
        <v>0</v>
      </c>
      <c r="J948" t="n">
        <v>0</v>
      </c>
      <c r="K948" t="n">
        <v>0</v>
      </c>
      <c r="L948" t="n">
        <v>0</v>
      </c>
      <c r="M948" t="n">
        <v>0</v>
      </c>
      <c r="N948" t="n">
        <v>0</v>
      </c>
      <c r="O948" t="n">
        <v>0</v>
      </c>
      <c r="P948" t="n">
        <v>0</v>
      </c>
      <c r="Q948" t="n">
        <v>0</v>
      </c>
      <c r="R948" s="2" t="inlineStr"/>
    </row>
    <row r="949" ht="15" customHeight="1">
      <c r="A949" t="inlineStr">
        <is>
          <t>A 31893-2019</t>
        </is>
      </c>
      <c r="B949" s="1" t="n">
        <v>43642</v>
      </c>
      <c r="C949" s="1" t="n">
        <v>45224</v>
      </c>
      <c r="D949" t="inlineStr">
        <is>
          <t>STOCKHOLMS LÄN</t>
        </is>
      </c>
      <c r="E949" t="inlineStr">
        <is>
          <t>NYNÄSHAMN</t>
        </is>
      </c>
      <c r="F949" t="inlineStr">
        <is>
          <t>Kommuner</t>
        </is>
      </c>
      <c r="G949" t="n">
        <v>3.4</v>
      </c>
      <c r="H949" t="n">
        <v>0</v>
      </c>
      <c r="I949" t="n">
        <v>0</v>
      </c>
      <c r="J949" t="n">
        <v>0</v>
      </c>
      <c r="K949" t="n">
        <v>0</v>
      </c>
      <c r="L949" t="n">
        <v>0</v>
      </c>
      <c r="M949" t="n">
        <v>0</v>
      </c>
      <c r="N949" t="n">
        <v>0</v>
      </c>
      <c r="O949" t="n">
        <v>0</v>
      </c>
      <c r="P949" t="n">
        <v>0</v>
      </c>
      <c r="Q949" t="n">
        <v>0</v>
      </c>
      <c r="R949" s="2" t="inlineStr"/>
    </row>
    <row r="950" ht="15" customHeight="1">
      <c r="A950" t="inlineStr">
        <is>
          <t>A 31976-2019</t>
        </is>
      </c>
      <c r="B950" s="1" t="n">
        <v>43643</v>
      </c>
      <c r="C950" s="1" t="n">
        <v>45224</v>
      </c>
      <c r="D950" t="inlineStr">
        <is>
          <t>STOCKHOLMS LÄN</t>
        </is>
      </c>
      <c r="E950" t="inlineStr">
        <is>
          <t>NYNÄSHAMN</t>
        </is>
      </c>
      <c r="G950" t="n">
        <v>7.6</v>
      </c>
      <c r="H950" t="n">
        <v>0</v>
      </c>
      <c r="I950" t="n">
        <v>0</v>
      </c>
      <c r="J950" t="n">
        <v>0</v>
      </c>
      <c r="K950" t="n">
        <v>0</v>
      </c>
      <c r="L950" t="n">
        <v>0</v>
      </c>
      <c r="M950" t="n">
        <v>0</v>
      </c>
      <c r="N950" t="n">
        <v>0</v>
      </c>
      <c r="O950" t="n">
        <v>0</v>
      </c>
      <c r="P950" t="n">
        <v>0</v>
      </c>
      <c r="Q950" t="n">
        <v>0</v>
      </c>
      <c r="R950" s="2" t="inlineStr"/>
    </row>
    <row r="951" ht="15" customHeight="1">
      <c r="A951" t="inlineStr">
        <is>
          <t>A 31966-2019</t>
        </is>
      </c>
      <c r="B951" s="1" t="n">
        <v>43643</v>
      </c>
      <c r="C951" s="1" t="n">
        <v>45224</v>
      </c>
      <c r="D951" t="inlineStr">
        <is>
          <t>STOCKHOLMS LÄN</t>
        </is>
      </c>
      <c r="E951" t="inlineStr">
        <is>
          <t>NORRTÄLJE</t>
        </is>
      </c>
      <c r="G951" t="n">
        <v>1.3</v>
      </c>
      <c r="H951" t="n">
        <v>0</v>
      </c>
      <c r="I951" t="n">
        <v>0</v>
      </c>
      <c r="J951" t="n">
        <v>0</v>
      </c>
      <c r="K951" t="n">
        <v>0</v>
      </c>
      <c r="L951" t="n">
        <v>0</v>
      </c>
      <c r="M951" t="n">
        <v>0</v>
      </c>
      <c r="N951" t="n">
        <v>0</v>
      </c>
      <c r="O951" t="n">
        <v>0</v>
      </c>
      <c r="P951" t="n">
        <v>0</v>
      </c>
      <c r="Q951" t="n">
        <v>0</v>
      </c>
      <c r="R951" s="2" t="inlineStr"/>
    </row>
    <row r="952" ht="15" customHeight="1">
      <c r="A952" t="inlineStr">
        <is>
          <t>A 31971-2019</t>
        </is>
      </c>
      <c r="B952" s="1" t="n">
        <v>43643</v>
      </c>
      <c r="C952" s="1" t="n">
        <v>45224</v>
      </c>
      <c r="D952" t="inlineStr">
        <is>
          <t>STOCKHOLMS LÄN</t>
        </is>
      </c>
      <c r="E952" t="inlineStr">
        <is>
          <t>NYNÄSHAMN</t>
        </is>
      </c>
      <c r="G952" t="n">
        <v>3.1</v>
      </c>
      <c r="H952" t="n">
        <v>0</v>
      </c>
      <c r="I952" t="n">
        <v>0</v>
      </c>
      <c r="J952" t="n">
        <v>0</v>
      </c>
      <c r="K952" t="n">
        <v>0</v>
      </c>
      <c r="L952" t="n">
        <v>0</v>
      </c>
      <c r="M952" t="n">
        <v>0</v>
      </c>
      <c r="N952" t="n">
        <v>0</v>
      </c>
      <c r="O952" t="n">
        <v>0</v>
      </c>
      <c r="P952" t="n">
        <v>0</v>
      </c>
      <c r="Q952" t="n">
        <v>0</v>
      </c>
      <c r="R952" s="2" t="inlineStr"/>
    </row>
    <row r="953" ht="15" customHeight="1">
      <c r="A953" t="inlineStr">
        <is>
          <t>A 33732-2019</t>
        </is>
      </c>
      <c r="B953" s="1" t="n">
        <v>43644</v>
      </c>
      <c r="C953" s="1" t="n">
        <v>45224</v>
      </c>
      <c r="D953" t="inlineStr">
        <is>
          <t>STOCKHOLMS LÄN</t>
        </is>
      </c>
      <c r="E953" t="inlineStr">
        <is>
          <t>UPPLANDS-BRO</t>
        </is>
      </c>
      <c r="G953" t="n">
        <v>0.9</v>
      </c>
      <c r="H953" t="n">
        <v>0</v>
      </c>
      <c r="I953" t="n">
        <v>0</v>
      </c>
      <c r="J953" t="n">
        <v>0</v>
      </c>
      <c r="K953" t="n">
        <v>0</v>
      </c>
      <c r="L953" t="n">
        <v>0</v>
      </c>
      <c r="M953" t="n">
        <v>0</v>
      </c>
      <c r="N953" t="n">
        <v>0</v>
      </c>
      <c r="O953" t="n">
        <v>0</v>
      </c>
      <c r="P953" t="n">
        <v>0</v>
      </c>
      <c r="Q953" t="n">
        <v>0</v>
      </c>
      <c r="R953" s="2" t="inlineStr"/>
    </row>
    <row r="954" ht="15" customHeight="1">
      <c r="A954" t="inlineStr">
        <is>
          <t>A 32726-2019</t>
        </is>
      </c>
      <c r="B954" s="1" t="n">
        <v>43647</v>
      </c>
      <c r="C954" s="1" t="n">
        <v>45224</v>
      </c>
      <c r="D954" t="inlineStr">
        <is>
          <t>STOCKHOLMS LÄN</t>
        </is>
      </c>
      <c r="E954" t="inlineStr">
        <is>
          <t>NORRTÄLJE</t>
        </is>
      </c>
      <c r="G954" t="n">
        <v>1</v>
      </c>
      <c r="H954" t="n">
        <v>0</v>
      </c>
      <c r="I954" t="n">
        <v>0</v>
      </c>
      <c r="J954" t="n">
        <v>0</v>
      </c>
      <c r="K954" t="n">
        <v>0</v>
      </c>
      <c r="L954" t="n">
        <v>0</v>
      </c>
      <c r="M954" t="n">
        <v>0</v>
      </c>
      <c r="N954" t="n">
        <v>0</v>
      </c>
      <c r="O954" t="n">
        <v>0</v>
      </c>
      <c r="P954" t="n">
        <v>0</v>
      </c>
      <c r="Q954" t="n">
        <v>0</v>
      </c>
      <c r="R954" s="2" t="inlineStr"/>
    </row>
    <row r="955" ht="15" customHeight="1">
      <c r="A955" t="inlineStr">
        <is>
          <t>A 32725-2019</t>
        </is>
      </c>
      <c r="B955" s="1" t="n">
        <v>43647</v>
      </c>
      <c r="C955" s="1" t="n">
        <v>45224</v>
      </c>
      <c r="D955" t="inlineStr">
        <is>
          <t>STOCKHOLMS LÄN</t>
        </is>
      </c>
      <c r="E955" t="inlineStr">
        <is>
          <t>NORRTÄLJE</t>
        </is>
      </c>
      <c r="G955" t="n">
        <v>1.5</v>
      </c>
      <c r="H955" t="n">
        <v>0</v>
      </c>
      <c r="I955" t="n">
        <v>0</v>
      </c>
      <c r="J955" t="n">
        <v>0</v>
      </c>
      <c r="K955" t="n">
        <v>0</v>
      </c>
      <c r="L955" t="n">
        <v>0</v>
      </c>
      <c r="M955" t="n">
        <v>0</v>
      </c>
      <c r="N955" t="n">
        <v>0</v>
      </c>
      <c r="O955" t="n">
        <v>0</v>
      </c>
      <c r="P955" t="n">
        <v>0</v>
      </c>
      <c r="Q955" t="n">
        <v>0</v>
      </c>
      <c r="R955" s="2" t="inlineStr"/>
    </row>
    <row r="956" ht="15" customHeight="1">
      <c r="A956" t="inlineStr">
        <is>
          <t>A 32813-2019</t>
        </is>
      </c>
      <c r="B956" s="1" t="n">
        <v>43648</v>
      </c>
      <c r="C956" s="1" t="n">
        <v>45224</v>
      </c>
      <c r="D956" t="inlineStr">
        <is>
          <t>STOCKHOLMS LÄN</t>
        </is>
      </c>
      <c r="E956" t="inlineStr">
        <is>
          <t>SIGTUNA</t>
        </is>
      </c>
      <c r="G956" t="n">
        <v>8.300000000000001</v>
      </c>
      <c r="H956" t="n">
        <v>0</v>
      </c>
      <c r="I956" t="n">
        <v>0</v>
      </c>
      <c r="J956" t="n">
        <v>0</v>
      </c>
      <c r="K956" t="n">
        <v>0</v>
      </c>
      <c r="L956" t="n">
        <v>0</v>
      </c>
      <c r="M956" t="n">
        <v>0</v>
      </c>
      <c r="N956" t="n">
        <v>0</v>
      </c>
      <c r="O956" t="n">
        <v>0</v>
      </c>
      <c r="P956" t="n">
        <v>0</v>
      </c>
      <c r="Q956" t="n">
        <v>0</v>
      </c>
      <c r="R956" s="2" t="inlineStr"/>
    </row>
    <row r="957" ht="15" customHeight="1">
      <c r="A957" t="inlineStr">
        <is>
          <t>A 33207-2019</t>
        </is>
      </c>
      <c r="B957" s="1" t="n">
        <v>43649</v>
      </c>
      <c r="C957" s="1" t="n">
        <v>45224</v>
      </c>
      <c r="D957" t="inlineStr">
        <is>
          <t>STOCKHOLMS LÄN</t>
        </is>
      </c>
      <c r="E957" t="inlineStr">
        <is>
          <t>NORRTÄLJE</t>
        </is>
      </c>
      <c r="G957" t="n">
        <v>0.6</v>
      </c>
      <c r="H957" t="n">
        <v>0</v>
      </c>
      <c r="I957" t="n">
        <v>0</v>
      </c>
      <c r="J957" t="n">
        <v>0</v>
      </c>
      <c r="K957" t="n">
        <v>0</v>
      </c>
      <c r="L957" t="n">
        <v>0</v>
      </c>
      <c r="M957" t="n">
        <v>0</v>
      </c>
      <c r="N957" t="n">
        <v>0</v>
      </c>
      <c r="O957" t="n">
        <v>0</v>
      </c>
      <c r="P957" t="n">
        <v>0</v>
      </c>
      <c r="Q957" t="n">
        <v>0</v>
      </c>
      <c r="R957" s="2" t="inlineStr"/>
    </row>
    <row r="958" ht="15" customHeight="1">
      <c r="A958" t="inlineStr">
        <is>
          <t>A 33196-2019</t>
        </is>
      </c>
      <c r="B958" s="1" t="n">
        <v>43649</v>
      </c>
      <c r="C958" s="1" t="n">
        <v>45224</v>
      </c>
      <c r="D958" t="inlineStr">
        <is>
          <t>STOCKHOLMS LÄN</t>
        </is>
      </c>
      <c r="E958" t="inlineStr">
        <is>
          <t>NYKVARN</t>
        </is>
      </c>
      <c r="G958" t="n">
        <v>0.9</v>
      </c>
      <c r="H958" t="n">
        <v>0</v>
      </c>
      <c r="I958" t="n">
        <v>0</v>
      </c>
      <c r="J958" t="n">
        <v>0</v>
      </c>
      <c r="K958" t="n">
        <v>0</v>
      </c>
      <c r="L958" t="n">
        <v>0</v>
      </c>
      <c r="M958" t="n">
        <v>0</v>
      </c>
      <c r="N958" t="n">
        <v>0</v>
      </c>
      <c r="O958" t="n">
        <v>0</v>
      </c>
      <c r="P958" t="n">
        <v>0</v>
      </c>
      <c r="Q958" t="n">
        <v>0</v>
      </c>
      <c r="R958" s="2" t="inlineStr"/>
    </row>
    <row r="959" ht="15" customHeight="1">
      <c r="A959" t="inlineStr">
        <is>
          <t>A 35301-2019</t>
        </is>
      </c>
      <c r="B959" s="1" t="n">
        <v>43651</v>
      </c>
      <c r="C959" s="1" t="n">
        <v>45224</v>
      </c>
      <c r="D959" t="inlineStr">
        <is>
          <t>STOCKHOLMS LÄN</t>
        </is>
      </c>
      <c r="E959" t="inlineStr">
        <is>
          <t>VALLENTUNA</t>
        </is>
      </c>
      <c r="G959" t="n">
        <v>4.7</v>
      </c>
      <c r="H959" t="n">
        <v>0</v>
      </c>
      <c r="I959" t="n">
        <v>0</v>
      </c>
      <c r="J959" t="n">
        <v>0</v>
      </c>
      <c r="K959" t="n">
        <v>0</v>
      </c>
      <c r="L959" t="n">
        <v>0</v>
      </c>
      <c r="M959" t="n">
        <v>0</v>
      </c>
      <c r="N959" t="n">
        <v>0</v>
      </c>
      <c r="O959" t="n">
        <v>0</v>
      </c>
      <c r="P959" t="n">
        <v>0</v>
      </c>
      <c r="Q959" t="n">
        <v>0</v>
      </c>
      <c r="R959" s="2" t="inlineStr"/>
    </row>
    <row r="960" ht="15" customHeight="1">
      <c r="A960" t="inlineStr">
        <is>
          <t>A 35303-2019</t>
        </is>
      </c>
      <c r="B960" s="1" t="n">
        <v>43651</v>
      </c>
      <c r="C960" s="1" t="n">
        <v>45224</v>
      </c>
      <c r="D960" t="inlineStr">
        <is>
          <t>STOCKHOLMS LÄN</t>
        </is>
      </c>
      <c r="E960" t="inlineStr">
        <is>
          <t>VALLENTUNA</t>
        </is>
      </c>
      <c r="G960" t="n">
        <v>7</v>
      </c>
      <c r="H960" t="n">
        <v>0</v>
      </c>
      <c r="I960" t="n">
        <v>0</v>
      </c>
      <c r="J960" t="n">
        <v>0</v>
      </c>
      <c r="K960" t="n">
        <v>0</v>
      </c>
      <c r="L960" t="n">
        <v>0</v>
      </c>
      <c r="M960" t="n">
        <v>0</v>
      </c>
      <c r="N960" t="n">
        <v>0</v>
      </c>
      <c r="O960" t="n">
        <v>0</v>
      </c>
      <c r="P960" t="n">
        <v>0</v>
      </c>
      <c r="Q960" t="n">
        <v>0</v>
      </c>
      <c r="R960" s="2" t="inlineStr"/>
    </row>
    <row r="961" ht="15" customHeight="1">
      <c r="A961" t="inlineStr">
        <is>
          <t>A 33966-2019</t>
        </is>
      </c>
      <c r="B961" s="1" t="n">
        <v>43654</v>
      </c>
      <c r="C961" s="1" t="n">
        <v>45224</v>
      </c>
      <c r="D961" t="inlineStr">
        <is>
          <t>STOCKHOLMS LÄN</t>
        </is>
      </c>
      <c r="E961" t="inlineStr">
        <is>
          <t>NORRTÄLJE</t>
        </is>
      </c>
      <c r="G961" t="n">
        <v>3.2</v>
      </c>
      <c r="H961" t="n">
        <v>0</v>
      </c>
      <c r="I961" t="n">
        <v>0</v>
      </c>
      <c r="J961" t="n">
        <v>0</v>
      </c>
      <c r="K961" t="n">
        <v>0</v>
      </c>
      <c r="L961" t="n">
        <v>0</v>
      </c>
      <c r="M961" t="n">
        <v>0</v>
      </c>
      <c r="N961" t="n">
        <v>0</v>
      </c>
      <c r="O961" t="n">
        <v>0</v>
      </c>
      <c r="P961" t="n">
        <v>0</v>
      </c>
      <c r="Q961" t="n">
        <v>0</v>
      </c>
      <c r="R961" s="2" t="inlineStr"/>
    </row>
    <row r="962" ht="15" customHeight="1">
      <c r="A962" t="inlineStr">
        <is>
          <t>A 33955-2019</t>
        </is>
      </c>
      <c r="B962" s="1" t="n">
        <v>43654</v>
      </c>
      <c r="C962" s="1" t="n">
        <v>45224</v>
      </c>
      <c r="D962" t="inlineStr">
        <is>
          <t>STOCKHOLMS LÄN</t>
        </is>
      </c>
      <c r="E962" t="inlineStr">
        <is>
          <t>NORRTÄLJE</t>
        </is>
      </c>
      <c r="G962" t="n">
        <v>1.7</v>
      </c>
      <c r="H962" t="n">
        <v>0</v>
      </c>
      <c r="I962" t="n">
        <v>0</v>
      </c>
      <c r="J962" t="n">
        <v>0</v>
      </c>
      <c r="K962" t="n">
        <v>0</v>
      </c>
      <c r="L962" t="n">
        <v>0</v>
      </c>
      <c r="M962" t="n">
        <v>0</v>
      </c>
      <c r="N962" t="n">
        <v>0</v>
      </c>
      <c r="O962" t="n">
        <v>0</v>
      </c>
      <c r="P962" t="n">
        <v>0</v>
      </c>
      <c r="Q962" t="n">
        <v>0</v>
      </c>
      <c r="R962" s="2" t="inlineStr"/>
    </row>
    <row r="963" ht="15" customHeight="1">
      <c r="A963" t="inlineStr">
        <is>
          <t>A 35247-2019</t>
        </is>
      </c>
      <c r="B963" s="1" t="n">
        <v>43656</v>
      </c>
      <c r="C963" s="1" t="n">
        <v>45224</v>
      </c>
      <c r="D963" t="inlineStr">
        <is>
          <t>STOCKHOLMS LÄN</t>
        </is>
      </c>
      <c r="E963" t="inlineStr">
        <is>
          <t>NORRTÄLJE</t>
        </is>
      </c>
      <c r="G963" t="n">
        <v>1.8</v>
      </c>
      <c r="H963" t="n">
        <v>0</v>
      </c>
      <c r="I963" t="n">
        <v>0</v>
      </c>
      <c r="J963" t="n">
        <v>0</v>
      </c>
      <c r="K963" t="n">
        <v>0</v>
      </c>
      <c r="L963" t="n">
        <v>0</v>
      </c>
      <c r="M963" t="n">
        <v>0</v>
      </c>
      <c r="N963" t="n">
        <v>0</v>
      </c>
      <c r="O963" t="n">
        <v>0</v>
      </c>
      <c r="P963" t="n">
        <v>0</v>
      </c>
      <c r="Q963" t="n">
        <v>0</v>
      </c>
      <c r="R963" s="2" t="inlineStr"/>
    </row>
    <row r="964" ht="15" customHeight="1">
      <c r="A964" t="inlineStr">
        <is>
          <t>A 35244-2019</t>
        </is>
      </c>
      <c r="B964" s="1" t="n">
        <v>43656</v>
      </c>
      <c r="C964" s="1" t="n">
        <v>45224</v>
      </c>
      <c r="D964" t="inlineStr">
        <is>
          <t>STOCKHOLMS LÄN</t>
        </is>
      </c>
      <c r="E964" t="inlineStr">
        <is>
          <t>NORRTÄLJE</t>
        </is>
      </c>
      <c r="G964" t="n">
        <v>1.9</v>
      </c>
      <c r="H964" t="n">
        <v>0</v>
      </c>
      <c r="I964" t="n">
        <v>0</v>
      </c>
      <c r="J964" t="n">
        <v>0</v>
      </c>
      <c r="K964" t="n">
        <v>0</v>
      </c>
      <c r="L964" t="n">
        <v>0</v>
      </c>
      <c r="M964" t="n">
        <v>0</v>
      </c>
      <c r="N964" t="n">
        <v>0</v>
      </c>
      <c r="O964" t="n">
        <v>0</v>
      </c>
      <c r="P964" t="n">
        <v>0</v>
      </c>
      <c r="Q964" t="n">
        <v>0</v>
      </c>
      <c r="R964" s="2" t="inlineStr"/>
    </row>
    <row r="965" ht="15" customHeight="1">
      <c r="A965" t="inlineStr">
        <is>
          <t>A 35251-2019</t>
        </is>
      </c>
      <c r="B965" s="1" t="n">
        <v>43656</v>
      </c>
      <c r="C965" s="1" t="n">
        <v>45224</v>
      </c>
      <c r="D965" t="inlineStr">
        <is>
          <t>STOCKHOLMS LÄN</t>
        </is>
      </c>
      <c r="E965" t="inlineStr">
        <is>
          <t>NORRTÄLJE</t>
        </is>
      </c>
      <c r="G965" t="n">
        <v>0.6</v>
      </c>
      <c r="H965" t="n">
        <v>0</v>
      </c>
      <c r="I965" t="n">
        <v>0</v>
      </c>
      <c r="J965" t="n">
        <v>0</v>
      </c>
      <c r="K965" t="n">
        <v>0</v>
      </c>
      <c r="L965" t="n">
        <v>0</v>
      </c>
      <c r="M965" t="n">
        <v>0</v>
      </c>
      <c r="N965" t="n">
        <v>0</v>
      </c>
      <c r="O965" t="n">
        <v>0</v>
      </c>
      <c r="P965" t="n">
        <v>0</v>
      </c>
      <c r="Q965" t="n">
        <v>0</v>
      </c>
      <c r="R965" s="2" t="inlineStr"/>
    </row>
    <row r="966" ht="15" customHeight="1">
      <c r="A966" t="inlineStr">
        <is>
          <t>A 35249-2019</t>
        </is>
      </c>
      <c r="B966" s="1" t="n">
        <v>43656</v>
      </c>
      <c r="C966" s="1" t="n">
        <v>45224</v>
      </c>
      <c r="D966" t="inlineStr">
        <is>
          <t>STOCKHOLMS LÄN</t>
        </is>
      </c>
      <c r="E966" t="inlineStr">
        <is>
          <t>NORRTÄLJE</t>
        </is>
      </c>
      <c r="G966" t="n">
        <v>0.8</v>
      </c>
      <c r="H966" t="n">
        <v>0</v>
      </c>
      <c r="I966" t="n">
        <v>0</v>
      </c>
      <c r="J966" t="n">
        <v>0</v>
      </c>
      <c r="K966" t="n">
        <v>0</v>
      </c>
      <c r="L966" t="n">
        <v>0</v>
      </c>
      <c r="M966" t="n">
        <v>0</v>
      </c>
      <c r="N966" t="n">
        <v>0</v>
      </c>
      <c r="O966" t="n">
        <v>0</v>
      </c>
      <c r="P966" t="n">
        <v>0</v>
      </c>
      <c r="Q966" t="n">
        <v>0</v>
      </c>
      <c r="R966" s="2" t="inlineStr"/>
    </row>
    <row r="967" ht="15" customHeight="1">
      <c r="A967" t="inlineStr">
        <is>
          <t>A 34656-2019</t>
        </is>
      </c>
      <c r="B967" s="1" t="n">
        <v>43657</v>
      </c>
      <c r="C967" s="1" t="n">
        <v>45224</v>
      </c>
      <c r="D967" t="inlineStr">
        <is>
          <t>STOCKHOLMS LÄN</t>
        </is>
      </c>
      <c r="E967" t="inlineStr">
        <is>
          <t>HANINGE</t>
        </is>
      </c>
      <c r="F967" t="inlineStr">
        <is>
          <t>Kommuner</t>
        </is>
      </c>
      <c r="G967" t="n">
        <v>5</v>
      </c>
      <c r="H967" t="n">
        <v>0</v>
      </c>
      <c r="I967" t="n">
        <v>0</v>
      </c>
      <c r="J967" t="n">
        <v>0</v>
      </c>
      <c r="K967" t="n">
        <v>0</v>
      </c>
      <c r="L967" t="n">
        <v>0</v>
      </c>
      <c r="M967" t="n">
        <v>0</v>
      </c>
      <c r="N967" t="n">
        <v>0</v>
      </c>
      <c r="O967" t="n">
        <v>0</v>
      </c>
      <c r="P967" t="n">
        <v>0</v>
      </c>
      <c r="Q967" t="n">
        <v>0</v>
      </c>
      <c r="R967" s="2" t="inlineStr"/>
    </row>
    <row r="968" ht="15" customHeight="1">
      <c r="A968" t="inlineStr">
        <is>
          <t>A 34756-2019</t>
        </is>
      </c>
      <c r="B968" s="1" t="n">
        <v>43658</v>
      </c>
      <c r="C968" s="1" t="n">
        <v>45224</v>
      </c>
      <c r="D968" t="inlineStr">
        <is>
          <t>STOCKHOLMS LÄN</t>
        </is>
      </c>
      <c r="E968" t="inlineStr">
        <is>
          <t>NYKVARN</t>
        </is>
      </c>
      <c r="G968" t="n">
        <v>11.5</v>
      </c>
      <c r="H968" t="n">
        <v>0</v>
      </c>
      <c r="I968" t="n">
        <v>0</v>
      </c>
      <c r="J968" t="n">
        <v>0</v>
      </c>
      <c r="K968" t="n">
        <v>0</v>
      </c>
      <c r="L968" t="n">
        <v>0</v>
      </c>
      <c r="M968" t="n">
        <v>0</v>
      </c>
      <c r="N968" t="n">
        <v>0</v>
      </c>
      <c r="O968" t="n">
        <v>0</v>
      </c>
      <c r="P968" t="n">
        <v>0</v>
      </c>
      <c r="Q968" t="n">
        <v>0</v>
      </c>
      <c r="R968" s="2" t="inlineStr"/>
    </row>
    <row r="969" ht="15" customHeight="1">
      <c r="A969" t="inlineStr">
        <is>
          <t>A 35187-2019</t>
        </is>
      </c>
      <c r="B969" s="1" t="n">
        <v>43661</v>
      </c>
      <c r="C969" s="1" t="n">
        <v>45224</v>
      </c>
      <c r="D969" t="inlineStr">
        <is>
          <t>STOCKHOLMS LÄN</t>
        </is>
      </c>
      <c r="E969" t="inlineStr">
        <is>
          <t>UPPLANDS-BRO</t>
        </is>
      </c>
      <c r="F969" t="inlineStr">
        <is>
          <t>Allmännings- och besparingsskogar</t>
        </is>
      </c>
      <c r="G969" t="n">
        <v>0.7</v>
      </c>
      <c r="H969" t="n">
        <v>0</v>
      </c>
      <c r="I969" t="n">
        <v>0</v>
      </c>
      <c r="J969" t="n">
        <v>0</v>
      </c>
      <c r="K969" t="n">
        <v>0</v>
      </c>
      <c r="L969" t="n">
        <v>0</v>
      </c>
      <c r="M969" t="n">
        <v>0</v>
      </c>
      <c r="N969" t="n">
        <v>0</v>
      </c>
      <c r="O969" t="n">
        <v>0</v>
      </c>
      <c r="P969" t="n">
        <v>0</v>
      </c>
      <c r="Q969" t="n">
        <v>0</v>
      </c>
      <c r="R969" s="2" t="inlineStr"/>
    </row>
    <row r="970" ht="15" customHeight="1">
      <c r="A970" t="inlineStr">
        <is>
          <t>A 35492-2019</t>
        </is>
      </c>
      <c r="B970" s="1" t="n">
        <v>43663</v>
      </c>
      <c r="C970" s="1" t="n">
        <v>45224</v>
      </c>
      <c r="D970" t="inlineStr">
        <is>
          <t>STOCKHOLMS LÄN</t>
        </is>
      </c>
      <c r="E970" t="inlineStr">
        <is>
          <t>NORRTÄLJE</t>
        </is>
      </c>
      <c r="G970" t="n">
        <v>14</v>
      </c>
      <c r="H970" t="n">
        <v>0</v>
      </c>
      <c r="I970" t="n">
        <v>0</v>
      </c>
      <c r="J970" t="n">
        <v>0</v>
      </c>
      <c r="K970" t="n">
        <v>0</v>
      </c>
      <c r="L970" t="n">
        <v>0</v>
      </c>
      <c r="M970" t="n">
        <v>0</v>
      </c>
      <c r="N970" t="n">
        <v>0</v>
      </c>
      <c r="O970" t="n">
        <v>0</v>
      </c>
      <c r="P970" t="n">
        <v>0</v>
      </c>
      <c r="Q970" t="n">
        <v>0</v>
      </c>
      <c r="R970" s="2" t="inlineStr"/>
    </row>
    <row r="971" ht="15" customHeight="1">
      <c r="A971" t="inlineStr">
        <is>
          <t>A 35766-2019</t>
        </is>
      </c>
      <c r="B971" s="1" t="n">
        <v>43665</v>
      </c>
      <c r="C971" s="1" t="n">
        <v>45224</v>
      </c>
      <c r="D971" t="inlineStr">
        <is>
          <t>STOCKHOLMS LÄN</t>
        </is>
      </c>
      <c r="E971" t="inlineStr">
        <is>
          <t>NORRTÄLJE</t>
        </is>
      </c>
      <c r="G971" t="n">
        <v>2.1</v>
      </c>
      <c r="H971" t="n">
        <v>0</v>
      </c>
      <c r="I971" t="n">
        <v>0</v>
      </c>
      <c r="J971" t="n">
        <v>0</v>
      </c>
      <c r="K971" t="n">
        <v>0</v>
      </c>
      <c r="L971" t="n">
        <v>0</v>
      </c>
      <c r="M971" t="n">
        <v>0</v>
      </c>
      <c r="N971" t="n">
        <v>0</v>
      </c>
      <c r="O971" t="n">
        <v>0</v>
      </c>
      <c r="P971" t="n">
        <v>0</v>
      </c>
      <c r="Q971" t="n">
        <v>0</v>
      </c>
      <c r="R971" s="2" t="inlineStr"/>
    </row>
    <row r="972" ht="15" customHeight="1">
      <c r="A972" t="inlineStr">
        <is>
          <t>A 35770-2019</t>
        </is>
      </c>
      <c r="B972" s="1" t="n">
        <v>43665</v>
      </c>
      <c r="C972" s="1" t="n">
        <v>45224</v>
      </c>
      <c r="D972" t="inlineStr">
        <is>
          <t>STOCKHOLMS LÄN</t>
        </is>
      </c>
      <c r="E972" t="inlineStr">
        <is>
          <t>NORRTÄLJE</t>
        </is>
      </c>
      <c r="G972" t="n">
        <v>6.3</v>
      </c>
      <c r="H972" t="n">
        <v>0</v>
      </c>
      <c r="I972" t="n">
        <v>0</v>
      </c>
      <c r="J972" t="n">
        <v>0</v>
      </c>
      <c r="K972" t="n">
        <v>0</v>
      </c>
      <c r="L972" t="n">
        <v>0</v>
      </c>
      <c r="M972" t="n">
        <v>0</v>
      </c>
      <c r="N972" t="n">
        <v>0</v>
      </c>
      <c r="O972" t="n">
        <v>0</v>
      </c>
      <c r="P972" t="n">
        <v>0</v>
      </c>
      <c r="Q972" t="n">
        <v>0</v>
      </c>
      <c r="R972" s="2" t="inlineStr"/>
    </row>
    <row r="973" ht="15" customHeight="1">
      <c r="A973" t="inlineStr">
        <is>
          <t>A 36135-2019</t>
        </is>
      </c>
      <c r="B973" s="1" t="n">
        <v>43668</v>
      </c>
      <c r="C973" s="1" t="n">
        <v>45224</v>
      </c>
      <c r="D973" t="inlineStr">
        <is>
          <t>STOCKHOLMS LÄN</t>
        </is>
      </c>
      <c r="E973" t="inlineStr">
        <is>
          <t>NYNÄSHAMN</t>
        </is>
      </c>
      <c r="G973" t="n">
        <v>4.8</v>
      </c>
      <c r="H973" t="n">
        <v>0</v>
      </c>
      <c r="I973" t="n">
        <v>0</v>
      </c>
      <c r="J973" t="n">
        <v>0</v>
      </c>
      <c r="K973" t="n">
        <v>0</v>
      </c>
      <c r="L973" t="n">
        <v>0</v>
      </c>
      <c r="M973" t="n">
        <v>0</v>
      </c>
      <c r="N973" t="n">
        <v>0</v>
      </c>
      <c r="O973" t="n">
        <v>0</v>
      </c>
      <c r="P973" t="n">
        <v>0</v>
      </c>
      <c r="Q973" t="n">
        <v>0</v>
      </c>
      <c r="R973" s="2" t="inlineStr"/>
    </row>
    <row r="974" ht="15" customHeight="1">
      <c r="A974" t="inlineStr">
        <is>
          <t>A 36418-2019</t>
        </is>
      </c>
      <c r="B974" s="1" t="n">
        <v>43670</v>
      </c>
      <c r="C974" s="1" t="n">
        <v>45224</v>
      </c>
      <c r="D974" t="inlineStr">
        <is>
          <t>STOCKHOLMS LÄN</t>
        </is>
      </c>
      <c r="E974" t="inlineStr">
        <is>
          <t>NORRTÄLJE</t>
        </is>
      </c>
      <c r="G974" t="n">
        <v>16.8</v>
      </c>
      <c r="H974" t="n">
        <v>0</v>
      </c>
      <c r="I974" t="n">
        <v>0</v>
      </c>
      <c r="J974" t="n">
        <v>0</v>
      </c>
      <c r="K974" t="n">
        <v>0</v>
      </c>
      <c r="L974" t="n">
        <v>0</v>
      </c>
      <c r="M974" t="n">
        <v>0</v>
      </c>
      <c r="N974" t="n">
        <v>0</v>
      </c>
      <c r="O974" t="n">
        <v>0</v>
      </c>
      <c r="P974" t="n">
        <v>0</v>
      </c>
      <c r="Q974" t="n">
        <v>0</v>
      </c>
      <c r="R974" s="2" t="inlineStr"/>
    </row>
    <row r="975" ht="15" customHeight="1">
      <c r="A975" t="inlineStr">
        <is>
          <t>A 36725-2019</t>
        </is>
      </c>
      <c r="B975" s="1" t="n">
        <v>43671</v>
      </c>
      <c r="C975" s="1" t="n">
        <v>45224</v>
      </c>
      <c r="D975" t="inlineStr">
        <is>
          <t>STOCKHOLMS LÄN</t>
        </is>
      </c>
      <c r="E975" t="inlineStr">
        <is>
          <t>UPPLANDS-BRO</t>
        </is>
      </c>
      <c r="G975" t="n">
        <v>2.7</v>
      </c>
      <c r="H975" t="n">
        <v>0</v>
      </c>
      <c r="I975" t="n">
        <v>0</v>
      </c>
      <c r="J975" t="n">
        <v>0</v>
      </c>
      <c r="K975" t="n">
        <v>0</v>
      </c>
      <c r="L975" t="n">
        <v>0</v>
      </c>
      <c r="M975" t="n">
        <v>0</v>
      </c>
      <c r="N975" t="n">
        <v>0</v>
      </c>
      <c r="O975" t="n">
        <v>0</v>
      </c>
      <c r="P975" t="n">
        <v>0</v>
      </c>
      <c r="Q975" t="n">
        <v>0</v>
      </c>
      <c r="R975" s="2" t="inlineStr"/>
    </row>
    <row r="976" ht="15" customHeight="1">
      <c r="A976" t="inlineStr">
        <is>
          <t>A 36722-2019</t>
        </is>
      </c>
      <c r="B976" s="1" t="n">
        <v>43671</v>
      </c>
      <c r="C976" s="1" t="n">
        <v>45224</v>
      </c>
      <c r="D976" t="inlineStr">
        <is>
          <t>STOCKHOLMS LÄN</t>
        </is>
      </c>
      <c r="E976" t="inlineStr">
        <is>
          <t>UPPLANDS-BRO</t>
        </is>
      </c>
      <c r="G976" t="n">
        <v>1.6</v>
      </c>
      <c r="H976" t="n">
        <v>0</v>
      </c>
      <c r="I976" t="n">
        <v>0</v>
      </c>
      <c r="J976" t="n">
        <v>0</v>
      </c>
      <c r="K976" t="n">
        <v>0</v>
      </c>
      <c r="L976" t="n">
        <v>0</v>
      </c>
      <c r="M976" t="n">
        <v>0</v>
      </c>
      <c r="N976" t="n">
        <v>0</v>
      </c>
      <c r="O976" t="n">
        <v>0</v>
      </c>
      <c r="P976" t="n">
        <v>0</v>
      </c>
      <c r="Q976" t="n">
        <v>0</v>
      </c>
      <c r="R976" s="2" t="inlineStr"/>
    </row>
    <row r="977" ht="15" customHeight="1">
      <c r="A977" t="inlineStr">
        <is>
          <t>A 36728-2019</t>
        </is>
      </c>
      <c r="B977" s="1" t="n">
        <v>43671</v>
      </c>
      <c r="C977" s="1" t="n">
        <v>45224</v>
      </c>
      <c r="D977" t="inlineStr">
        <is>
          <t>STOCKHOLMS LÄN</t>
        </is>
      </c>
      <c r="E977" t="inlineStr">
        <is>
          <t>UPPLANDS-BRO</t>
        </is>
      </c>
      <c r="G977" t="n">
        <v>1.6</v>
      </c>
      <c r="H977" t="n">
        <v>0</v>
      </c>
      <c r="I977" t="n">
        <v>0</v>
      </c>
      <c r="J977" t="n">
        <v>0</v>
      </c>
      <c r="K977" t="n">
        <v>0</v>
      </c>
      <c r="L977" t="n">
        <v>0</v>
      </c>
      <c r="M977" t="n">
        <v>0</v>
      </c>
      <c r="N977" t="n">
        <v>0</v>
      </c>
      <c r="O977" t="n">
        <v>0</v>
      </c>
      <c r="P977" t="n">
        <v>0</v>
      </c>
      <c r="Q977" t="n">
        <v>0</v>
      </c>
      <c r="R977" s="2" t="inlineStr"/>
    </row>
    <row r="978" ht="15" customHeight="1">
      <c r="A978" t="inlineStr">
        <is>
          <t>A 36882-2019</t>
        </is>
      </c>
      <c r="B978" s="1" t="n">
        <v>43675</v>
      </c>
      <c r="C978" s="1" t="n">
        <v>45224</v>
      </c>
      <c r="D978" t="inlineStr">
        <is>
          <t>STOCKHOLMS LÄN</t>
        </is>
      </c>
      <c r="E978" t="inlineStr">
        <is>
          <t>SÖDERTÄLJE</t>
        </is>
      </c>
      <c r="G978" t="n">
        <v>3.9</v>
      </c>
      <c r="H978" t="n">
        <v>0</v>
      </c>
      <c r="I978" t="n">
        <v>0</v>
      </c>
      <c r="J978" t="n">
        <v>0</v>
      </c>
      <c r="K978" t="n">
        <v>0</v>
      </c>
      <c r="L978" t="n">
        <v>0</v>
      </c>
      <c r="M978" t="n">
        <v>0</v>
      </c>
      <c r="N978" t="n">
        <v>0</v>
      </c>
      <c r="O978" t="n">
        <v>0</v>
      </c>
      <c r="P978" t="n">
        <v>0</v>
      </c>
      <c r="Q978" t="n">
        <v>0</v>
      </c>
      <c r="R978" s="2" t="inlineStr"/>
    </row>
    <row r="979" ht="15" customHeight="1">
      <c r="A979" t="inlineStr">
        <is>
          <t>A 37227-2019</t>
        </is>
      </c>
      <c r="B979" s="1" t="n">
        <v>43677</v>
      </c>
      <c r="C979" s="1" t="n">
        <v>45224</v>
      </c>
      <c r="D979" t="inlineStr">
        <is>
          <t>STOCKHOLMS LÄN</t>
        </is>
      </c>
      <c r="E979" t="inlineStr">
        <is>
          <t>SÖDERTÄLJE</t>
        </is>
      </c>
      <c r="G979" t="n">
        <v>1.1</v>
      </c>
      <c r="H979" t="n">
        <v>0</v>
      </c>
      <c r="I979" t="n">
        <v>0</v>
      </c>
      <c r="J979" t="n">
        <v>0</v>
      </c>
      <c r="K979" t="n">
        <v>0</v>
      </c>
      <c r="L979" t="n">
        <v>0</v>
      </c>
      <c r="M979" t="n">
        <v>0</v>
      </c>
      <c r="N979" t="n">
        <v>0</v>
      </c>
      <c r="O979" t="n">
        <v>0</v>
      </c>
      <c r="P979" t="n">
        <v>0</v>
      </c>
      <c r="Q979" t="n">
        <v>0</v>
      </c>
      <c r="R979" s="2" t="inlineStr"/>
    </row>
    <row r="980" ht="15" customHeight="1">
      <c r="A980" t="inlineStr">
        <is>
          <t>A 37365-2019</t>
        </is>
      </c>
      <c r="B980" s="1" t="n">
        <v>43678</v>
      </c>
      <c r="C980" s="1" t="n">
        <v>45224</v>
      </c>
      <c r="D980" t="inlineStr">
        <is>
          <t>STOCKHOLMS LÄN</t>
        </is>
      </c>
      <c r="E980" t="inlineStr">
        <is>
          <t>UPPLANDS VÄSBY</t>
        </is>
      </c>
      <c r="G980" t="n">
        <v>1.3</v>
      </c>
      <c r="H980" t="n">
        <v>0</v>
      </c>
      <c r="I980" t="n">
        <v>0</v>
      </c>
      <c r="J980" t="n">
        <v>0</v>
      </c>
      <c r="K980" t="n">
        <v>0</v>
      </c>
      <c r="L980" t="n">
        <v>0</v>
      </c>
      <c r="M980" t="n">
        <v>0</v>
      </c>
      <c r="N980" t="n">
        <v>0</v>
      </c>
      <c r="O980" t="n">
        <v>0</v>
      </c>
      <c r="P980" t="n">
        <v>0</v>
      </c>
      <c r="Q980" t="n">
        <v>0</v>
      </c>
      <c r="R980" s="2" t="inlineStr"/>
    </row>
    <row r="981" ht="15" customHeight="1">
      <c r="A981" t="inlineStr">
        <is>
          <t>A 37561-2019</t>
        </is>
      </c>
      <c r="B981" s="1" t="n">
        <v>43678</v>
      </c>
      <c r="C981" s="1" t="n">
        <v>45224</v>
      </c>
      <c r="D981" t="inlineStr">
        <is>
          <t>STOCKHOLMS LÄN</t>
        </is>
      </c>
      <c r="E981" t="inlineStr">
        <is>
          <t>VALLENTUNA</t>
        </is>
      </c>
      <c r="G981" t="n">
        <v>4</v>
      </c>
      <c r="H981" t="n">
        <v>0</v>
      </c>
      <c r="I981" t="n">
        <v>0</v>
      </c>
      <c r="J981" t="n">
        <v>0</v>
      </c>
      <c r="K981" t="n">
        <v>0</v>
      </c>
      <c r="L981" t="n">
        <v>0</v>
      </c>
      <c r="M981" t="n">
        <v>0</v>
      </c>
      <c r="N981" t="n">
        <v>0</v>
      </c>
      <c r="O981" t="n">
        <v>0</v>
      </c>
      <c r="P981" t="n">
        <v>0</v>
      </c>
      <c r="Q981" t="n">
        <v>0</v>
      </c>
      <c r="R981" s="2" t="inlineStr"/>
    </row>
    <row r="982" ht="15" customHeight="1">
      <c r="A982" t="inlineStr">
        <is>
          <t>A 37662-2019</t>
        </is>
      </c>
      <c r="B982" s="1" t="n">
        <v>43682</v>
      </c>
      <c r="C982" s="1" t="n">
        <v>45224</v>
      </c>
      <c r="D982" t="inlineStr">
        <is>
          <t>STOCKHOLMS LÄN</t>
        </is>
      </c>
      <c r="E982" t="inlineStr">
        <is>
          <t>NORRTÄLJE</t>
        </is>
      </c>
      <c r="G982" t="n">
        <v>1.5</v>
      </c>
      <c r="H982" t="n">
        <v>0</v>
      </c>
      <c r="I982" t="n">
        <v>0</v>
      </c>
      <c r="J982" t="n">
        <v>0</v>
      </c>
      <c r="K982" t="n">
        <v>0</v>
      </c>
      <c r="L982" t="n">
        <v>0</v>
      </c>
      <c r="M982" t="n">
        <v>0</v>
      </c>
      <c r="N982" t="n">
        <v>0</v>
      </c>
      <c r="O982" t="n">
        <v>0</v>
      </c>
      <c r="P982" t="n">
        <v>0</v>
      </c>
      <c r="Q982" t="n">
        <v>0</v>
      </c>
      <c r="R982" s="2" t="inlineStr"/>
    </row>
    <row r="983" ht="15" customHeight="1">
      <c r="A983" t="inlineStr">
        <is>
          <t>A 38143-2019</t>
        </is>
      </c>
      <c r="B983" s="1" t="n">
        <v>43684</v>
      </c>
      <c r="C983" s="1" t="n">
        <v>45224</v>
      </c>
      <c r="D983" t="inlineStr">
        <is>
          <t>STOCKHOLMS LÄN</t>
        </is>
      </c>
      <c r="E983" t="inlineStr">
        <is>
          <t>NORRTÄLJE</t>
        </is>
      </c>
      <c r="G983" t="n">
        <v>12.7</v>
      </c>
      <c r="H983" t="n">
        <v>0</v>
      </c>
      <c r="I983" t="n">
        <v>0</v>
      </c>
      <c r="J983" t="n">
        <v>0</v>
      </c>
      <c r="K983" t="n">
        <v>0</v>
      </c>
      <c r="L983" t="n">
        <v>0</v>
      </c>
      <c r="M983" t="n">
        <v>0</v>
      </c>
      <c r="N983" t="n">
        <v>0</v>
      </c>
      <c r="O983" t="n">
        <v>0</v>
      </c>
      <c r="P983" t="n">
        <v>0</v>
      </c>
      <c r="Q983" t="n">
        <v>0</v>
      </c>
      <c r="R983" s="2" t="inlineStr"/>
    </row>
    <row r="984" ht="15" customHeight="1">
      <c r="A984" t="inlineStr">
        <is>
          <t>A 38140-2019</t>
        </is>
      </c>
      <c r="B984" s="1" t="n">
        <v>43684</v>
      </c>
      <c r="C984" s="1" t="n">
        <v>45224</v>
      </c>
      <c r="D984" t="inlineStr">
        <is>
          <t>STOCKHOLMS LÄN</t>
        </is>
      </c>
      <c r="E984" t="inlineStr">
        <is>
          <t>NORRTÄLJE</t>
        </is>
      </c>
      <c r="G984" t="n">
        <v>3.4</v>
      </c>
      <c r="H984" t="n">
        <v>0</v>
      </c>
      <c r="I984" t="n">
        <v>0</v>
      </c>
      <c r="J984" t="n">
        <v>0</v>
      </c>
      <c r="K984" t="n">
        <v>0</v>
      </c>
      <c r="L984" t="n">
        <v>0</v>
      </c>
      <c r="M984" t="n">
        <v>0</v>
      </c>
      <c r="N984" t="n">
        <v>0</v>
      </c>
      <c r="O984" t="n">
        <v>0</v>
      </c>
      <c r="P984" t="n">
        <v>0</v>
      </c>
      <c r="Q984" t="n">
        <v>0</v>
      </c>
      <c r="R984" s="2" t="inlineStr"/>
    </row>
    <row r="985" ht="15" customHeight="1">
      <c r="A985" t="inlineStr">
        <is>
          <t>A 38216-2019</t>
        </is>
      </c>
      <c r="B985" s="1" t="n">
        <v>43684</v>
      </c>
      <c r="C985" s="1" t="n">
        <v>45224</v>
      </c>
      <c r="D985" t="inlineStr">
        <is>
          <t>STOCKHOLMS LÄN</t>
        </is>
      </c>
      <c r="E985" t="inlineStr">
        <is>
          <t>NYKVARN</t>
        </is>
      </c>
      <c r="G985" t="n">
        <v>2.7</v>
      </c>
      <c r="H985" t="n">
        <v>0</v>
      </c>
      <c r="I985" t="n">
        <v>0</v>
      </c>
      <c r="J985" t="n">
        <v>0</v>
      </c>
      <c r="K985" t="n">
        <v>0</v>
      </c>
      <c r="L985" t="n">
        <v>0</v>
      </c>
      <c r="M985" t="n">
        <v>0</v>
      </c>
      <c r="N985" t="n">
        <v>0</v>
      </c>
      <c r="O985" t="n">
        <v>0</v>
      </c>
      <c r="P985" t="n">
        <v>0</v>
      </c>
      <c r="Q985" t="n">
        <v>0</v>
      </c>
      <c r="R985" s="2" t="inlineStr"/>
    </row>
    <row r="986" ht="15" customHeight="1">
      <c r="A986" t="inlineStr">
        <is>
          <t>A 38139-2019</t>
        </is>
      </c>
      <c r="B986" s="1" t="n">
        <v>43684</v>
      </c>
      <c r="C986" s="1" t="n">
        <v>45224</v>
      </c>
      <c r="D986" t="inlineStr">
        <is>
          <t>STOCKHOLMS LÄN</t>
        </is>
      </c>
      <c r="E986" t="inlineStr">
        <is>
          <t>NORRTÄLJE</t>
        </is>
      </c>
      <c r="G986" t="n">
        <v>2</v>
      </c>
      <c r="H986" t="n">
        <v>0</v>
      </c>
      <c r="I986" t="n">
        <v>0</v>
      </c>
      <c r="J986" t="n">
        <v>0</v>
      </c>
      <c r="K986" t="n">
        <v>0</v>
      </c>
      <c r="L986" t="n">
        <v>0</v>
      </c>
      <c r="M986" t="n">
        <v>0</v>
      </c>
      <c r="N986" t="n">
        <v>0</v>
      </c>
      <c r="O986" t="n">
        <v>0</v>
      </c>
      <c r="P986" t="n">
        <v>0</v>
      </c>
      <c r="Q986" t="n">
        <v>0</v>
      </c>
      <c r="R986" s="2" t="inlineStr"/>
    </row>
    <row r="987" ht="15" customHeight="1">
      <c r="A987" t="inlineStr">
        <is>
          <t>A 38146-2019</t>
        </is>
      </c>
      <c r="B987" s="1" t="n">
        <v>43684</v>
      </c>
      <c r="C987" s="1" t="n">
        <v>45224</v>
      </c>
      <c r="D987" t="inlineStr">
        <is>
          <t>STOCKHOLMS LÄN</t>
        </is>
      </c>
      <c r="E987" t="inlineStr">
        <is>
          <t>NORRTÄLJE</t>
        </is>
      </c>
      <c r="G987" t="n">
        <v>5.9</v>
      </c>
      <c r="H987" t="n">
        <v>0</v>
      </c>
      <c r="I987" t="n">
        <v>0</v>
      </c>
      <c r="J987" t="n">
        <v>0</v>
      </c>
      <c r="K987" t="n">
        <v>0</v>
      </c>
      <c r="L987" t="n">
        <v>0</v>
      </c>
      <c r="M987" t="n">
        <v>0</v>
      </c>
      <c r="N987" t="n">
        <v>0</v>
      </c>
      <c r="O987" t="n">
        <v>0</v>
      </c>
      <c r="P987" t="n">
        <v>0</v>
      </c>
      <c r="Q987" t="n">
        <v>0</v>
      </c>
      <c r="R987" s="2" t="inlineStr"/>
    </row>
    <row r="988" ht="15" customHeight="1">
      <c r="A988" t="inlineStr">
        <is>
          <t>A 38145-2019</t>
        </is>
      </c>
      <c r="B988" s="1" t="n">
        <v>43684</v>
      </c>
      <c r="C988" s="1" t="n">
        <v>45224</v>
      </c>
      <c r="D988" t="inlineStr">
        <is>
          <t>STOCKHOLMS LÄN</t>
        </is>
      </c>
      <c r="E988" t="inlineStr">
        <is>
          <t>NORRTÄLJE</t>
        </is>
      </c>
      <c r="G988" t="n">
        <v>9.9</v>
      </c>
      <c r="H988" t="n">
        <v>0</v>
      </c>
      <c r="I988" t="n">
        <v>0</v>
      </c>
      <c r="J988" t="n">
        <v>0</v>
      </c>
      <c r="K988" t="n">
        <v>0</v>
      </c>
      <c r="L988" t="n">
        <v>0</v>
      </c>
      <c r="M988" t="n">
        <v>0</v>
      </c>
      <c r="N988" t="n">
        <v>0</v>
      </c>
      <c r="O988" t="n">
        <v>0</v>
      </c>
      <c r="P988" t="n">
        <v>0</v>
      </c>
      <c r="Q988" t="n">
        <v>0</v>
      </c>
      <c r="R988" s="2" t="inlineStr"/>
    </row>
    <row r="989" ht="15" customHeight="1">
      <c r="A989" t="inlineStr">
        <is>
          <t>A 38506-2019</t>
        </is>
      </c>
      <c r="B989" s="1" t="n">
        <v>43685</v>
      </c>
      <c r="C989" s="1" t="n">
        <v>45224</v>
      </c>
      <c r="D989" t="inlineStr">
        <is>
          <t>STOCKHOLMS LÄN</t>
        </is>
      </c>
      <c r="E989" t="inlineStr">
        <is>
          <t>NORRTÄLJE</t>
        </is>
      </c>
      <c r="G989" t="n">
        <v>0.8</v>
      </c>
      <c r="H989" t="n">
        <v>0</v>
      </c>
      <c r="I989" t="n">
        <v>0</v>
      </c>
      <c r="J989" t="n">
        <v>0</v>
      </c>
      <c r="K989" t="n">
        <v>0</v>
      </c>
      <c r="L989" t="n">
        <v>0</v>
      </c>
      <c r="M989" t="n">
        <v>0</v>
      </c>
      <c r="N989" t="n">
        <v>0</v>
      </c>
      <c r="O989" t="n">
        <v>0</v>
      </c>
      <c r="P989" t="n">
        <v>0</v>
      </c>
      <c r="Q989" t="n">
        <v>0</v>
      </c>
      <c r="R989" s="2" t="inlineStr"/>
    </row>
    <row r="990" ht="15" customHeight="1">
      <c r="A990" t="inlineStr">
        <is>
          <t>A 38605-2019</t>
        </is>
      </c>
      <c r="B990" s="1" t="n">
        <v>43686</v>
      </c>
      <c r="C990" s="1" t="n">
        <v>45224</v>
      </c>
      <c r="D990" t="inlineStr">
        <is>
          <t>STOCKHOLMS LÄN</t>
        </is>
      </c>
      <c r="E990" t="inlineStr">
        <is>
          <t>NORRTÄLJE</t>
        </is>
      </c>
      <c r="G990" t="n">
        <v>1.3</v>
      </c>
      <c r="H990" t="n">
        <v>0</v>
      </c>
      <c r="I990" t="n">
        <v>0</v>
      </c>
      <c r="J990" t="n">
        <v>0</v>
      </c>
      <c r="K990" t="n">
        <v>0</v>
      </c>
      <c r="L990" t="n">
        <v>0</v>
      </c>
      <c r="M990" t="n">
        <v>0</v>
      </c>
      <c r="N990" t="n">
        <v>0</v>
      </c>
      <c r="O990" t="n">
        <v>0</v>
      </c>
      <c r="P990" t="n">
        <v>0</v>
      </c>
      <c r="Q990" t="n">
        <v>0</v>
      </c>
      <c r="R990" s="2" t="inlineStr"/>
    </row>
    <row r="991" ht="15" customHeight="1">
      <c r="A991" t="inlineStr">
        <is>
          <t>A 38737-2019</t>
        </is>
      </c>
      <c r="B991" s="1" t="n">
        <v>43686</v>
      </c>
      <c r="C991" s="1" t="n">
        <v>45224</v>
      </c>
      <c r="D991" t="inlineStr">
        <is>
          <t>STOCKHOLMS LÄN</t>
        </is>
      </c>
      <c r="E991" t="inlineStr">
        <is>
          <t>NORRTÄLJE</t>
        </is>
      </c>
      <c r="G991" t="n">
        <v>4.7</v>
      </c>
      <c r="H991" t="n">
        <v>0</v>
      </c>
      <c r="I991" t="n">
        <v>0</v>
      </c>
      <c r="J991" t="n">
        <v>0</v>
      </c>
      <c r="K991" t="n">
        <v>0</v>
      </c>
      <c r="L991" t="n">
        <v>0</v>
      </c>
      <c r="M991" t="n">
        <v>0</v>
      </c>
      <c r="N991" t="n">
        <v>0</v>
      </c>
      <c r="O991" t="n">
        <v>0</v>
      </c>
      <c r="P991" t="n">
        <v>0</v>
      </c>
      <c r="Q991" t="n">
        <v>0</v>
      </c>
      <c r="R991" s="2" t="inlineStr"/>
    </row>
    <row r="992" ht="15" customHeight="1">
      <c r="A992" t="inlineStr">
        <is>
          <t>A 39083-2019</t>
        </is>
      </c>
      <c r="B992" s="1" t="n">
        <v>43689</v>
      </c>
      <c r="C992" s="1" t="n">
        <v>45224</v>
      </c>
      <c r="D992" t="inlineStr">
        <is>
          <t>STOCKHOLMS LÄN</t>
        </is>
      </c>
      <c r="E992" t="inlineStr">
        <is>
          <t>SÖDERTÄLJE</t>
        </is>
      </c>
      <c r="G992" t="n">
        <v>6.2</v>
      </c>
      <c r="H992" t="n">
        <v>0</v>
      </c>
      <c r="I992" t="n">
        <v>0</v>
      </c>
      <c r="J992" t="n">
        <v>0</v>
      </c>
      <c r="K992" t="n">
        <v>0</v>
      </c>
      <c r="L992" t="n">
        <v>0</v>
      </c>
      <c r="M992" t="n">
        <v>0</v>
      </c>
      <c r="N992" t="n">
        <v>0</v>
      </c>
      <c r="O992" t="n">
        <v>0</v>
      </c>
      <c r="P992" t="n">
        <v>0</v>
      </c>
      <c r="Q992" t="n">
        <v>0</v>
      </c>
      <c r="R992" s="2" t="inlineStr"/>
    </row>
    <row r="993" ht="15" customHeight="1">
      <c r="A993" t="inlineStr">
        <is>
          <t>A 39090-2019</t>
        </is>
      </c>
      <c r="B993" s="1" t="n">
        <v>43689</v>
      </c>
      <c r="C993" s="1" t="n">
        <v>45224</v>
      </c>
      <c r="D993" t="inlineStr">
        <is>
          <t>STOCKHOLMS LÄN</t>
        </is>
      </c>
      <c r="E993" t="inlineStr">
        <is>
          <t>SÖDERTÄLJE</t>
        </is>
      </c>
      <c r="G993" t="n">
        <v>1.4</v>
      </c>
      <c r="H993" t="n">
        <v>0</v>
      </c>
      <c r="I993" t="n">
        <v>0</v>
      </c>
      <c r="J993" t="n">
        <v>0</v>
      </c>
      <c r="K993" t="n">
        <v>0</v>
      </c>
      <c r="L993" t="n">
        <v>0</v>
      </c>
      <c r="M993" t="n">
        <v>0</v>
      </c>
      <c r="N993" t="n">
        <v>0</v>
      </c>
      <c r="O993" t="n">
        <v>0</v>
      </c>
      <c r="P993" t="n">
        <v>0</v>
      </c>
      <c r="Q993" t="n">
        <v>0</v>
      </c>
      <c r="R993" s="2" t="inlineStr"/>
    </row>
    <row r="994" ht="15" customHeight="1">
      <c r="A994" t="inlineStr">
        <is>
          <t>A 39472-2019</t>
        </is>
      </c>
      <c r="B994" s="1" t="n">
        <v>43691</v>
      </c>
      <c r="C994" s="1" t="n">
        <v>45224</v>
      </c>
      <c r="D994" t="inlineStr">
        <is>
          <t>STOCKHOLMS LÄN</t>
        </is>
      </c>
      <c r="E994" t="inlineStr">
        <is>
          <t>UPPLANDS-BRO</t>
        </is>
      </c>
      <c r="G994" t="n">
        <v>0.9</v>
      </c>
      <c r="H994" t="n">
        <v>0</v>
      </c>
      <c r="I994" t="n">
        <v>0</v>
      </c>
      <c r="J994" t="n">
        <v>0</v>
      </c>
      <c r="K994" t="n">
        <v>0</v>
      </c>
      <c r="L994" t="n">
        <v>0</v>
      </c>
      <c r="M994" t="n">
        <v>0</v>
      </c>
      <c r="N994" t="n">
        <v>0</v>
      </c>
      <c r="O994" t="n">
        <v>0</v>
      </c>
      <c r="P994" t="n">
        <v>0</v>
      </c>
      <c r="Q994" t="n">
        <v>0</v>
      </c>
      <c r="R994" s="2" t="inlineStr"/>
    </row>
    <row r="995" ht="15" customHeight="1">
      <c r="A995" t="inlineStr">
        <is>
          <t>A 39663-2019</t>
        </is>
      </c>
      <c r="B995" s="1" t="n">
        <v>43691</v>
      </c>
      <c r="C995" s="1" t="n">
        <v>45224</v>
      </c>
      <c r="D995" t="inlineStr">
        <is>
          <t>STOCKHOLMS LÄN</t>
        </is>
      </c>
      <c r="E995" t="inlineStr">
        <is>
          <t>NYNÄSHAMN</t>
        </is>
      </c>
      <c r="F995" t="inlineStr">
        <is>
          <t>Övriga statliga verk och myndigheter</t>
        </is>
      </c>
      <c r="G995" t="n">
        <v>1.4</v>
      </c>
      <c r="H995" t="n">
        <v>0</v>
      </c>
      <c r="I995" t="n">
        <v>0</v>
      </c>
      <c r="J995" t="n">
        <v>0</v>
      </c>
      <c r="K995" t="n">
        <v>0</v>
      </c>
      <c r="L995" t="n">
        <v>0</v>
      </c>
      <c r="M995" t="n">
        <v>0</v>
      </c>
      <c r="N995" t="n">
        <v>0</v>
      </c>
      <c r="O995" t="n">
        <v>0</v>
      </c>
      <c r="P995" t="n">
        <v>0</v>
      </c>
      <c r="Q995" t="n">
        <v>0</v>
      </c>
      <c r="R995" s="2" t="inlineStr"/>
    </row>
    <row r="996" ht="15" customHeight="1">
      <c r="A996" t="inlineStr">
        <is>
          <t>A 40571-2019</t>
        </is>
      </c>
      <c r="B996" s="1" t="n">
        <v>43696</v>
      </c>
      <c r="C996" s="1" t="n">
        <v>45224</v>
      </c>
      <c r="D996" t="inlineStr">
        <is>
          <t>STOCKHOLMS LÄN</t>
        </is>
      </c>
      <c r="E996" t="inlineStr">
        <is>
          <t>NORRTÄLJE</t>
        </is>
      </c>
      <c r="G996" t="n">
        <v>2.8</v>
      </c>
      <c r="H996" t="n">
        <v>0</v>
      </c>
      <c r="I996" t="n">
        <v>0</v>
      </c>
      <c r="J996" t="n">
        <v>0</v>
      </c>
      <c r="K996" t="n">
        <v>0</v>
      </c>
      <c r="L996" t="n">
        <v>0</v>
      </c>
      <c r="M996" t="n">
        <v>0</v>
      </c>
      <c r="N996" t="n">
        <v>0</v>
      </c>
      <c r="O996" t="n">
        <v>0</v>
      </c>
      <c r="P996" t="n">
        <v>0</v>
      </c>
      <c r="Q996" t="n">
        <v>0</v>
      </c>
      <c r="R996" s="2" t="inlineStr"/>
    </row>
    <row r="997" ht="15" customHeight="1">
      <c r="A997" t="inlineStr">
        <is>
          <t>A 40641-2019</t>
        </is>
      </c>
      <c r="B997" s="1" t="n">
        <v>43696</v>
      </c>
      <c r="C997" s="1" t="n">
        <v>45224</v>
      </c>
      <c r="D997" t="inlineStr">
        <is>
          <t>STOCKHOLMS LÄN</t>
        </is>
      </c>
      <c r="E997" t="inlineStr">
        <is>
          <t>BOTKYRKA</t>
        </is>
      </c>
      <c r="G997" t="n">
        <v>5.3</v>
      </c>
      <c r="H997" t="n">
        <v>0</v>
      </c>
      <c r="I997" t="n">
        <v>0</v>
      </c>
      <c r="J997" t="n">
        <v>0</v>
      </c>
      <c r="K997" t="n">
        <v>0</v>
      </c>
      <c r="L997" t="n">
        <v>0</v>
      </c>
      <c r="M997" t="n">
        <v>0</v>
      </c>
      <c r="N997" t="n">
        <v>0</v>
      </c>
      <c r="O997" t="n">
        <v>0</v>
      </c>
      <c r="P997" t="n">
        <v>0</v>
      </c>
      <c r="Q997" t="n">
        <v>0</v>
      </c>
      <c r="R997" s="2" t="inlineStr"/>
    </row>
    <row r="998" ht="15" customHeight="1">
      <c r="A998" t="inlineStr">
        <is>
          <t>A 40642-2019</t>
        </is>
      </c>
      <c r="B998" s="1" t="n">
        <v>43696</v>
      </c>
      <c r="C998" s="1" t="n">
        <v>45224</v>
      </c>
      <c r="D998" t="inlineStr">
        <is>
          <t>STOCKHOLMS LÄN</t>
        </is>
      </c>
      <c r="E998" t="inlineStr">
        <is>
          <t>BOTKYRKA</t>
        </is>
      </c>
      <c r="G998" t="n">
        <v>4.1</v>
      </c>
      <c r="H998" t="n">
        <v>0</v>
      </c>
      <c r="I998" t="n">
        <v>0</v>
      </c>
      <c r="J998" t="n">
        <v>0</v>
      </c>
      <c r="K998" t="n">
        <v>0</v>
      </c>
      <c r="L998" t="n">
        <v>0</v>
      </c>
      <c r="M998" t="n">
        <v>0</v>
      </c>
      <c r="N998" t="n">
        <v>0</v>
      </c>
      <c r="O998" t="n">
        <v>0</v>
      </c>
      <c r="P998" t="n">
        <v>0</v>
      </c>
      <c r="Q998" t="n">
        <v>0</v>
      </c>
      <c r="R998" s="2" t="inlineStr"/>
    </row>
    <row r="999" ht="15" customHeight="1">
      <c r="A999" t="inlineStr">
        <is>
          <t>A 41065-2019</t>
        </is>
      </c>
      <c r="B999" s="1" t="n">
        <v>43697</v>
      </c>
      <c r="C999" s="1" t="n">
        <v>45224</v>
      </c>
      <c r="D999" t="inlineStr">
        <is>
          <t>STOCKHOLMS LÄN</t>
        </is>
      </c>
      <c r="E999" t="inlineStr">
        <is>
          <t>SÖDERTÄLJE</t>
        </is>
      </c>
      <c r="F999" t="inlineStr">
        <is>
          <t>Övriga statliga verk och myndigheter</t>
        </is>
      </c>
      <c r="G999" t="n">
        <v>1</v>
      </c>
      <c r="H999" t="n">
        <v>0</v>
      </c>
      <c r="I999" t="n">
        <v>0</v>
      </c>
      <c r="J999" t="n">
        <v>0</v>
      </c>
      <c r="K999" t="n">
        <v>0</v>
      </c>
      <c r="L999" t="n">
        <v>0</v>
      </c>
      <c r="M999" t="n">
        <v>0</v>
      </c>
      <c r="N999" t="n">
        <v>0</v>
      </c>
      <c r="O999" t="n">
        <v>0</v>
      </c>
      <c r="P999" t="n">
        <v>0</v>
      </c>
      <c r="Q999" t="n">
        <v>0</v>
      </c>
      <c r="R999" s="2" t="inlineStr"/>
    </row>
    <row r="1000" ht="15" customHeight="1">
      <c r="A1000" t="inlineStr">
        <is>
          <t>A 42497-2019</t>
        </is>
      </c>
      <c r="B1000" s="1" t="n">
        <v>43699</v>
      </c>
      <c r="C1000" s="1" t="n">
        <v>45224</v>
      </c>
      <c r="D1000" t="inlineStr">
        <is>
          <t>STOCKHOLMS LÄN</t>
        </is>
      </c>
      <c r="E1000" t="inlineStr">
        <is>
          <t>SIGTUNA</t>
        </is>
      </c>
      <c r="G1000" t="n">
        <v>3.6</v>
      </c>
      <c r="H1000" t="n">
        <v>0</v>
      </c>
      <c r="I1000" t="n">
        <v>0</v>
      </c>
      <c r="J1000" t="n">
        <v>0</v>
      </c>
      <c r="K1000" t="n">
        <v>0</v>
      </c>
      <c r="L1000" t="n">
        <v>0</v>
      </c>
      <c r="M1000" t="n">
        <v>0</v>
      </c>
      <c r="N1000" t="n">
        <v>0</v>
      </c>
      <c r="O1000" t="n">
        <v>0</v>
      </c>
      <c r="P1000" t="n">
        <v>0</v>
      </c>
      <c r="Q1000" t="n">
        <v>0</v>
      </c>
      <c r="R1000" s="2" t="inlineStr"/>
    </row>
    <row r="1001" ht="15" customHeight="1">
      <c r="A1001" t="inlineStr">
        <is>
          <t>A 42330-2019</t>
        </is>
      </c>
      <c r="B1001" s="1" t="n">
        <v>43703</v>
      </c>
      <c r="C1001" s="1" t="n">
        <v>45224</v>
      </c>
      <c r="D1001" t="inlineStr">
        <is>
          <t>STOCKHOLMS LÄN</t>
        </is>
      </c>
      <c r="E1001" t="inlineStr">
        <is>
          <t>NORRTÄLJE</t>
        </is>
      </c>
      <c r="G1001" t="n">
        <v>1</v>
      </c>
      <c r="H1001" t="n">
        <v>0</v>
      </c>
      <c r="I1001" t="n">
        <v>0</v>
      </c>
      <c r="J1001" t="n">
        <v>0</v>
      </c>
      <c r="K1001" t="n">
        <v>0</v>
      </c>
      <c r="L1001" t="n">
        <v>0</v>
      </c>
      <c r="M1001" t="n">
        <v>0</v>
      </c>
      <c r="N1001" t="n">
        <v>0</v>
      </c>
      <c r="O1001" t="n">
        <v>0</v>
      </c>
      <c r="P1001" t="n">
        <v>0</v>
      </c>
      <c r="Q1001" t="n">
        <v>0</v>
      </c>
      <c r="R1001" s="2" t="inlineStr"/>
    </row>
    <row r="1002" ht="15" customHeight="1">
      <c r="A1002" t="inlineStr">
        <is>
          <t>A 43379-2019</t>
        </is>
      </c>
      <c r="B1002" s="1" t="n">
        <v>43703</v>
      </c>
      <c r="C1002" s="1" t="n">
        <v>45224</v>
      </c>
      <c r="D1002" t="inlineStr">
        <is>
          <t>STOCKHOLMS LÄN</t>
        </is>
      </c>
      <c r="E1002" t="inlineStr">
        <is>
          <t>NORRTÄLJE</t>
        </is>
      </c>
      <c r="G1002" t="n">
        <v>1.1</v>
      </c>
      <c r="H1002" t="n">
        <v>0</v>
      </c>
      <c r="I1002" t="n">
        <v>0</v>
      </c>
      <c r="J1002" t="n">
        <v>0</v>
      </c>
      <c r="K1002" t="n">
        <v>0</v>
      </c>
      <c r="L1002" t="n">
        <v>0</v>
      </c>
      <c r="M1002" t="n">
        <v>0</v>
      </c>
      <c r="N1002" t="n">
        <v>0</v>
      </c>
      <c r="O1002" t="n">
        <v>0</v>
      </c>
      <c r="P1002" t="n">
        <v>0</v>
      </c>
      <c r="Q1002" t="n">
        <v>0</v>
      </c>
      <c r="R1002" s="2" t="inlineStr"/>
    </row>
    <row r="1003" ht="15" customHeight="1">
      <c r="A1003" t="inlineStr">
        <is>
          <t>A 42448-2019</t>
        </is>
      </c>
      <c r="B1003" s="1" t="n">
        <v>43704</v>
      </c>
      <c r="C1003" s="1" t="n">
        <v>45224</v>
      </c>
      <c r="D1003" t="inlineStr">
        <is>
          <t>STOCKHOLMS LÄN</t>
        </is>
      </c>
      <c r="E1003" t="inlineStr">
        <is>
          <t>BOTKYRKA</t>
        </is>
      </c>
      <c r="G1003" t="n">
        <v>3.4</v>
      </c>
      <c r="H1003" t="n">
        <v>0</v>
      </c>
      <c r="I1003" t="n">
        <v>0</v>
      </c>
      <c r="J1003" t="n">
        <v>0</v>
      </c>
      <c r="K1003" t="n">
        <v>0</v>
      </c>
      <c r="L1003" t="n">
        <v>0</v>
      </c>
      <c r="M1003" t="n">
        <v>0</v>
      </c>
      <c r="N1003" t="n">
        <v>0</v>
      </c>
      <c r="O1003" t="n">
        <v>0</v>
      </c>
      <c r="P1003" t="n">
        <v>0</v>
      </c>
      <c r="Q1003" t="n">
        <v>0</v>
      </c>
      <c r="R1003" s="2" t="inlineStr"/>
    </row>
    <row r="1004" ht="15" customHeight="1">
      <c r="A1004" t="inlineStr">
        <is>
          <t>A 42669-2019</t>
        </is>
      </c>
      <c r="B1004" s="1" t="n">
        <v>43704</v>
      </c>
      <c r="C1004" s="1" t="n">
        <v>45224</v>
      </c>
      <c r="D1004" t="inlineStr">
        <is>
          <t>STOCKHOLMS LÄN</t>
        </is>
      </c>
      <c r="E1004" t="inlineStr">
        <is>
          <t>SÖDERTÄLJE</t>
        </is>
      </c>
      <c r="G1004" t="n">
        <v>1.9</v>
      </c>
      <c r="H1004" t="n">
        <v>0</v>
      </c>
      <c r="I1004" t="n">
        <v>0</v>
      </c>
      <c r="J1004" t="n">
        <v>0</v>
      </c>
      <c r="K1004" t="n">
        <v>0</v>
      </c>
      <c r="L1004" t="n">
        <v>0</v>
      </c>
      <c r="M1004" t="n">
        <v>0</v>
      </c>
      <c r="N1004" t="n">
        <v>0</v>
      </c>
      <c r="O1004" t="n">
        <v>0</v>
      </c>
      <c r="P1004" t="n">
        <v>0</v>
      </c>
      <c r="Q1004" t="n">
        <v>0</v>
      </c>
      <c r="R1004" s="2" t="inlineStr"/>
    </row>
    <row r="1005" ht="15" customHeight="1">
      <c r="A1005" t="inlineStr">
        <is>
          <t>A 43573-2019</t>
        </is>
      </c>
      <c r="B1005" s="1" t="n">
        <v>43706</v>
      </c>
      <c r="C1005" s="1" t="n">
        <v>45224</v>
      </c>
      <c r="D1005" t="inlineStr">
        <is>
          <t>STOCKHOLMS LÄN</t>
        </is>
      </c>
      <c r="E1005" t="inlineStr">
        <is>
          <t>VALLENTUNA</t>
        </is>
      </c>
      <c r="G1005" t="n">
        <v>0.8</v>
      </c>
      <c r="H1005" t="n">
        <v>0</v>
      </c>
      <c r="I1005" t="n">
        <v>0</v>
      </c>
      <c r="J1005" t="n">
        <v>0</v>
      </c>
      <c r="K1005" t="n">
        <v>0</v>
      </c>
      <c r="L1005" t="n">
        <v>0</v>
      </c>
      <c r="M1005" t="n">
        <v>0</v>
      </c>
      <c r="N1005" t="n">
        <v>0</v>
      </c>
      <c r="O1005" t="n">
        <v>0</v>
      </c>
      <c r="P1005" t="n">
        <v>0</v>
      </c>
      <c r="Q1005" t="n">
        <v>0</v>
      </c>
      <c r="R1005" s="2" t="inlineStr"/>
    </row>
    <row r="1006" ht="15" customHeight="1">
      <c r="A1006" t="inlineStr">
        <is>
          <t>A 43296-2019</t>
        </is>
      </c>
      <c r="B1006" s="1" t="n">
        <v>43706</v>
      </c>
      <c r="C1006" s="1" t="n">
        <v>45224</v>
      </c>
      <c r="D1006" t="inlineStr">
        <is>
          <t>STOCKHOLMS LÄN</t>
        </is>
      </c>
      <c r="E1006" t="inlineStr">
        <is>
          <t>NORRTÄLJE</t>
        </is>
      </c>
      <c r="F1006" t="inlineStr">
        <is>
          <t>Kommuner</t>
        </is>
      </c>
      <c r="G1006" t="n">
        <v>1.7</v>
      </c>
      <c r="H1006" t="n">
        <v>0</v>
      </c>
      <c r="I1006" t="n">
        <v>0</v>
      </c>
      <c r="J1006" t="n">
        <v>0</v>
      </c>
      <c r="K1006" t="n">
        <v>0</v>
      </c>
      <c r="L1006" t="n">
        <v>0</v>
      </c>
      <c r="M1006" t="n">
        <v>0</v>
      </c>
      <c r="N1006" t="n">
        <v>0</v>
      </c>
      <c r="O1006" t="n">
        <v>0</v>
      </c>
      <c r="P1006" t="n">
        <v>0</v>
      </c>
      <c r="Q1006" t="n">
        <v>0</v>
      </c>
      <c r="R1006" s="2" t="inlineStr"/>
    </row>
    <row r="1007" ht="15" customHeight="1">
      <c r="A1007" t="inlineStr">
        <is>
          <t>A 43574-2019</t>
        </is>
      </c>
      <c r="B1007" s="1" t="n">
        <v>43706</v>
      </c>
      <c r="C1007" s="1" t="n">
        <v>45224</v>
      </c>
      <c r="D1007" t="inlineStr">
        <is>
          <t>STOCKHOLMS LÄN</t>
        </is>
      </c>
      <c r="E1007" t="inlineStr">
        <is>
          <t>VALLENTUNA</t>
        </is>
      </c>
      <c r="G1007" t="n">
        <v>1</v>
      </c>
      <c r="H1007" t="n">
        <v>0</v>
      </c>
      <c r="I1007" t="n">
        <v>0</v>
      </c>
      <c r="J1007" t="n">
        <v>0</v>
      </c>
      <c r="K1007" t="n">
        <v>0</v>
      </c>
      <c r="L1007" t="n">
        <v>0</v>
      </c>
      <c r="M1007" t="n">
        <v>0</v>
      </c>
      <c r="N1007" t="n">
        <v>0</v>
      </c>
      <c r="O1007" t="n">
        <v>0</v>
      </c>
      <c r="P1007" t="n">
        <v>0</v>
      </c>
      <c r="Q1007" t="n">
        <v>0</v>
      </c>
      <c r="R1007" s="2" t="inlineStr"/>
    </row>
    <row r="1008" ht="15" customHeight="1">
      <c r="A1008" t="inlineStr">
        <is>
          <t>A 43809-2019</t>
        </is>
      </c>
      <c r="B1008" s="1" t="n">
        <v>43707</v>
      </c>
      <c r="C1008" s="1" t="n">
        <v>45224</v>
      </c>
      <c r="D1008" t="inlineStr">
        <is>
          <t>STOCKHOLMS LÄN</t>
        </is>
      </c>
      <c r="E1008" t="inlineStr">
        <is>
          <t>VALLENTUNA</t>
        </is>
      </c>
      <c r="G1008" t="n">
        <v>3.6</v>
      </c>
      <c r="H1008" t="n">
        <v>0</v>
      </c>
      <c r="I1008" t="n">
        <v>0</v>
      </c>
      <c r="J1008" t="n">
        <v>0</v>
      </c>
      <c r="K1008" t="n">
        <v>0</v>
      </c>
      <c r="L1008" t="n">
        <v>0</v>
      </c>
      <c r="M1008" t="n">
        <v>0</v>
      </c>
      <c r="N1008" t="n">
        <v>0</v>
      </c>
      <c r="O1008" t="n">
        <v>0</v>
      </c>
      <c r="P1008" t="n">
        <v>0</v>
      </c>
      <c r="Q1008" t="n">
        <v>0</v>
      </c>
      <c r="R1008" s="2" t="inlineStr"/>
    </row>
    <row r="1009" ht="15" customHeight="1">
      <c r="A1009" t="inlineStr">
        <is>
          <t>A 44453-2019</t>
        </is>
      </c>
      <c r="B1009" s="1" t="n">
        <v>43711</v>
      </c>
      <c r="C1009" s="1" t="n">
        <v>45224</v>
      </c>
      <c r="D1009" t="inlineStr">
        <is>
          <t>STOCKHOLMS LÄN</t>
        </is>
      </c>
      <c r="E1009" t="inlineStr">
        <is>
          <t>NYNÄSHAMN</t>
        </is>
      </c>
      <c r="G1009" t="n">
        <v>8.9</v>
      </c>
      <c r="H1009" t="n">
        <v>0</v>
      </c>
      <c r="I1009" t="n">
        <v>0</v>
      </c>
      <c r="J1009" t="n">
        <v>0</v>
      </c>
      <c r="K1009" t="n">
        <v>0</v>
      </c>
      <c r="L1009" t="n">
        <v>0</v>
      </c>
      <c r="M1009" t="n">
        <v>0</v>
      </c>
      <c r="N1009" t="n">
        <v>0</v>
      </c>
      <c r="O1009" t="n">
        <v>0</v>
      </c>
      <c r="P1009" t="n">
        <v>0</v>
      </c>
      <c r="Q1009" t="n">
        <v>0</v>
      </c>
      <c r="R1009" s="2" t="inlineStr"/>
    </row>
    <row r="1010" ht="15" customHeight="1">
      <c r="A1010" t="inlineStr">
        <is>
          <t>A 44643-2019</t>
        </is>
      </c>
      <c r="B1010" s="1" t="n">
        <v>43712</v>
      </c>
      <c r="C1010" s="1" t="n">
        <v>45224</v>
      </c>
      <c r="D1010" t="inlineStr">
        <is>
          <t>STOCKHOLMS LÄN</t>
        </is>
      </c>
      <c r="E1010" t="inlineStr">
        <is>
          <t>NORRTÄLJE</t>
        </is>
      </c>
      <c r="G1010" t="n">
        <v>0.6</v>
      </c>
      <c r="H1010" t="n">
        <v>0</v>
      </c>
      <c r="I1010" t="n">
        <v>0</v>
      </c>
      <c r="J1010" t="n">
        <v>0</v>
      </c>
      <c r="K1010" t="n">
        <v>0</v>
      </c>
      <c r="L1010" t="n">
        <v>0</v>
      </c>
      <c r="M1010" t="n">
        <v>0</v>
      </c>
      <c r="N1010" t="n">
        <v>0</v>
      </c>
      <c r="O1010" t="n">
        <v>0</v>
      </c>
      <c r="P1010" t="n">
        <v>0</v>
      </c>
      <c r="Q1010" t="n">
        <v>0</v>
      </c>
      <c r="R1010" s="2" t="inlineStr"/>
    </row>
    <row r="1011" ht="15" customHeight="1">
      <c r="A1011" t="inlineStr">
        <is>
          <t>A 44921-2019</t>
        </is>
      </c>
      <c r="B1011" s="1" t="n">
        <v>43712</v>
      </c>
      <c r="C1011" s="1" t="n">
        <v>45224</v>
      </c>
      <c r="D1011" t="inlineStr">
        <is>
          <t>STOCKHOLMS LÄN</t>
        </is>
      </c>
      <c r="E1011" t="inlineStr">
        <is>
          <t>SÖDERTÄLJE</t>
        </is>
      </c>
      <c r="G1011" t="n">
        <v>4.3</v>
      </c>
      <c r="H1011" t="n">
        <v>0</v>
      </c>
      <c r="I1011" t="n">
        <v>0</v>
      </c>
      <c r="J1011" t="n">
        <v>0</v>
      </c>
      <c r="K1011" t="n">
        <v>0</v>
      </c>
      <c r="L1011" t="n">
        <v>0</v>
      </c>
      <c r="M1011" t="n">
        <v>0</v>
      </c>
      <c r="N1011" t="n">
        <v>0</v>
      </c>
      <c r="O1011" t="n">
        <v>0</v>
      </c>
      <c r="P1011" t="n">
        <v>0</v>
      </c>
      <c r="Q1011" t="n">
        <v>0</v>
      </c>
      <c r="R1011" s="2" t="inlineStr"/>
    </row>
    <row r="1012" ht="15" customHeight="1">
      <c r="A1012" t="inlineStr">
        <is>
          <t>A 45306-2019</t>
        </is>
      </c>
      <c r="B1012" s="1" t="n">
        <v>43713</v>
      </c>
      <c r="C1012" s="1" t="n">
        <v>45224</v>
      </c>
      <c r="D1012" t="inlineStr">
        <is>
          <t>STOCKHOLMS LÄN</t>
        </is>
      </c>
      <c r="E1012" t="inlineStr">
        <is>
          <t>SÖDERTÄLJE</t>
        </is>
      </c>
      <c r="G1012" t="n">
        <v>2.6</v>
      </c>
      <c r="H1012" t="n">
        <v>0</v>
      </c>
      <c r="I1012" t="n">
        <v>0</v>
      </c>
      <c r="J1012" t="n">
        <v>0</v>
      </c>
      <c r="K1012" t="n">
        <v>0</v>
      </c>
      <c r="L1012" t="n">
        <v>0</v>
      </c>
      <c r="M1012" t="n">
        <v>0</v>
      </c>
      <c r="N1012" t="n">
        <v>0</v>
      </c>
      <c r="O1012" t="n">
        <v>0</v>
      </c>
      <c r="P1012" t="n">
        <v>0</v>
      </c>
      <c r="Q1012" t="n">
        <v>0</v>
      </c>
      <c r="R1012" s="2" t="inlineStr"/>
    </row>
    <row r="1013" ht="15" customHeight="1">
      <c r="A1013" t="inlineStr">
        <is>
          <t>A 45463-2019</t>
        </is>
      </c>
      <c r="B1013" s="1" t="n">
        <v>43714</v>
      </c>
      <c r="C1013" s="1" t="n">
        <v>45224</v>
      </c>
      <c r="D1013" t="inlineStr">
        <is>
          <t>STOCKHOLMS LÄN</t>
        </is>
      </c>
      <c r="E1013" t="inlineStr">
        <is>
          <t>NORRTÄLJE</t>
        </is>
      </c>
      <c r="F1013" t="inlineStr">
        <is>
          <t>Övriga statliga verk och myndigheter</t>
        </is>
      </c>
      <c r="G1013" t="n">
        <v>9.800000000000001</v>
      </c>
      <c r="H1013" t="n">
        <v>0</v>
      </c>
      <c r="I1013" t="n">
        <v>0</v>
      </c>
      <c r="J1013" t="n">
        <v>0</v>
      </c>
      <c r="K1013" t="n">
        <v>0</v>
      </c>
      <c r="L1013" t="n">
        <v>0</v>
      </c>
      <c r="M1013" t="n">
        <v>0</v>
      </c>
      <c r="N1013" t="n">
        <v>0</v>
      </c>
      <c r="O1013" t="n">
        <v>0</v>
      </c>
      <c r="P1013" t="n">
        <v>0</v>
      </c>
      <c r="Q1013" t="n">
        <v>0</v>
      </c>
      <c r="R1013" s="2" t="inlineStr"/>
    </row>
    <row r="1014" ht="15" customHeight="1">
      <c r="A1014" t="inlineStr">
        <is>
          <t>A 45477-2019</t>
        </is>
      </c>
      <c r="B1014" s="1" t="n">
        <v>43714</v>
      </c>
      <c r="C1014" s="1" t="n">
        <v>45224</v>
      </c>
      <c r="D1014" t="inlineStr">
        <is>
          <t>STOCKHOLMS LÄN</t>
        </is>
      </c>
      <c r="E1014" t="inlineStr">
        <is>
          <t>NORRTÄLJE</t>
        </is>
      </c>
      <c r="F1014" t="inlineStr">
        <is>
          <t>Övriga statliga verk och myndigheter</t>
        </is>
      </c>
      <c r="G1014" t="n">
        <v>8.9</v>
      </c>
      <c r="H1014" t="n">
        <v>0</v>
      </c>
      <c r="I1014" t="n">
        <v>0</v>
      </c>
      <c r="J1014" t="n">
        <v>0</v>
      </c>
      <c r="K1014" t="n">
        <v>0</v>
      </c>
      <c r="L1014" t="n">
        <v>0</v>
      </c>
      <c r="M1014" t="n">
        <v>0</v>
      </c>
      <c r="N1014" t="n">
        <v>0</v>
      </c>
      <c r="O1014" t="n">
        <v>0</v>
      </c>
      <c r="P1014" t="n">
        <v>0</v>
      </c>
      <c r="Q1014" t="n">
        <v>0</v>
      </c>
      <c r="R1014" s="2" t="inlineStr"/>
    </row>
    <row r="1015" ht="15" customHeight="1">
      <c r="A1015" t="inlineStr">
        <is>
          <t>A 46327-2019</t>
        </is>
      </c>
      <c r="B1015" s="1" t="n">
        <v>43718</v>
      </c>
      <c r="C1015" s="1" t="n">
        <v>45224</v>
      </c>
      <c r="D1015" t="inlineStr">
        <is>
          <t>STOCKHOLMS LÄN</t>
        </is>
      </c>
      <c r="E1015" t="inlineStr">
        <is>
          <t>NORRTÄLJE</t>
        </is>
      </c>
      <c r="G1015" t="n">
        <v>2.4</v>
      </c>
      <c r="H1015" t="n">
        <v>0</v>
      </c>
      <c r="I1015" t="n">
        <v>0</v>
      </c>
      <c r="J1015" t="n">
        <v>0</v>
      </c>
      <c r="K1015" t="n">
        <v>0</v>
      </c>
      <c r="L1015" t="n">
        <v>0</v>
      </c>
      <c r="M1015" t="n">
        <v>0</v>
      </c>
      <c r="N1015" t="n">
        <v>0</v>
      </c>
      <c r="O1015" t="n">
        <v>0</v>
      </c>
      <c r="P1015" t="n">
        <v>0</v>
      </c>
      <c r="Q1015" t="n">
        <v>0</v>
      </c>
      <c r="R1015" s="2" t="inlineStr"/>
    </row>
    <row r="1016" ht="15" customHeight="1">
      <c r="A1016" t="inlineStr">
        <is>
          <t>A 47242-2019</t>
        </is>
      </c>
      <c r="B1016" s="1" t="n">
        <v>43721</v>
      </c>
      <c r="C1016" s="1" t="n">
        <v>45224</v>
      </c>
      <c r="D1016" t="inlineStr">
        <is>
          <t>STOCKHOLMS LÄN</t>
        </is>
      </c>
      <c r="E1016" t="inlineStr">
        <is>
          <t>ÖSTERÅKER</t>
        </is>
      </c>
      <c r="G1016" t="n">
        <v>3.7</v>
      </c>
      <c r="H1016" t="n">
        <v>0</v>
      </c>
      <c r="I1016" t="n">
        <v>0</v>
      </c>
      <c r="J1016" t="n">
        <v>0</v>
      </c>
      <c r="K1016" t="n">
        <v>0</v>
      </c>
      <c r="L1016" t="n">
        <v>0</v>
      </c>
      <c r="M1016" t="n">
        <v>0</v>
      </c>
      <c r="N1016" t="n">
        <v>0</v>
      </c>
      <c r="O1016" t="n">
        <v>0</v>
      </c>
      <c r="P1016" t="n">
        <v>0</v>
      </c>
      <c r="Q1016" t="n">
        <v>0</v>
      </c>
      <c r="R1016" s="2" t="inlineStr"/>
    </row>
    <row r="1017" ht="15" customHeight="1">
      <c r="A1017" t="inlineStr">
        <is>
          <t>A 47583-2019</t>
        </is>
      </c>
      <c r="B1017" s="1" t="n">
        <v>43724</v>
      </c>
      <c r="C1017" s="1" t="n">
        <v>45224</v>
      </c>
      <c r="D1017" t="inlineStr">
        <is>
          <t>STOCKHOLMS LÄN</t>
        </is>
      </c>
      <c r="E1017" t="inlineStr">
        <is>
          <t>NYKVARN</t>
        </is>
      </c>
      <c r="G1017" t="n">
        <v>2.9</v>
      </c>
      <c r="H1017" t="n">
        <v>0</v>
      </c>
      <c r="I1017" t="n">
        <v>0</v>
      </c>
      <c r="J1017" t="n">
        <v>0</v>
      </c>
      <c r="K1017" t="n">
        <v>0</v>
      </c>
      <c r="L1017" t="n">
        <v>0</v>
      </c>
      <c r="M1017" t="n">
        <v>0</v>
      </c>
      <c r="N1017" t="n">
        <v>0</v>
      </c>
      <c r="O1017" t="n">
        <v>0</v>
      </c>
      <c r="P1017" t="n">
        <v>0</v>
      </c>
      <c r="Q1017" t="n">
        <v>0</v>
      </c>
      <c r="R1017" s="2" t="inlineStr"/>
    </row>
    <row r="1018" ht="15" customHeight="1">
      <c r="A1018" t="inlineStr">
        <is>
          <t>A 47903-2019</t>
        </is>
      </c>
      <c r="B1018" s="1" t="n">
        <v>43725</v>
      </c>
      <c r="C1018" s="1" t="n">
        <v>45224</v>
      </c>
      <c r="D1018" t="inlineStr">
        <is>
          <t>STOCKHOLMS LÄN</t>
        </is>
      </c>
      <c r="E1018" t="inlineStr">
        <is>
          <t>NORRTÄLJE</t>
        </is>
      </c>
      <c r="G1018" t="n">
        <v>2.1</v>
      </c>
      <c r="H1018" t="n">
        <v>0</v>
      </c>
      <c r="I1018" t="n">
        <v>0</v>
      </c>
      <c r="J1018" t="n">
        <v>0</v>
      </c>
      <c r="K1018" t="n">
        <v>0</v>
      </c>
      <c r="L1018" t="n">
        <v>0</v>
      </c>
      <c r="M1018" t="n">
        <v>0</v>
      </c>
      <c r="N1018" t="n">
        <v>0</v>
      </c>
      <c r="O1018" t="n">
        <v>0</v>
      </c>
      <c r="P1018" t="n">
        <v>0</v>
      </c>
      <c r="Q1018" t="n">
        <v>0</v>
      </c>
      <c r="R1018" s="2" t="inlineStr"/>
    </row>
    <row r="1019" ht="15" customHeight="1">
      <c r="A1019" t="inlineStr">
        <is>
          <t>A 47876-2019</t>
        </is>
      </c>
      <c r="B1019" s="1" t="n">
        <v>43725</v>
      </c>
      <c r="C1019" s="1" t="n">
        <v>45224</v>
      </c>
      <c r="D1019" t="inlineStr">
        <is>
          <t>STOCKHOLMS LÄN</t>
        </is>
      </c>
      <c r="E1019" t="inlineStr">
        <is>
          <t>NORRTÄLJE</t>
        </is>
      </c>
      <c r="G1019" t="n">
        <v>11.4</v>
      </c>
      <c r="H1019" t="n">
        <v>0</v>
      </c>
      <c r="I1019" t="n">
        <v>0</v>
      </c>
      <c r="J1019" t="n">
        <v>0</v>
      </c>
      <c r="K1019" t="n">
        <v>0</v>
      </c>
      <c r="L1019" t="n">
        <v>0</v>
      </c>
      <c r="M1019" t="n">
        <v>0</v>
      </c>
      <c r="N1019" t="n">
        <v>0</v>
      </c>
      <c r="O1019" t="n">
        <v>0</v>
      </c>
      <c r="P1019" t="n">
        <v>0</v>
      </c>
      <c r="Q1019" t="n">
        <v>0</v>
      </c>
      <c r="R1019" s="2" t="inlineStr"/>
    </row>
    <row r="1020" ht="15" customHeight="1">
      <c r="A1020" t="inlineStr">
        <is>
          <t>A 47941-2019</t>
        </is>
      </c>
      <c r="B1020" s="1" t="n">
        <v>43725</v>
      </c>
      <c r="C1020" s="1" t="n">
        <v>45224</v>
      </c>
      <c r="D1020" t="inlineStr">
        <is>
          <t>STOCKHOLMS LÄN</t>
        </is>
      </c>
      <c r="E1020" t="inlineStr">
        <is>
          <t>NORRTÄLJE</t>
        </is>
      </c>
      <c r="G1020" t="n">
        <v>1.3</v>
      </c>
      <c r="H1020" t="n">
        <v>0</v>
      </c>
      <c r="I1020" t="n">
        <v>0</v>
      </c>
      <c r="J1020" t="n">
        <v>0</v>
      </c>
      <c r="K1020" t="n">
        <v>0</v>
      </c>
      <c r="L1020" t="n">
        <v>0</v>
      </c>
      <c r="M1020" t="n">
        <v>0</v>
      </c>
      <c r="N1020" t="n">
        <v>0</v>
      </c>
      <c r="O1020" t="n">
        <v>0</v>
      </c>
      <c r="P1020" t="n">
        <v>0</v>
      </c>
      <c r="Q1020" t="n">
        <v>0</v>
      </c>
      <c r="R1020" s="2" t="inlineStr"/>
    </row>
    <row r="1021" ht="15" customHeight="1">
      <c r="A1021" t="inlineStr">
        <is>
          <t>A 48609-2019</t>
        </is>
      </c>
      <c r="B1021" s="1" t="n">
        <v>43727</v>
      </c>
      <c r="C1021" s="1" t="n">
        <v>45224</v>
      </c>
      <c r="D1021" t="inlineStr">
        <is>
          <t>STOCKHOLMS LÄN</t>
        </is>
      </c>
      <c r="E1021" t="inlineStr">
        <is>
          <t>HANINGE</t>
        </is>
      </c>
      <c r="G1021" t="n">
        <v>2.5</v>
      </c>
      <c r="H1021" t="n">
        <v>0</v>
      </c>
      <c r="I1021" t="n">
        <v>0</v>
      </c>
      <c r="J1021" t="n">
        <v>0</v>
      </c>
      <c r="K1021" t="n">
        <v>0</v>
      </c>
      <c r="L1021" t="n">
        <v>0</v>
      </c>
      <c r="M1021" t="n">
        <v>0</v>
      </c>
      <c r="N1021" t="n">
        <v>0</v>
      </c>
      <c r="O1021" t="n">
        <v>0</v>
      </c>
      <c r="P1021" t="n">
        <v>0</v>
      </c>
      <c r="Q1021" t="n">
        <v>0</v>
      </c>
      <c r="R1021" s="2" t="inlineStr"/>
    </row>
    <row r="1022" ht="15" customHeight="1">
      <c r="A1022" t="inlineStr">
        <is>
          <t>A 48932-2019</t>
        </is>
      </c>
      <c r="B1022" s="1" t="n">
        <v>43728</v>
      </c>
      <c r="C1022" s="1" t="n">
        <v>45224</v>
      </c>
      <c r="D1022" t="inlineStr">
        <is>
          <t>STOCKHOLMS LÄN</t>
        </is>
      </c>
      <c r="E1022" t="inlineStr">
        <is>
          <t>ÖSTERÅKER</t>
        </is>
      </c>
      <c r="G1022" t="n">
        <v>5.9</v>
      </c>
      <c r="H1022" t="n">
        <v>0</v>
      </c>
      <c r="I1022" t="n">
        <v>0</v>
      </c>
      <c r="J1022" t="n">
        <v>0</v>
      </c>
      <c r="K1022" t="n">
        <v>0</v>
      </c>
      <c r="L1022" t="n">
        <v>0</v>
      </c>
      <c r="M1022" t="n">
        <v>0</v>
      </c>
      <c r="N1022" t="n">
        <v>0</v>
      </c>
      <c r="O1022" t="n">
        <v>0</v>
      </c>
      <c r="P1022" t="n">
        <v>0</v>
      </c>
      <c r="Q1022" t="n">
        <v>0</v>
      </c>
      <c r="R1022" s="2" t="inlineStr"/>
    </row>
    <row r="1023" ht="15" customHeight="1">
      <c r="A1023" t="inlineStr">
        <is>
          <t>A 48906-2019</t>
        </is>
      </c>
      <c r="B1023" s="1" t="n">
        <v>43728</v>
      </c>
      <c r="C1023" s="1" t="n">
        <v>45224</v>
      </c>
      <c r="D1023" t="inlineStr">
        <is>
          <t>STOCKHOLMS LÄN</t>
        </is>
      </c>
      <c r="E1023" t="inlineStr">
        <is>
          <t>ÖSTERÅKER</t>
        </is>
      </c>
      <c r="G1023" t="n">
        <v>6</v>
      </c>
      <c r="H1023" t="n">
        <v>0</v>
      </c>
      <c r="I1023" t="n">
        <v>0</v>
      </c>
      <c r="J1023" t="n">
        <v>0</v>
      </c>
      <c r="K1023" t="n">
        <v>0</v>
      </c>
      <c r="L1023" t="n">
        <v>0</v>
      </c>
      <c r="M1023" t="n">
        <v>0</v>
      </c>
      <c r="N1023" t="n">
        <v>0</v>
      </c>
      <c r="O1023" t="n">
        <v>0</v>
      </c>
      <c r="P1023" t="n">
        <v>0</v>
      </c>
      <c r="Q1023" t="n">
        <v>0</v>
      </c>
      <c r="R1023" s="2" t="inlineStr"/>
    </row>
    <row r="1024" ht="15" customHeight="1">
      <c r="A1024" t="inlineStr">
        <is>
          <t>A 48730-2019</t>
        </is>
      </c>
      <c r="B1024" s="1" t="n">
        <v>43728</v>
      </c>
      <c r="C1024" s="1" t="n">
        <v>45224</v>
      </c>
      <c r="D1024" t="inlineStr">
        <is>
          <t>STOCKHOLMS LÄN</t>
        </is>
      </c>
      <c r="E1024" t="inlineStr">
        <is>
          <t>NORRTÄLJE</t>
        </is>
      </c>
      <c r="F1024" t="inlineStr">
        <is>
          <t>Övriga statliga verk och myndigheter</t>
        </is>
      </c>
      <c r="G1024" t="n">
        <v>1.3</v>
      </c>
      <c r="H1024" t="n">
        <v>0</v>
      </c>
      <c r="I1024" t="n">
        <v>0</v>
      </c>
      <c r="J1024" t="n">
        <v>0</v>
      </c>
      <c r="K1024" t="n">
        <v>0</v>
      </c>
      <c r="L1024" t="n">
        <v>0</v>
      </c>
      <c r="M1024" t="n">
        <v>0</v>
      </c>
      <c r="N1024" t="n">
        <v>0</v>
      </c>
      <c r="O1024" t="n">
        <v>0</v>
      </c>
      <c r="P1024" t="n">
        <v>0</v>
      </c>
      <c r="Q1024" t="n">
        <v>0</v>
      </c>
      <c r="R1024" s="2" t="inlineStr"/>
    </row>
    <row r="1025" ht="15" customHeight="1">
      <c r="A1025" t="inlineStr">
        <is>
          <t>A 49096-2019</t>
        </is>
      </c>
      <c r="B1025" s="1" t="n">
        <v>43731</v>
      </c>
      <c r="C1025" s="1" t="n">
        <v>45224</v>
      </c>
      <c r="D1025" t="inlineStr">
        <is>
          <t>STOCKHOLMS LÄN</t>
        </is>
      </c>
      <c r="E1025" t="inlineStr">
        <is>
          <t>NYKVARN</t>
        </is>
      </c>
      <c r="F1025" t="inlineStr">
        <is>
          <t>Sveaskog</t>
        </is>
      </c>
      <c r="G1025" t="n">
        <v>3.1</v>
      </c>
      <c r="H1025" t="n">
        <v>0</v>
      </c>
      <c r="I1025" t="n">
        <v>0</v>
      </c>
      <c r="J1025" t="n">
        <v>0</v>
      </c>
      <c r="K1025" t="n">
        <v>0</v>
      </c>
      <c r="L1025" t="n">
        <v>0</v>
      </c>
      <c r="M1025" t="n">
        <v>0</v>
      </c>
      <c r="N1025" t="n">
        <v>0</v>
      </c>
      <c r="O1025" t="n">
        <v>0</v>
      </c>
      <c r="P1025" t="n">
        <v>0</v>
      </c>
      <c r="Q1025" t="n">
        <v>0</v>
      </c>
      <c r="R1025" s="2" t="inlineStr"/>
    </row>
    <row r="1026" ht="15" customHeight="1">
      <c r="A1026" t="inlineStr">
        <is>
          <t>A 49118-2019</t>
        </is>
      </c>
      <c r="B1026" s="1" t="n">
        <v>43731</v>
      </c>
      <c r="C1026" s="1" t="n">
        <v>45224</v>
      </c>
      <c r="D1026" t="inlineStr">
        <is>
          <t>STOCKHOLMS LÄN</t>
        </is>
      </c>
      <c r="E1026" t="inlineStr">
        <is>
          <t>NYKVARN</t>
        </is>
      </c>
      <c r="F1026" t="inlineStr">
        <is>
          <t>Sveaskog</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49121-2019</t>
        </is>
      </c>
      <c r="B1027" s="1" t="n">
        <v>43731</v>
      </c>
      <c r="C1027" s="1" t="n">
        <v>45224</v>
      </c>
      <c r="D1027" t="inlineStr">
        <is>
          <t>STOCKHOLMS LÄN</t>
        </is>
      </c>
      <c r="E1027" t="inlineStr">
        <is>
          <t>NYKVARN</t>
        </is>
      </c>
      <c r="F1027" t="inlineStr">
        <is>
          <t>Sveaskog</t>
        </is>
      </c>
      <c r="G1027" t="n">
        <v>0.5</v>
      </c>
      <c r="H1027" t="n">
        <v>0</v>
      </c>
      <c r="I1027" t="n">
        <v>0</v>
      </c>
      <c r="J1027" t="n">
        <v>0</v>
      </c>
      <c r="K1027" t="n">
        <v>0</v>
      </c>
      <c r="L1027" t="n">
        <v>0</v>
      </c>
      <c r="M1027" t="n">
        <v>0</v>
      </c>
      <c r="N1027" t="n">
        <v>0</v>
      </c>
      <c r="O1027" t="n">
        <v>0</v>
      </c>
      <c r="P1027" t="n">
        <v>0</v>
      </c>
      <c r="Q1027" t="n">
        <v>0</v>
      </c>
      <c r="R1027" s="2" t="inlineStr"/>
    </row>
    <row r="1028" ht="15" customHeight="1">
      <c r="A1028" t="inlineStr">
        <is>
          <t>A 49130-2019</t>
        </is>
      </c>
      <c r="B1028" s="1" t="n">
        <v>43731</v>
      </c>
      <c r="C1028" s="1" t="n">
        <v>45224</v>
      </c>
      <c r="D1028" t="inlineStr">
        <is>
          <t>STOCKHOLMS LÄN</t>
        </is>
      </c>
      <c r="E1028" t="inlineStr">
        <is>
          <t>SÖDERTÄLJE</t>
        </is>
      </c>
      <c r="F1028" t="inlineStr">
        <is>
          <t>Sveaskog</t>
        </is>
      </c>
      <c r="G1028" t="n">
        <v>1.1</v>
      </c>
      <c r="H1028" t="n">
        <v>0</v>
      </c>
      <c r="I1028" t="n">
        <v>0</v>
      </c>
      <c r="J1028" t="n">
        <v>0</v>
      </c>
      <c r="K1028" t="n">
        <v>0</v>
      </c>
      <c r="L1028" t="n">
        <v>0</v>
      </c>
      <c r="M1028" t="n">
        <v>0</v>
      </c>
      <c r="N1028" t="n">
        <v>0</v>
      </c>
      <c r="O1028" t="n">
        <v>0</v>
      </c>
      <c r="P1028" t="n">
        <v>0</v>
      </c>
      <c r="Q1028" t="n">
        <v>0</v>
      </c>
      <c r="R1028" s="2" t="inlineStr"/>
    </row>
    <row r="1029" ht="15" customHeight="1">
      <c r="A1029" t="inlineStr">
        <is>
          <t>A 49131-2019</t>
        </is>
      </c>
      <c r="B1029" s="1" t="n">
        <v>43731</v>
      </c>
      <c r="C1029" s="1" t="n">
        <v>45224</v>
      </c>
      <c r="D1029" t="inlineStr">
        <is>
          <t>STOCKHOLMS LÄN</t>
        </is>
      </c>
      <c r="E1029" t="inlineStr">
        <is>
          <t>SÖDERTÄLJE</t>
        </is>
      </c>
      <c r="F1029" t="inlineStr">
        <is>
          <t>Sveaskog</t>
        </is>
      </c>
      <c r="G1029" t="n">
        <v>1.2</v>
      </c>
      <c r="H1029" t="n">
        <v>0</v>
      </c>
      <c r="I1029" t="n">
        <v>0</v>
      </c>
      <c r="J1029" t="n">
        <v>0</v>
      </c>
      <c r="K1029" t="n">
        <v>0</v>
      </c>
      <c r="L1029" t="n">
        <v>0</v>
      </c>
      <c r="M1029" t="n">
        <v>0</v>
      </c>
      <c r="N1029" t="n">
        <v>0</v>
      </c>
      <c r="O1029" t="n">
        <v>0</v>
      </c>
      <c r="P1029" t="n">
        <v>0</v>
      </c>
      <c r="Q1029" t="n">
        <v>0</v>
      </c>
      <c r="R1029" s="2" t="inlineStr"/>
    </row>
    <row r="1030" ht="15" customHeight="1">
      <c r="A1030" t="inlineStr">
        <is>
          <t>A 49252-2019</t>
        </is>
      </c>
      <c r="B1030" s="1" t="n">
        <v>43731</v>
      </c>
      <c r="C1030" s="1" t="n">
        <v>45224</v>
      </c>
      <c r="D1030" t="inlineStr">
        <is>
          <t>STOCKHOLMS LÄN</t>
        </is>
      </c>
      <c r="E1030" t="inlineStr">
        <is>
          <t>NORRTÄLJE</t>
        </is>
      </c>
      <c r="G1030" t="n">
        <v>1.2</v>
      </c>
      <c r="H1030" t="n">
        <v>0</v>
      </c>
      <c r="I1030" t="n">
        <v>0</v>
      </c>
      <c r="J1030" t="n">
        <v>0</v>
      </c>
      <c r="K1030" t="n">
        <v>0</v>
      </c>
      <c r="L1030" t="n">
        <v>0</v>
      </c>
      <c r="M1030" t="n">
        <v>0</v>
      </c>
      <c r="N1030" t="n">
        <v>0</v>
      </c>
      <c r="O1030" t="n">
        <v>0</v>
      </c>
      <c r="P1030" t="n">
        <v>0</v>
      </c>
      <c r="Q1030" t="n">
        <v>0</v>
      </c>
      <c r="R1030" s="2" t="inlineStr"/>
    </row>
    <row r="1031" ht="15" customHeight="1">
      <c r="A1031" t="inlineStr">
        <is>
          <t>A 49268-2019</t>
        </is>
      </c>
      <c r="B1031" s="1" t="n">
        <v>43731</v>
      </c>
      <c r="C1031" s="1" t="n">
        <v>45224</v>
      </c>
      <c r="D1031" t="inlineStr">
        <is>
          <t>STOCKHOLMS LÄN</t>
        </is>
      </c>
      <c r="E1031" t="inlineStr">
        <is>
          <t>SIGTUNA</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49349-2019</t>
        </is>
      </c>
      <c r="B1032" s="1" t="n">
        <v>43731</v>
      </c>
      <c r="C1032" s="1" t="n">
        <v>45224</v>
      </c>
      <c r="D1032" t="inlineStr">
        <is>
          <t>STOCKHOLMS LÄN</t>
        </is>
      </c>
      <c r="E1032" t="inlineStr">
        <is>
          <t>HANINGE</t>
        </is>
      </c>
      <c r="G1032" t="n">
        <v>2.1</v>
      </c>
      <c r="H1032" t="n">
        <v>0</v>
      </c>
      <c r="I1032" t="n">
        <v>0</v>
      </c>
      <c r="J1032" t="n">
        <v>0</v>
      </c>
      <c r="K1032" t="n">
        <v>0</v>
      </c>
      <c r="L1032" t="n">
        <v>0</v>
      </c>
      <c r="M1032" t="n">
        <v>0</v>
      </c>
      <c r="N1032" t="n">
        <v>0</v>
      </c>
      <c r="O1032" t="n">
        <v>0</v>
      </c>
      <c r="P1032" t="n">
        <v>0</v>
      </c>
      <c r="Q1032" t="n">
        <v>0</v>
      </c>
      <c r="R1032" s="2" t="inlineStr"/>
    </row>
    <row r="1033" ht="15" customHeight="1">
      <c r="A1033" t="inlineStr">
        <is>
          <t>A 49840-2019</t>
        </is>
      </c>
      <c r="B1033" s="1" t="n">
        <v>43733</v>
      </c>
      <c r="C1033" s="1" t="n">
        <v>45224</v>
      </c>
      <c r="D1033" t="inlineStr">
        <is>
          <t>STOCKHOLMS LÄN</t>
        </is>
      </c>
      <c r="E1033" t="inlineStr">
        <is>
          <t>NYNÄSHAMN</t>
        </is>
      </c>
      <c r="F1033" t="inlineStr">
        <is>
          <t>Kommuner</t>
        </is>
      </c>
      <c r="G1033" t="n">
        <v>1.9</v>
      </c>
      <c r="H1033" t="n">
        <v>0</v>
      </c>
      <c r="I1033" t="n">
        <v>0</v>
      </c>
      <c r="J1033" t="n">
        <v>0</v>
      </c>
      <c r="K1033" t="n">
        <v>0</v>
      </c>
      <c r="L1033" t="n">
        <v>0</v>
      </c>
      <c r="M1033" t="n">
        <v>0</v>
      </c>
      <c r="N1033" t="n">
        <v>0</v>
      </c>
      <c r="O1033" t="n">
        <v>0</v>
      </c>
      <c r="P1033" t="n">
        <v>0</v>
      </c>
      <c r="Q1033" t="n">
        <v>0</v>
      </c>
      <c r="R1033" s="2" t="inlineStr"/>
    </row>
    <row r="1034" ht="15" customHeight="1">
      <c r="A1034" t="inlineStr">
        <is>
          <t>A 50435-2019</t>
        </is>
      </c>
      <c r="B1034" s="1" t="n">
        <v>43735</v>
      </c>
      <c r="C1034" s="1" t="n">
        <v>45224</v>
      </c>
      <c r="D1034" t="inlineStr">
        <is>
          <t>STOCKHOLMS LÄN</t>
        </is>
      </c>
      <c r="E1034" t="inlineStr">
        <is>
          <t>SÖDERTÄLJE</t>
        </is>
      </c>
      <c r="G1034" t="n">
        <v>0.7</v>
      </c>
      <c r="H1034" t="n">
        <v>0</v>
      </c>
      <c r="I1034" t="n">
        <v>0</v>
      </c>
      <c r="J1034" t="n">
        <v>0</v>
      </c>
      <c r="K1034" t="n">
        <v>0</v>
      </c>
      <c r="L1034" t="n">
        <v>0</v>
      </c>
      <c r="M1034" t="n">
        <v>0</v>
      </c>
      <c r="N1034" t="n">
        <v>0</v>
      </c>
      <c r="O1034" t="n">
        <v>0</v>
      </c>
      <c r="P1034" t="n">
        <v>0</v>
      </c>
      <c r="Q1034" t="n">
        <v>0</v>
      </c>
      <c r="R1034" s="2" t="inlineStr"/>
    </row>
    <row r="1035" ht="15" customHeight="1">
      <c r="A1035" t="inlineStr">
        <is>
          <t>A 50443-2019</t>
        </is>
      </c>
      <c r="B1035" s="1" t="n">
        <v>43735</v>
      </c>
      <c r="C1035" s="1" t="n">
        <v>45224</v>
      </c>
      <c r="D1035" t="inlineStr">
        <is>
          <t>STOCKHOLMS LÄN</t>
        </is>
      </c>
      <c r="E1035" t="inlineStr">
        <is>
          <t>SÖDERTÄLJE</t>
        </is>
      </c>
      <c r="G1035" t="n">
        <v>1</v>
      </c>
      <c r="H1035" t="n">
        <v>0</v>
      </c>
      <c r="I1035" t="n">
        <v>0</v>
      </c>
      <c r="J1035" t="n">
        <v>0</v>
      </c>
      <c r="K1035" t="n">
        <v>0</v>
      </c>
      <c r="L1035" t="n">
        <v>0</v>
      </c>
      <c r="M1035" t="n">
        <v>0</v>
      </c>
      <c r="N1035" t="n">
        <v>0</v>
      </c>
      <c r="O1035" t="n">
        <v>0</v>
      </c>
      <c r="P1035" t="n">
        <v>0</v>
      </c>
      <c r="Q1035" t="n">
        <v>0</v>
      </c>
      <c r="R1035" s="2" t="inlineStr"/>
    </row>
    <row r="1036" ht="15" customHeight="1">
      <c r="A1036" t="inlineStr">
        <is>
          <t>A 50396-2019</t>
        </is>
      </c>
      <c r="B1036" s="1" t="n">
        <v>43735</v>
      </c>
      <c r="C1036" s="1" t="n">
        <v>45224</v>
      </c>
      <c r="D1036" t="inlineStr">
        <is>
          <t>STOCKHOLMS LÄN</t>
        </is>
      </c>
      <c r="E1036" t="inlineStr">
        <is>
          <t>SÖDERTÄLJE</t>
        </is>
      </c>
      <c r="G1036" t="n">
        <v>1.3</v>
      </c>
      <c r="H1036" t="n">
        <v>0</v>
      </c>
      <c r="I1036" t="n">
        <v>0</v>
      </c>
      <c r="J1036" t="n">
        <v>0</v>
      </c>
      <c r="K1036" t="n">
        <v>0</v>
      </c>
      <c r="L1036" t="n">
        <v>0</v>
      </c>
      <c r="M1036" t="n">
        <v>0</v>
      </c>
      <c r="N1036" t="n">
        <v>0</v>
      </c>
      <c r="O1036" t="n">
        <v>0</v>
      </c>
      <c r="P1036" t="n">
        <v>0</v>
      </c>
      <c r="Q1036" t="n">
        <v>0</v>
      </c>
      <c r="R1036" s="2" t="inlineStr"/>
    </row>
    <row r="1037" ht="15" customHeight="1">
      <c r="A1037" t="inlineStr">
        <is>
          <t>A 50419-2019</t>
        </is>
      </c>
      <c r="B1037" s="1" t="n">
        <v>43735</v>
      </c>
      <c r="C1037" s="1" t="n">
        <v>45224</v>
      </c>
      <c r="D1037" t="inlineStr">
        <is>
          <t>STOCKHOLMS LÄN</t>
        </is>
      </c>
      <c r="E1037" t="inlineStr">
        <is>
          <t>SÖDERTÄLJE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50425-2019</t>
        </is>
      </c>
      <c r="B1038" s="1" t="n">
        <v>43735</v>
      </c>
      <c r="C1038" s="1" t="n">
        <v>45224</v>
      </c>
      <c r="D1038" t="inlineStr">
        <is>
          <t>STOCKHOLMS LÄN</t>
        </is>
      </c>
      <c r="E1038" t="inlineStr">
        <is>
          <t>SÖDERTÄLJE</t>
        </is>
      </c>
      <c r="G1038" t="n">
        <v>3.8</v>
      </c>
      <c r="H1038" t="n">
        <v>0</v>
      </c>
      <c r="I1038" t="n">
        <v>0</v>
      </c>
      <c r="J1038" t="n">
        <v>0</v>
      </c>
      <c r="K1038" t="n">
        <v>0</v>
      </c>
      <c r="L1038" t="n">
        <v>0</v>
      </c>
      <c r="M1038" t="n">
        <v>0</v>
      </c>
      <c r="N1038" t="n">
        <v>0</v>
      </c>
      <c r="O1038" t="n">
        <v>0</v>
      </c>
      <c r="P1038" t="n">
        <v>0</v>
      </c>
      <c r="Q1038" t="n">
        <v>0</v>
      </c>
      <c r="R1038" s="2" t="inlineStr"/>
    </row>
    <row r="1039" ht="15" customHeight="1">
      <c r="A1039" t="inlineStr">
        <is>
          <t>A 50389-2019</t>
        </is>
      </c>
      <c r="B1039" s="1" t="n">
        <v>43735</v>
      </c>
      <c r="C1039" s="1" t="n">
        <v>45224</v>
      </c>
      <c r="D1039" t="inlineStr">
        <is>
          <t>STOCKHOLMS LÄN</t>
        </is>
      </c>
      <c r="E1039" t="inlineStr">
        <is>
          <t>SÖDERTÄLJE</t>
        </is>
      </c>
      <c r="G1039" t="n">
        <v>5.9</v>
      </c>
      <c r="H1039" t="n">
        <v>0</v>
      </c>
      <c r="I1039" t="n">
        <v>0</v>
      </c>
      <c r="J1039" t="n">
        <v>0</v>
      </c>
      <c r="K1039" t="n">
        <v>0</v>
      </c>
      <c r="L1039" t="n">
        <v>0</v>
      </c>
      <c r="M1039" t="n">
        <v>0</v>
      </c>
      <c r="N1039" t="n">
        <v>0</v>
      </c>
      <c r="O1039" t="n">
        <v>0</v>
      </c>
      <c r="P1039" t="n">
        <v>0</v>
      </c>
      <c r="Q1039" t="n">
        <v>0</v>
      </c>
      <c r="R1039" s="2" t="inlineStr"/>
    </row>
    <row r="1040" ht="15" customHeight="1">
      <c r="A1040" t="inlineStr">
        <is>
          <t>A 50441-2019</t>
        </is>
      </c>
      <c r="B1040" s="1" t="n">
        <v>43735</v>
      </c>
      <c r="C1040" s="1" t="n">
        <v>45224</v>
      </c>
      <c r="D1040" t="inlineStr">
        <is>
          <t>STOCKHOLMS LÄN</t>
        </is>
      </c>
      <c r="E1040" t="inlineStr">
        <is>
          <t>SÖDERTÄLJE</t>
        </is>
      </c>
      <c r="G1040" t="n">
        <v>0.5</v>
      </c>
      <c r="H1040" t="n">
        <v>0</v>
      </c>
      <c r="I1040" t="n">
        <v>0</v>
      </c>
      <c r="J1040" t="n">
        <v>0</v>
      </c>
      <c r="K1040" t="n">
        <v>0</v>
      </c>
      <c r="L1040" t="n">
        <v>0</v>
      </c>
      <c r="M1040" t="n">
        <v>0</v>
      </c>
      <c r="N1040" t="n">
        <v>0</v>
      </c>
      <c r="O1040" t="n">
        <v>0</v>
      </c>
      <c r="P1040" t="n">
        <v>0</v>
      </c>
      <c r="Q1040" t="n">
        <v>0</v>
      </c>
      <c r="R1040" s="2" t="inlineStr"/>
    </row>
    <row r="1041" ht="15" customHeight="1">
      <c r="A1041" t="inlineStr">
        <is>
          <t>A 50446-2019</t>
        </is>
      </c>
      <c r="B1041" s="1" t="n">
        <v>43735</v>
      </c>
      <c r="C1041" s="1" t="n">
        <v>45224</v>
      </c>
      <c r="D1041" t="inlineStr">
        <is>
          <t>STOCKHOLMS LÄN</t>
        </is>
      </c>
      <c r="E1041" t="inlineStr">
        <is>
          <t>SÖDERTÄLJE</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50737-2019</t>
        </is>
      </c>
      <c r="B1042" s="1" t="n">
        <v>43738</v>
      </c>
      <c r="C1042" s="1" t="n">
        <v>45224</v>
      </c>
      <c r="D1042" t="inlineStr">
        <is>
          <t>STOCKHOLMS LÄN</t>
        </is>
      </c>
      <c r="E1042" t="inlineStr">
        <is>
          <t>SIGTUNA</t>
        </is>
      </c>
      <c r="G1042" t="n">
        <v>0.8</v>
      </c>
      <c r="H1042" t="n">
        <v>0</v>
      </c>
      <c r="I1042" t="n">
        <v>0</v>
      </c>
      <c r="J1042" t="n">
        <v>0</v>
      </c>
      <c r="K1042" t="n">
        <v>0</v>
      </c>
      <c r="L1042" t="n">
        <v>0</v>
      </c>
      <c r="M1042" t="n">
        <v>0</v>
      </c>
      <c r="N1042" t="n">
        <v>0</v>
      </c>
      <c r="O1042" t="n">
        <v>0</v>
      </c>
      <c r="P1042" t="n">
        <v>0</v>
      </c>
      <c r="Q1042" t="n">
        <v>0</v>
      </c>
      <c r="R1042" s="2" t="inlineStr"/>
    </row>
    <row r="1043" ht="15" customHeight="1">
      <c r="A1043" t="inlineStr">
        <is>
          <t>A 50755-2019</t>
        </is>
      </c>
      <c r="B1043" s="1" t="n">
        <v>43738</v>
      </c>
      <c r="C1043" s="1" t="n">
        <v>45224</v>
      </c>
      <c r="D1043" t="inlineStr">
        <is>
          <t>STOCKHOLMS LÄN</t>
        </is>
      </c>
      <c r="E1043" t="inlineStr">
        <is>
          <t>SIGTUNA</t>
        </is>
      </c>
      <c r="G1043" t="n">
        <v>0.7</v>
      </c>
      <c r="H1043" t="n">
        <v>0</v>
      </c>
      <c r="I1043" t="n">
        <v>0</v>
      </c>
      <c r="J1043" t="n">
        <v>0</v>
      </c>
      <c r="K1043" t="n">
        <v>0</v>
      </c>
      <c r="L1043" t="n">
        <v>0</v>
      </c>
      <c r="M1043" t="n">
        <v>0</v>
      </c>
      <c r="N1043" t="n">
        <v>0</v>
      </c>
      <c r="O1043" t="n">
        <v>0</v>
      </c>
      <c r="P1043" t="n">
        <v>0</v>
      </c>
      <c r="Q1043" t="n">
        <v>0</v>
      </c>
      <c r="R1043" s="2" t="inlineStr"/>
    </row>
    <row r="1044" ht="15" customHeight="1">
      <c r="A1044" t="inlineStr">
        <is>
          <t>A 51184-2019</t>
        </is>
      </c>
      <c r="B1044" s="1" t="n">
        <v>43739</v>
      </c>
      <c r="C1044" s="1" t="n">
        <v>45224</v>
      </c>
      <c r="D1044" t="inlineStr">
        <is>
          <t>STOCKHOLMS LÄN</t>
        </is>
      </c>
      <c r="E1044" t="inlineStr">
        <is>
          <t>VALLENTUNA</t>
        </is>
      </c>
      <c r="G1044" t="n">
        <v>2</v>
      </c>
      <c r="H1044" t="n">
        <v>0</v>
      </c>
      <c r="I1044" t="n">
        <v>0</v>
      </c>
      <c r="J1044" t="n">
        <v>0</v>
      </c>
      <c r="K1044" t="n">
        <v>0</v>
      </c>
      <c r="L1044" t="n">
        <v>0</v>
      </c>
      <c r="M1044" t="n">
        <v>0</v>
      </c>
      <c r="N1044" t="n">
        <v>0</v>
      </c>
      <c r="O1044" t="n">
        <v>0</v>
      </c>
      <c r="P1044" t="n">
        <v>0</v>
      </c>
      <c r="Q1044" t="n">
        <v>0</v>
      </c>
      <c r="R1044" s="2" t="inlineStr"/>
    </row>
    <row r="1045" ht="15" customHeight="1">
      <c r="A1045" t="inlineStr">
        <is>
          <t>A 51571-2019</t>
        </is>
      </c>
      <c r="B1045" s="1" t="n">
        <v>43740</v>
      </c>
      <c r="C1045" s="1" t="n">
        <v>45224</v>
      </c>
      <c r="D1045" t="inlineStr">
        <is>
          <t>STOCKHOLMS LÄN</t>
        </is>
      </c>
      <c r="E1045" t="inlineStr">
        <is>
          <t>NYKVARN</t>
        </is>
      </c>
      <c r="G1045" t="n">
        <v>2.5</v>
      </c>
      <c r="H1045" t="n">
        <v>0</v>
      </c>
      <c r="I1045" t="n">
        <v>0</v>
      </c>
      <c r="J1045" t="n">
        <v>0</v>
      </c>
      <c r="K1045" t="n">
        <v>0</v>
      </c>
      <c r="L1045" t="n">
        <v>0</v>
      </c>
      <c r="M1045" t="n">
        <v>0</v>
      </c>
      <c r="N1045" t="n">
        <v>0</v>
      </c>
      <c r="O1045" t="n">
        <v>0</v>
      </c>
      <c r="P1045" t="n">
        <v>0</v>
      </c>
      <c r="Q1045" t="n">
        <v>0</v>
      </c>
      <c r="R1045" s="2" t="inlineStr"/>
    </row>
    <row r="1046" ht="15" customHeight="1">
      <c r="A1046" t="inlineStr">
        <is>
          <t>A 51387-2019</t>
        </is>
      </c>
      <c r="B1046" s="1" t="n">
        <v>43740</v>
      </c>
      <c r="C1046" s="1" t="n">
        <v>45224</v>
      </c>
      <c r="D1046" t="inlineStr">
        <is>
          <t>STOCKHOLMS LÄN</t>
        </is>
      </c>
      <c r="E1046" t="inlineStr">
        <is>
          <t>BOTKYRKA</t>
        </is>
      </c>
      <c r="G1046" t="n">
        <v>2.3</v>
      </c>
      <c r="H1046" t="n">
        <v>0</v>
      </c>
      <c r="I1046" t="n">
        <v>0</v>
      </c>
      <c r="J1046" t="n">
        <v>0</v>
      </c>
      <c r="K1046" t="n">
        <v>0</v>
      </c>
      <c r="L1046" t="n">
        <v>0</v>
      </c>
      <c r="M1046" t="n">
        <v>0</v>
      </c>
      <c r="N1046" t="n">
        <v>0</v>
      </c>
      <c r="O1046" t="n">
        <v>0</v>
      </c>
      <c r="P1046" t="n">
        <v>0</v>
      </c>
      <c r="Q1046" t="n">
        <v>0</v>
      </c>
      <c r="R1046" s="2" t="inlineStr"/>
    </row>
    <row r="1047" ht="15" customHeight="1">
      <c r="A1047" t="inlineStr">
        <is>
          <t>A 51940-2019</t>
        </is>
      </c>
      <c r="B1047" s="1" t="n">
        <v>43741</v>
      </c>
      <c r="C1047" s="1" t="n">
        <v>45224</v>
      </c>
      <c r="D1047" t="inlineStr">
        <is>
          <t>STOCKHOLMS LÄN</t>
        </is>
      </c>
      <c r="E1047" t="inlineStr">
        <is>
          <t>NORRTÄLJE</t>
        </is>
      </c>
      <c r="G1047" t="n">
        <v>2.7</v>
      </c>
      <c r="H1047" t="n">
        <v>0</v>
      </c>
      <c r="I1047" t="n">
        <v>0</v>
      </c>
      <c r="J1047" t="n">
        <v>0</v>
      </c>
      <c r="K1047" t="n">
        <v>0</v>
      </c>
      <c r="L1047" t="n">
        <v>0</v>
      </c>
      <c r="M1047" t="n">
        <v>0</v>
      </c>
      <c r="N1047" t="n">
        <v>0</v>
      </c>
      <c r="O1047" t="n">
        <v>0</v>
      </c>
      <c r="P1047" t="n">
        <v>0</v>
      </c>
      <c r="Q1047" t="n">
        <v>0</v>
      </c>
      <c r="R1047" s="2" t="inlineStr"/>
    </row>
    <row r="1048" ht="15" customHeight="1">
      <c r="A1048" t="inlineStr">
        <is>
          <t>A 51942-2019</t>
        </is>
      </c>
      <c r="B1048" s="1" t="n">
        <v>43741</v>
      </c>
      <c r="C1048" s="1" t="n">
        <v>45224</v>
      </c>
      <c r="D1048" t="inlineStr">
        <is>
          <t>STOCKHOLMS LÄN</t>
        </is>
      </c>
      <c r="E1048" t="inlineStr">
        <is>
          <t>NORRTÄLJE</t>
        </is>
      </c>
      <c r="G1048" t="n">
        <v>5.6</v>
      </c>
      <c r="H1048" t="n">
        <v>0</v>
      </c>
      <c r="I1048" t="n">
        <v>0</v>
      </c>
      <c r="J1048" t="n">
        <v>0</v>
      </c>
      <c r="K1048" t="n">
        <v>0</v>
      </c>
      <c r="L1048" t="n">
        <v>0</v>
      </c>
      <c r="M1048" t="n">
        <v>0</v>
      </c>
      <c r="N1048" t="n">
        <v>0</v>
      </c>
      <c r="O1048" t="n">
        <v>0</v>
      </c>
      <c r="P1048" t="n">
        <v>0</v>
      </c>
      <c r="Q1048" t="n">
        <v>0</v>
      </c>
      <c r="R1048" s="2" t="inlineStr"/>
    </row>
    <row r="1049" ht="15" customHeight="1">
      <c r="A1049" t="inlineStr">
        <is>
          <t>A 51938-2019</t>
        </is>
      </c>
      <c r="B1049" s="1" t="n">
        <v>43741</v>
      </c>
      <c r="C1049" s="1" t="n">
        <v>45224</v>
      </c>
      <c r="D1049" t="inlineStr">
        <is>
          <t>STOCKHOLMS LÄN</t>
        </is>
      </c>
      <c r="E1049" t="inlineStr">
        <is>
          <t>VÄRMDÖ</t>
        </is>
      </c>
      <c r="G1049" t="n">
        <v>1.1</v>
      </c>
      <c r="H1049" t="n">
        <v>0</v>
      </c>
      <c r="I1049" t="n">
        <v>0</v>
      </c>
      <c r="J1049" t="n">
        <v>0</v>
      </c>
      <c r="K1049" t="n">
        <v>0</v>
      </c>
      <c r="L1049" t="n">
        <v>0</v>
      </c>
      <c r="M1049" t="n">
        <v>0</v>
      </c>
      <c r="N1049" t="n">
        <v>0</v>
      </c>
      <c r="O1049" t="n">
        <v>0</v>
      </c>
      <c r="P1049" t="n">
        <v>0</v>
      </c>
      <c r="Q1049" t="n">
        <v>0</v>
      </c>
      <c r="R1049" s="2" t="inlineStr"/>
    </row>
    <row r="1050" ht="15" customHeight="1">
      <c r="A1050" t="inlineStr">
        <is>
          <t>A 52139-2019</t>
        </is>
      </c>
      <c r="B1050" s="1" t="n">
        <v>43742</v>
      </c>
      <c r="C1050" s="1" t="n">
        <v>45224</v>
      </c>
      <c r="D1050" t="inlineStr">
        <is>
          <t>STOCKHOLMS LÄN</t>
        </is>
      </c>
      <c r="E1050" t="inlineStr">
        <is>
          <t>ÖSTERÅKER</t>
        </is>
      </c>
      <c r="G1050" t="n">
        <v>2.2</v>
      </c>
      <c r="H1050" t="n">
        <v>0</v>
      </c>
      <c r="I1050" t="n">
        <v>0</v>
      </c>
      <c r="J1050" t="n">
        <v>0</v>
      </c>
      <c r="K1050" t="n">
        <v>0</v>
      </c>
      <c r="L1050" t="n">
        <v>0</v>
      </c>
      <c r="M1050" t="n">
        <v>0</v>
      </c>
      <c r="N1050" t="n">
        <v>0</v>
      </c>
      <c r="O1050" t="n">
        <v>0</v>
      </c>
      <c r="P1050" t="n">
        <v>0</v>
      </c>
      <c r="Q1050" t="n">
        <v>0</v>
      </c>
      <c r="R1050" s="2" t="inlineStr"/>
    </row>
    <row r="1051" ht="15" customHeight="1">
      <c r="A1051" t="inlineStr">
        <is>
          <t>A 54466-2019</t>
        </is>
      </c>
      <c r="B1051" s="1" t="n">
        <v>43747</v>
      </c>
      <c r="C1051" s="1" t="n">
        <v>45224</v>
      </c>
      <c r="D1051" t="inlineStr">
        <is>
          <t>STOCKHOLMS LÄN</t>
        </is>
      </c>
      <c r="E1051" t="inlineStr">
        <is>
          <t>VAXHOLM</t>
        </is>
      </c>
      <c r="F1051" t="inlineStr">
        <is>
          <t>Övriga statliga verk och myndigheter</t>
        </is>
      </c>
      <c r="G1051" t="n">
        <v>2.7</v>
      </c>
      <c r="H1051" t="n">
        <v>0</v>
      </c>
      <c r="I1051" t="n">
        <v>0</v>
      </c>
      <c r="J1051" t="n">
        <v>0</v>
      </c>
      <c r="K1051" t="n">
        <v>0</v>
      </c>
      <c r="L1051" t="n">
        <v>0</v>
      </c>
      <c r="M1051" t="n">
        <v>0</v>
      </c>
      <c r="N1051" t="n">
        <v>0</v>
      </c>
      <c r="O1051" t="n">
        <v>0</v>
      </c>
      <c r="P1051" t="n">
        <v>0</v>
      </c>
      <c r="Q1051" t="n">
        <v>0</v>
      </c>
      <c r="R1051" s="2" t="inlineStr"/>
    </row>
    <row r="1052" ht="15" customHeight="1">
      <c r="A1052" t="inlineStr">
        <is>
          <t>A 54187-2019</t>
        </is>
      </c>
      <c r="B1052" s="1" t="n">
        <v>43753</v>
      </c>
      <c r="C1052" s="1" t="n">
        <v>45224</v>
      </c>
      <c r="D1052" t="inlineStr">
        <is>
          <t>STOCKHOLMS LÄN</t>
        </is>
      </c>
      <c r="E1052" t="inlineStr">
        <is>
          <t>EKERÖ</t>
        </is>
      </c>
      <c r="G1052" t="n">
        <v>3.7</v>
      </c>
      <c r="H1052" t="n">
        <v>0</v>
      </c>
      <c r="I1052" t="n">
        <v>0</v>
      </c>
      <c r="J1052" t="n">
        <v>0</v>
      </c>
      <c r="K1052" t="n">
        <v>0</v>
      </c>
      <c r="L1052" t="n">
        <v>0</v>
      </c>
      <c r="M1052" t="n">
        <v>0</v>
      </c>
      <c r="N1052" t="n">
        <v>0</v>
      </c>
      <c r="O1052" t="n">
        <v>0</v>
      </c>
      <c r="P1052" t="n">
        <v>0</v>
      </c>
      <c r="Q1052" t="n">
        <v>0</v>
      </c>
      <c r="R1052" s="2" t="inlineStr"/>
    </row>
    <row r="1053" ht="15" customHeight="1">
      <c r="A1053" t="inlineStr">
        <is>
          <t>A 54875-2019</t>
        </is>
      </c>
      <c r="B1053" s="1" t="n">
        <v>43755</v>
      </c>
      <c r="C1053" s="1" t="n">
        <v>45224</v>
      </c>
      <c r="D1053" t="inlineStr">
        <is>
          <t>STOCKHOLMS LÄN</t>
        </is>
      </c>
      <c r="E1053" t="inlineStr">
        <is>
          <t>SIGTUNA</t>
        </is>
      </c>
      <c r="G1053" t="n">
        <v>0.6</v>
      </c>
      <c r="H1053" t="n">
        <v>0</v>
      </c>
      <c r="I1053" t="n">
        <v>0</v>
      </c>
      <c r="J1053" t="n">
        <v>0</v>
      </c>
      <c r="K1053" t="n">
        <v>0</v>
      </c>
      <c r="L1053" t="n">
        <v>0</v>
      </c>
      <c r="M1053" t="n">
        <v>0</v>
      </c>
      <c r="N1053" t="n">
        <v>0</v>
      </c>
      <c r="O1053" t="n">
        <v>0</v>
      </c>
      <c r="P1053" t="n">
        <v>0</v>
      </c>
      <c r="Q1053" t="n">
        <v>0</v>
      </c>
      <c r="R1053" s="2" t="inlineStr"/>
    </row>
    <row r="1054" ht="15" customHeight="1">
      <c r="A1054" t="inlineStr">
        <is>
          <t>A 55870-2019</t>
        </is>
      </c>
      <c r="B1054" s="1" t="n">
        <v>43759</v>
      </c>
      <c r="C1054" s="1" t="n">
        <v>45224</v>
      </c>
      <c r="D1054" t="inlineStr">
        <is>
          <t>STOCKHOLMS LÄN</t>
        </is>
      </c>
      <c r="E1054" t="inlineStr">
        <is>
          <t>SÖDERTÄLJE</t>
        </is>
      </c>
      <c r="G1054" t="n">
        <v>1.2</v>
      </c>
      <c r="H1054" t="n">
        <v>0</v>
      </c>
      <c r="I1054" t="n">
        <v>0</v>
      </c>
      <c r="J1054" t="n">
        <v>0</v>
      </c>
      <c r="K1054" t="n">
        <v>0</v>
      </c>
      <c r="L1054" t="n">
        <v>0</v>
      </c>
      <c r="M1054" t="n">
        <v>0</v>
      </c>
      <c r="N1054" t="n">
        <v>0</v>
      </c>
      <c r="O1054" t="n">
        <v>0</v>
      </c>
      <c r="P1054" t="n">
        <v>0</v>
      </c>
      <c r="Q1054" t="n">
        <v>0</v>
      </c>
      <c r="R1054" s="2" t="inlineStr"/>
    </row>
    <row r="1055" ht="15" customHeight="1">
      <c r="A1055" t="inlineStr">
        <is>
          <t>A 55848-2019</t>
        </is>
      </c>
      <c r="B1055" s="1" t="n">
        <v>43759</v>
      </c>
      <c r="C1055" s="1" t="n">
        <v>45224</v>
      </c>
      <c r="D1055" t="inlineStr">
        <is>
          <t>STOCKHOLMS LÄN</t>
        </is>
      </c>
      <c r="E1055" t="inlineStr">
        <is>
          <t>SÖDERTÄLJE</t>
        </is>
      </c>
      <c r="G1055" t="n">
        <v>1.2</v>
      </c>
      <c r="H1055" t="n">
        <v>0</v>
      </c>
      <c r="I1055" t="n">
        <v>0</v>
      </c>
      <c r="J1055" t="n">
        <v>0</v>
      </c>
      <c r="K1055" t="n">
        <v>0</v>
      </c>
      <c r="L1055" t="n">
        <v>0</v>
      </c>
      <c r="M1055" t="n">
        <v>0</v>
      </c>
      <c r="N1055" t="n">
        <v>0</v>
      </c>
      <c r="O1055" t="n">
        <v>0</v>
      </c>
      <c r="P1055" t="n">
        <v>0</v>
      </c>
      <c r="Q1055" t="n">
        <v>0</v>
      </c>
      <c r="R1055" s="2" t="inlineStr"/>
    </row>
    <row r="1056" ht="15" customHeight="1">
      <c r="A1056" t="inlineStr">
        <is>
          <t>A 55974-2019</t>
        </is>
      </c>
      <c r="B1056" s="1" t="n">
        <v>43759</v>
      </c>
      <c r="C1056" s="1" t="n">
        <v>45224</v>
      </c>
      <c r="D1056" t="inlineStr">
        <is>
          <t>STOCKHOLMS LÄN</t>
        </is>
      </c>
      <c r="E1056" t="inlineStr">
        <is>
          <t>SÖDERTÄLJE</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55481-2019</t>
        </is>
      </c>
      <c r="B1057" s="1" t="n">
        <v>43759</v>
      </c>
      <c r="C1057" s="1" t="n">
        <v>45224</v>
      </c>
      <c r="D1057" t="inlineStr">
        <is>
          <t>STOCKHOLMS LÄN</t>
        </is>
      </c>
      <c r="E1057" t="inlineStr">
        <is>
          <t>NORRTÄLJE</t>
        </is>
      </c>
      <c r="G1057" t="n">
        <v>1.1</v>
      </c>
      <c r="H1057" t="n">
        <v>0</v>
      </c>
      <c r="I1057" t="n">
        <v>0</v>
      </c>
      <c r="J1057" t="n">
        <v>0</v>
      </c>
      <c r="K1057" t="n">
        <v>0</v>
      </c>
      <c r="L1057" t="n">
        <v>0</v>
      </c>
      <c r="M1057" t="n">
        <v>0</v>
      </c>
      <c r="N1057" t="n">
        <v>0</v>
      </c>
      <c r="O1057" t="n">
        <v>0</v>
      </c>
      <c r="P1057" t="n">
        <v>0</v>
      </c>
      <c r="Q1057" t="n">
        <v>0</v>
      </c>
      <c r="R1057" s="2" t="inlineStr"/>
    </row>
    <row r="1058" ht="15" customHeight="1">
      <c r="A1058" t="inlineStr">
        <is>
          <t>A 55965-2019</t>
        </is>
      </c>
      <c r="B1058" s="1" t="n">
        <v>43759</v>
      </c>
      <c r="C1058" s="1" t="n">
        <v>45224</v>
      </c>
      <c r="D1058" t="inlineStr">
        <is>
          <t>STOCKHOLMS LÄN</t>
        </is>
      </c>
      <c r="E1058" t="inlineStr">
        <is>
          <t>SÖDERTÄLJE</t>
        </is>
      </c>
      <c r="G1058" t="n">
        <v>1.9</v>
      </c>
      <c r="H1058" t="n">
        <v>0</v>
      </c>
      <c r="I1058" t="n">
        <v>0</v>
      </c>
      <c r="J1058" t="n">
        <v>0</v>
      </c>
      <c r="K1058" t="n">
        <v>0</v>
      </c>
      <c r="L1058" t="n">
        <v>0</v>
      </c>
      <c r="M1058" t="n">
        <v>0</v>
      </c>
      <c r="N1058" t="n">
        <v>0</v>
      </c>
      <c r="O1058" t="n">
        <v>0</v>
      </c>
      <c r="P1058" t="n">
        <v>0</v>
      </c>
      <c r="Q1058" t="n">
        <v>0</v>
      </c>
      <c r="R1058" s="2" t="inlineStr"/>
    </row>
    <row r="1059" ht="15" customHeight="1">
      <c r="A1059" t="inlineStr">
        <is>
          <t>A 55866-2019</t>
        </is>
      </c>
      <c r="B1059" s="1" t="n">
        <v>43759</v>
      </c>
      <c r="C1059" s="1" t="n">
        <v>45224</v>
      </c>
      <c r="D1059" t="inlineStr">
        <is>
          <t>STOCKHOLMS LÄN</t>
        </is>
      </c>
      <c r="E1059" t="inlineStr">
        <is>
          <t>SÖDERTÄLJE</t>
        </is>
      </c>
      <c r="G1059" t="n">
        <v>0.7</v>
      </c>
      <c r="H1059" t="n">
        <v>0</v>
      </c>
      <c r="I1059" t="n">
        <v>0</v>
      </c>
      <c r="J1059" t="n">
        <v>0</v>
      </c>
      <c r="K1059" t="n">
        <v>0</v>
      </c>
      <c r="L1059" t="n">
        <v>0</v>
      </c>
      <c r="M1059" t="n">
        <v>0</v>
      </c>
      <c r="N1059" t="n">
        <v>0</v>
      </c>
      <c r="O1059" t="n">
        <v>0</v>
      </c>
      <c r="P1059" t="n">
        <v>0</v>
      </c>
      <c r="Q1059" t="n">
        <v>0</v>
      </c>
      <c r="R1059" s="2" t="inlineStr"/>
    </row>
    <row r="1060" ht="15" customHeight="1">
      <c r="A1060" t="inlineStr">
        <is>
          <t>A 55980-2019</t>
        </is>
      </c>
      <c r="B1060" s="1" t="n">
        <v>43759</v>
      </c>
      <c r="C1060" s="1" t="n">
        <v>45224</v>
      </c>
      <c r="D1060" t="inlineStr">
        <is>
          <t>STOCKHOLMS LÄN</t>
        </is>
      </c>
      <c r="E1060" t="inlineStr">
        <is>
          <t>SÖDERTÄLJE</t>
        </is>
      </c>
      <c r="G1060" t="n">
        <v>6.4</v>
      </c>
      <c r="H1060" t="n">
        <v>0</v>
      </c>
      <c r="I1060" t="n">
        <v>0</v>
      </c>
      <c r="J1060" t="n">
        <v>0</v>
      </c>
      <c r="K1060" t="n">
        <v>0</v>
      </c>
      <c r="L1060" t="n">
        <v>0</v>
      </c>
      <c r="M1060" t="n">
        <v>0</v>
      </c>
      <c r="N1060" t="n">
        <v>0</v>
      </c>
      <c r="O1060" t="n">
        <v>0</v>
      </c>
      <c r="P1060" t="n">
        <v>0</v>
      </c>
      <c r="Q1060" t="n">
        <v>0</v>
      </c>
      <c r="R1060" s="2" t="inlineStr"/>
    </row>
    <row r="1061" ht="15" customHeight="1">
      <c r="A1061" t="inlineStr">
        <is>
          <t>A 55891-2019</t>
        </is>
      </c>
      <c r="B1061" s="1" t="n">
        <v>43761</v>
      </c>
      <c r="C1061" s="1" t="n">
        <v>45224</v>
      </c>
      <c r="D1061" t="inlineStr">
        <is>
          <t>STOCKHOLMS LÄN</t>
        </is>
      </c>
      <c r="E1061" t="inlineStr">
        <is>
          <t>NORRTÄLJE</t>
        </is>
      </c>
      <c r="G1061" t="n">
        <v>7.6</v>
      </c>
      <c r="H1061" t="n">
        <v>0</v>
      </c>
      <c r="I1061" t="n">
        <v>0</v>
      </c>
      <c r="J1061" t="n">
        <v>0</v>
      </c>
      <c r="K1061" t="n">
        <v>0</v>
      </c>
      <c r="L1061" t="n">
        <v>0</v>
      </c>
      <c r="M1061" t="n">
        <v>0</v>
      </c>
      <c r="N1061" t="n">
        <v>0</v>
      </c>
      <c r="O1061" t="n">
        <v>0</v>
      </c>
      <c r="P1061" t="n">
        <v>0</v>
      </c>
      <c r="Q1061" t="n">
        <v>0</v>
      </c>
      <c r="R1061" s="2" t="inlineStr"/>
    </row>
    <row r="1062" ht="15" customHeight="1">
      <c r="A1062" t="inlineStr">
        <is>
          <t>A 56349-2019</t>
        </is>
      </c>
      <c r="B1062" s="1" t="n">
        <v>43762</v>
      </c>
      <c r="C1062" s="1" t="n">
        <v>45224</v>
      </c>
      <c r="D1062" t="inlineStr">
        <is>
          <t>STOCKHOLMS LÄN</t>
        </is>
      </c>
      <c r="E1062" t="inlineStr">
        <is>
          <t>NORRTÄLJE</t>
        </is>
      </c>
      <c r="G1062" t="n">
        <v>1.5</v>
      </c>
      <c r="H1062" t="n">
        <v>0</v>
      </c>
      <c r="I1062" t="n">
        <v>0</v>
      </c>
      <c r="J1062" t="n">
        <v>0</v>
      </c>
      <c r="K1062" t="n">
        <v>0</v>
      </c>
      <c r="L1062" t="n">
        <v>0</v>
      </c>
      <c r="M1062" t="n">
        <v>0</v>
      </c>
      <c r="N1062" t="n">
        <v>0</v>
      </c>
      <c r="O1062" t="n">
        <v>0</v>
      </c>
      <c r="P1062" t="n">
        <v>0</v>
      </c>
      <c r="Q1062" t="n">
        <v>0</v>
      </c>
      <c r="R1062" s="2" t="inlineStr"/>
    </row>
    <row r="1063" ht="15" customHeight="1">
      <c r="A1063" t="inlineStr">
        <is>
          <t>A 57759-2019</t>
        </is>
      </c>
      <c r="B1063" s="1" t="n">
        <v>43763</v>
      </c>
      <c r="C1063" s="1" t="n">
        <v>45224</v>
      </c>
      <c r="D1063" t="inlineStr">
        <is>
          <t>STOCKHOLMS LÄN</t>
        </is>
      </c>
      <c r="E1063" t="inlineStr">
        <is>
          <t>NORRTÄLJE</t>
        </is>
      </c>
      <c r="F1063" t="inlineStr">
        <is>
          <t>Övriga Aktiebolag</t>
        </is>
      </c>
      <c r="G1063" t="n">
        <v>7.3</v>
      </c>
      <c r="H1063" t="n">
        <v>0</v>
      </c>
      <c r="I1063" t="n">
        <v>0</v>
      </c>
      <c r="J1063" t="n">
        <v>0</v>
      </c>
      <c r="K1063" t="n">
        <v>0</v>
      </c>
      <c r="L1063" t="n">
        <v>0</v>
      </c>
      <c r="M1063" t="n">
        <v>0</v>
      </c>
      <c r="N1063" t="n">
        <v>0</v>
      </c>
      <c r="O1063" t="n">
        <v>0</v>
      </c>
      <c r="P1063" t="n">
        <v>0</v>
      </c>
      <c r="Q1063" t="n">
        <v>0</v>
      </c>
      <c r="R1063" s="2" t="inlineStr"/>
    </row>
    <row r="1064" ht="15" customHeight="1">
      <c r="A1064" t="inlineStr">
        <is>
          <t>A 56950-2019</t>
        </is>
      </c>
      <c r="B1064" s="1" t="n">
        <v>43766</v>
      </c>
      <c r="C1064" s="1" t="n">
        <v>45224</v>
      </c>
      <c r="D1064" t="inlineStr">
        <is>
          <t>STOCKHOLMS LÄN</t>
        </is>
      </c>
      <c r="E1064" t="inlineStr">
        <is>
          <t>NORRTÄLJE</t>
        </is>
      </c>
      <c r="G1064" t="n">
        <v>1.2</v>
      </c>
      <c r="H1064" t="n">
        <v>0</v>
      </c>
      <c r="I1064" t="n">
        <v>0</v>
      </c>
      <c r="J1064" t="n">
        <v>0</v>
      </c>
      <c r="K1064" t="n">
        <v>0</v>
      </c>
      <c r="L1064" t="n">
        <v>0</v>
      </c>
      <c r="M1064" t="n">
        <v>0</v>
      </c>
      <c r="N1064" t="n">
        <v>0</v>
      </c>
      <c r="O1064" t="n">
        <v>0</v>
      </c>
      <c r="P1064" t="n">
        <v>0</v>
      </c>
      <c r="Q1064" t="n">
        <v>0</v>
      </c>
      <c r="R1064" s="2" t="inlineStr"/>
    </row>
    <row r="1065" ht="15" customHeight="1">
      <c r="A1065" t="inlineStr">
        <is>
          <t>A 57063-2019</t>
        </is>
      </c>
      <c r="B1065" s="1" t="n">
        <v>43766</v>
      </c>
      <c r="C1065" s="1" t="n">
        <v>45224</v>
      </c>
      <c r="D1065" t="inlineStr">
        <is>
          <t>STOCKHOLMS LÄN</t>
        </is>
      </c>
      <c r="E1065" t="inlineStr">
        <is>
          <t>NORRTÄLJE</t>
        </is>
      </c>
      <c r="F1065" t="inlineStr">
        <is>
          <t>Kyrkan</t>
        </is>
      </c>
      <c r="G1065" t="n">
        <v>1.3</v>
      </c>
      <c r="H1065" t="n">
        <v>0</v>
      </c>
      <c r="I1065" t="n">
        <v>0</v>
      </c>
      <c r="J1065" t="n">
        <v>0</v>
      </c>
      <c r="K1065" t="n">
        <v>0</v>
      </c>
      <c r="L1065" t="n">
        <v>0</v>
      </c>
      <c r="M1065" t="n">
        <v>0</v>
      </c>
      <c r="N1065" t="n">
        <v>0</v>
      </c>
      <c r="O1065" t="n">
        <v>0</v>
      </c>
      <c r="P1065" t="n">
        <v>0</v>
      </c>
      <c r="Q1065" t="n">
        <v>0</v>
      </c>
      <c r="R1065" s="2" t="inlineStr"/>
    </row>
    <row r="1066" ht="15" customHeight="1">
      <c r="A1066" t="inlineStr">
        <is>
          <t>A 57461-2019</t>
        </is>
      </c>
      <c r="B1066" s="1" t="n">
        <v>43767</v>
      </c>
      <c r="C1066" s="1" t="n">
        <v>45224</v>
      </c>
      <c r="D1066" t="inlineStr">
        <is>
          <t>STOCKHOLMS LÄN</t>
        </is>
      </c>
      <c r="E1066" t="inlineStr">
        <is>
          <t>SIGTUNA</t>
        </is>
      </c>
      <c r="G1066" t="n">
        <v>4.1</v>
      </c>
      <c r="H1066" t="n">
        <v>0</v>
      </c>
      <c r="I1066" t="n">
        <v>0</v>
      </c>
      <c r="J1066" t="n">
        <v>0</v>
      </c>
      <c r="K1066" t="n">
        <v>0</v>
      </c>
      <c r="L1066" t="n">
        <v>0</v>
      </c>
      <c r="M1066" t="n">
        <v>0</v>
      </c>
      <c r="N1066" t="n">
        <v>0</v>
      </c>
      <c r="O1066" t="n">
        <v>0</v>
      </c>
      <c r="P1066" t="n">
        <v>0</v>
      </c>
      <c r="Q1066" t="n">
        <v>0</v>
      </c>
      <c r="R1066" s="2" t="inlineStr"/>
    </row>
    <row r="1067" ht="15" customHeight="1">
      <c r="A1067" t="inlineStr">
        <is>
          <t>A 58631-2019</t>
        </is>
      </c>
      <c r="B1067" s="1" t="n">
        <v>43773</v>
      </c>
      <c r="C1067" s="1" t="n">
        <v>45224</v>
      </c>
      <c r="D1067" t="inlineStr">
        <is>
          <t>STOCKHOLMS LÄN</t>
        </is>
      </c>
      <c r="E1067" t="inlineStr">
        <is>
          <t>NORRTÄLJE</t>
        </is>
      </c>
      <c r="G1067" t="n">
        <v>6</v>
      </c>
      <c r="H1067" t="n">
        <v>0</v>
      </c>
      <c r="I1067" t="n">
        <v>0</v>
      </c>
      <c r="J1067" t="n">
        <v>0</v>
      </c>
      <c r="K1067" t="n">
        <v>0</v>
      </c>
      <c r="L1067" t="n">
        <v>0</v>
      </c>
      <c r="M1067" t="n">
        <v>0</v>
      </c>
      <c r="N1067" t="n">
        <v>0</v>
      </c>
      <c r="O1067" t="n">
        <v>0</v>
      </c>
      <c r="P1067" t="n">
        <v>0</v>
      </c>
      <c r="Q1067" t="n">
        <v>0</v>
      </c>
      <c r="R1067" s="2" t="inlineStr"/>
    </row>
    <row r="1068" ht="15" customHeight="1">
      <c r="A1068" t="inlineStr">
        <is>
          <t>A 59155-2019</t>
        </is>
      </c>
      <c r="B1068" s="1" t="n">
        <v>43775</v>
      </c>
      <c r="C1068" s="1" t="n">
        <v>45224</v>
      </c>
      <c r="D1068" t="inlineStr">
        <is>
          <t>STOCKHOLMS LÄN</t>
        </is>
      </c>
      <c r="E1068" t="inlineStr">
        <is>
          <t>SÖDERTÄLJE</t>
        </is>
      </c>
      <c r="F1068" t="inlineStr">
        <is>
          <t>Kommuner</t>
        </is>
      </c>
      <c r="G1068" t="n">
        <v>4.3</v>
      </c>
      <c r="H1068" t="n">
        <v>0</v>
      </c>
      <c r="I1068" t="n">
        <v>0</v>
      </c>
      <c r="J1068" t="n">
        <v>0</v>
      </c>
      <c r="K1068" t="n">
        <v>0</v>
      </c>
      <c r="L1068" t="n">
        <v>0</v>
      </c>
      <c r="M1068" t="n">
        <v>0</v>
      </c>
      <c r="N1068" t="n">
        <v>0</v>
      </c>
      <c r="O1068" t="n">
        <v>0</v>
      </c>
      <c r="P1068" t="n">
        <v>0</v>
      </c>
      <c r="Q1068" t="n">
        <v>0</v>
      </c>
      <c r="R1068" s="2" t="inlineStr"/>
    </row>
    <row r="1069" ht="15" customHeight="1">
      <c r="A1069" t="inlineStr">
        <is>
          <t>A 59790-2019</t>
        </is>
      </c>
      <c r="B1069" s="1" t="n">
        <v>43776</v>
      </c>
      <c r="C1069" s="1" t="n">
        <v>45224</v>
      </c>
      <c r="D1069" t="inlineStr">
        <is>
          <t>STOCKHOLMS LÄN</t>
        </is>
      </c>
      <c r="E1069" t="inlineStr">
        <is>
          <t>SÖDERTÄLJE</t>
        </is>
      </c>
      <c r="G1069" t="n">
        <v>6.2</v>
      </c>
      <c r="H1069" t="n">
        <v>0</v>
      </c>
      <c r="I1069" t="n">
        <v>0</v>
      </c>
      <c r="J1069" t="n">
        <v>0</v>
      </c>
      <c r="K1069" t="n">
        <v>0</v>
      </c>
      <c r="L1069" t="n">
        <v>0</v>
      </c>
      <c r="M1069" t="n">
        <v>0</v>
      </c>
      <c r="N1069" t="n">
        <v>0</v>
      </c>
      <c r="O1069" t="n">
        <v>0</v>
      </c>
      <c r="P1069" t="n">
        <v>0</v>
      </c>
      <c r="Q1069" t="n">
        <v>0</v>
      </c>
      <c r="R1069" s="2" t="inlineStr"/>
    </row>
    <row r="1070" ht="15" customHeight="1">
      <c r="A1070" t="inlineStr">
        <is>
          <t>A 60208-2019</t>
        </is>
      </c>
      <c r="B1070" s="1" t="n">
        <v>43780</v>
      </c>
      <c r="C1070" s="1" t="n">
        <v>45224</v>
      </c>
      <c r="D1070" t="inlineStr">
        <is>
          <t>STOCKHOLMS LÄN</t>
        </is>
      </c>
      <c r="E1070" t="inlineStr">
        <is>
          <t>NORRTÄLJE</t>
        </is>
      </c>
      <c r="G1070" t="n">
        <v>1.1</v>
      </c>
      <c r="H1070" t="n">
        <v>0</v>
      </c>
      <c r="I1070" t="n">
        <v>0</v>
      </c>
      <c r="J1070" t="n">
        <v>0</v>
      </c>
      <c r="K1070" t="n">
        <v>0</v>
      </c>
      <c r="L1070" t="n">
        <v>0</v>
      </c>
      <c r="M1070" t="n">
        <v>0</v>
      </c>
      <c r="N1070" t="n">
        <v>0</v>
      </c>
      <c r="O1070" t="n">
        <v>0</v>
      </c>
      <c r="P1070" t="n">
        <v>0</v>
      </c>
      <c r="Q1070" t="n">
        <v>0</v>
      </c>
      <c r="R1070" s="2" t="inlineStr"/>
    </row>
    <row r="1071" ht="15" customHeight="1">
      <c r="A1071" t="inlineStr">
        <is>
          <t>A 60842-2019</t>
        </is>
      </c>
      <c r="B1071" s="1" t="n">
        <v>43781</v>
      </c>
      <c r="C1071" s="1" t="n">
        <v>45224</v>
      </c>
      <c r="D1071" t="inlineStr">
        <is>
          <t>STOCKHOLMS LÄN</t>
        </is>
      </c>
      <c r="E1071" t="inlineStr">
        <is>
          <t>NORRTÄLJE</t>
        </is>
      </c>
      <c r="G1071" t="n">
        <v>0.6</v>
      </c>
      <c r="H1071" t="n">
        <v>0</v>
      </c>
      <c r="I1071" t="n">
        <v>0</v>
      </c>
      <c r="J1071" t="n">
        <v>0</v>
      </c>
      <c r="K1071" t="n">
        <v>0</v>
      </c>
      <c r="L1071" t="n">
        <v>0</v>
      </c>
      <c r="M1071" t="n">
        <v>0</v>
      </c>
      <c r="N1071" t="n">
        <v>0</v>
      </c>
      <c r="O1071" t="n">
        <v>0</v>
      </c>
      <c r="P1071" t="n">
        <v>0</v>
      </c>
      <c r="Q1071" t="n">
        <v>0</v>
      </c>
      <c r="R1071" s="2" t="inlineStr"/>
    </row>
    <row r="1072" ht="15" customHeight="1">
      <c r="A1072" t="inlineStr">
        <is>
          <t>A 60844-2019</t>
        </is>
      </c>
      <c r="B1072" s="1" t="n">
        <v>43781</v>
      </c>
      <c r="C1072" s="1" t="n">
        <v>45224</v>
      </c>
      <c r="D1072" t="inlineStr">
        <is>
          <t>STOCKHOLMS LÄN</t>
        </is>
      </c>
      <c r="E1072" t="inlineStr">
        <is>
          <t>NORRTÄLJE</t>
        </is>
      </c>
      <c r="G1072" t="n">
        <v>0.9</v>
      </c>
      <c r="H1072" t="n">
        <v>0</v>
      </c>
      <c r="I1072" t="n">
        <v>0</v>
      </c>
      <c r="J1072" t="n">
        <v>0</v>
      </c>
      <c r="K1072" t="n">
        <v>0</v>
      </c>
      <c r="L1072" t="n">
        <v>0</v>
      </c>
      <c r="M1072" t="n">
        <v>0</v>
      </c>
      <c r="N1072" t="n">
        <v>0</v>
      </c>
      <c r="O1072" t="n">
        <v>0</v>
      </c>
      <c r="P1072" t="n">
        <v>0</v>
      </c>
      <c r="Q1072" t="n">
        <v>0</v>
      </c>
      <c r="R1072" s="2" t="inlineStr"/>
    </row>
    <row r="1073" ht="15" customHeight="1">
      <c r="A1073" t="inlineStr">
        <is>
          <t>A 61657-2019</t>
        </is>
      </c>
      <c r="B1073" s="1" t="n">
        <v>43784</v>
      </c>
      <c r="C1073" s="1" t="n">
        <v>45224</v>
      </c>
      <c r="D1073" t="inlineStr">
        <is>
          <t>STOCKHOLMS LÄN</t>
        </is>
      </c>
      <c r="E1073" t="inlineStr">
        <is>
          <t>NORRTÄLJE</t>
        </is>
      </c>
      <c r="G1073" t="n">
        <v>5</v>
      </c>
      <c r="H1073" t="n">
        <v>0</v>
      </c>
      <c r="I1073" t="n">
        <v>0</v>
      </c>
      <c r="J1073" t="n">
        <v>0</v>
      </c>
      <c r="K1073" t="n">
        <v>0</v>
      </c>
      <c r="L1073" t="n">
        <v>0</v>
      </c>
      <c r="M1073" t="n">
        <v>0</v>
      </c>
      <c r="N1073" t="n">
        <v>0</v>
      </c>
      <c r="O1073" t="n">
        <v>0</v>
      </c>
      <c r="P1073" t="n">
        <v>0</v>
      </c>
      <c r="Q1073" t="n">
        <v>0</v>
      </c>
      <c r="R1073" s="2" t="inlineStr"/>
    </row>
    <row r="1074" ht="15" customHeight="1">
      <c r="A1074" t="inlineStr">
        <is>
          <t>A 62848-2019</t>
        </is>
      </c>
      <c r="B1074" s="1" t="n">
        <v>43790</v>
      </c>
      <c r="C1074" s="1" t="n">
        <v>45224</v>
      </c>
      <c r="D1074" t="inlineStr">
        <is>
          <t>STOCKHOLMS LÄN</t>
        </is>
      </c>
      <c r="E1074" t="inlineStr">
        <is>
          <t>NORRTÄLJE</t>
        </is>
      </c>
      <c r="F1074" t="inlineStr">
        <is>
          <t>Holmen skog AB</t>
        </is>
      </c>
      <c r="G1074" t="n">
        <v>6.6</v>
      </c>
      <c r="H1074" t="n">
        <v>0</v>
      </c>
      <c r="I1074" t="n">
        <v>0</v>
      </c>
      <c r="J1074" t="n">
        <v>0</v>
      </c>
      <c r="K1074" t="n">
        <v>0</v>
      </c>
      <c r="L1074" t="n">
        <v>0</v>
      </c>
      <c r="M1074" t="n">
        <v>0</v>
      </c>
      <c r="N1074" t="n">
        <v>0</v>
      </c>
      <c r="O1074" t="n">
        <v>0</v>
      </c>
      <c r="P1074" t="n">
        <v>0</v>
      </c>
      <c r="Q1074" t="n">
        <v>0</v>
      </c>
      <c r="R1074" s="2" t="inlineStr"/>
    </row>
    <row r="1075" ht="15" customHeight="1">
      <c r="A1075" t="inlineStr">
        <is>
          <t>A 62980-2019</t>
        </is>
      </c>
      <c r="B1075" s="1" t="n">
        <v>43790</v>
      </c>
      <c r="C1075" s="1" t="n">
        <v>45224</v>
      </c>
      <c r="D1075" t="inlineStr">
        <is>
          <t>STOCKHOLMS LÄN</t>
        </is>
      </c>
      <c r="E1075" t="inlineStr">
        <is>
          <t>NORRTÄLJE</t>
        </is>
      </c>
      <c r="G1075" t="n">
        <v>1.1</v>
      </c>
      <c r="H1075" t="n">
        <v>0</v>
      </c>
      <c r="I1075" t="n">
        <v>0</v>
      </c>
      <c r="J1075" t="n">
        <v>0</v>
      </c>
      <c r="K1075" t="n">
        <v>0</v>
      </c>
      <c r="L1075" t="n">
        <v>0</v>
      </c>
      <c r="M1075" t="n">
        <v>0</v>
      </c>
      <c r="N1075" t="n">
        <v>0</v>
      </c>
      <c r="O1075" t="n">
        <v>0</v>
      </c>
      <c r="P1075" t="n">
        <v>0</v>
      </c>
      <c r="Q1075" t="n">
        <v>0</v>
      </c>
      <c r="R1075" s="2" t="inlineStr"/>
    </row>
    <row r="1076" ht="15" customHeight="1">
      <c r="A1076" t="inlineStr">
        <is>
          <t>A 63495-2019</t>
        </is>
      </c>
      <c r="B1076" s="1" t="n">
        <v>43794</v>
      </c>
      <c r="C1076" s="1" t="n">
        <v>45224</v>
      </c>
      <c r="D1076" t="inlineStr">
        <is>
          <t>STOCKHOLMS LÄN</t>
        </is>
      </c>
      <c r="E1076" t="inlineStr">
        <is>
          <t>NORRTÄLJE</t>
        </is>
      </c>
      <c r="G1076" t="n">
        <v>1.8</v>
      </c>
      <c r="H1076" t="n">
        <v>0</v>
      </c>
      <c r="I1076" t="n">
        <v>0</v>
      </c>
      <c r="J1076" t="n">
        <v>0</v>
      </c>
      <c r="K1076" t="n">
        <v>0</v>
      </c>
      <c r="L1076" t="n">
        <v>0</v>
      </c>
      <c r="M1076" t="n">
        <v>0</v>
      </c>
      <c r="N1076" t="n">
        <v>0</v>
      </c>
      <c r="O1076" t="n">
        <v>0</v>
      </c>
      <c r="P1076" t="n">
        <v>0</v>
      </c>
      <c r="Q1076" t="n">
        <v>0</v>
      </c>
      <c r="R1076" s="2" t="inlineStr"/>
    </row>
    <row r="1077" ht="15" customHeight="1">
      <c r="A1077" t="inlineStr">
        <is>
          <t>A 63515-2019</t>
        </is>
      </c>
      <c r="B1077" s="1" t="n">
        <v>43794</v>
      </c>
      <c r="C1077" s="1" t="n">
        <v>45224</v>
      </c>
      <c r="D1077" t="inlineStr">
        <is>
          <t>STOCKHOLMS LÄN</t>
        </is>
      </c>
      <c r="E1077" t="inlineStr">
        <is>
          <t>NORRTÄLJE</t>
        </is>
      </c>
      <c r="G1077" t="n">
        <v>7.1</v>
      </c>
      <c r="H1077" t="n">
        <v>0</v>
      </c>
      <c r="I1077" t="n">
        <v>0</v>
      </c>
      <c r="J1077" t="n">
        <v>0</v>
      </c>
      <c r="K1077" t="n">
        <v>0</v>
      </c>
      <c r="L1077" t="n">
        <v>0</v>
      </c>
      <c r="M1077" t="n">
        <v>0</v>
      </c>
      <c r="N1077" t="n">
        <v>0</v>
      </c>
      <c r="O1077" t="n">
        <v>0</v>
      </c>
      <c r="P1077" t="n">
        <v>0</v>
      </c>
      <c r="Q1077" t="n">
        <v>0</v>
      </c>
      <c r="R1077" s="2" t="inlineStr"/>
    </row>
    <row r="1078" ht="15" customHeight="1">
      <c r="A1078" t="inlineStr">
        <is>
          <t>A 63504-2019</t>
        </is>
      </c>
      <c r="B1078" s="1" t="n">
        <v>43794</v>
      </c>
      <c r="C1078" s="1" t="n">
        <v>45224</v>
      </c>
      <c r="D1078" t="inlineStr">
        <is>
          <t>STOCKHOLMS LÄN</t>
        </is>
      </c>
      <c r="E1078" t="inlineStr">
        <is>
          <t>NORRTÄLJE</t>
        </is>
      </c>
      <c r="G1078" t="n">
        <v>2.3</v>
      </c>
      <c r="H1078" t="n">
        <v>0</v>
      </c>
      <c r="I1078" t="n">
        <v>0</v>
      </c>
      <c r="J1078" t="n">
        <v>0</v>
      </c>
      <c r="K1078" t="n">
        <v>0</v>
      </c>
      <c r="L1078" t="n">
        <v>0</v>
      </c>
      <c r="M1078" t="n">
        <v>0</v>
      </c>
      <c r="N1078" t="n">
        <v>0</v>
      </c>
      <c r="O1078" t="n">
        <v>0</v>
      </c>
      <c r="P1078" t="n">
        <v>0</v>
      </c>
      <c r="Q1078" t="n">
        <v>0</v>
      </c>
      <c r="R1078" s="2" t="inlineStr"/>
    </row>
    <row r="1079" ht="15" customHeight="1">
      <c r="A1079" t="inlineStr">
        <is>
          <t>A 63529-2019</t>
        </is>
      </c>
      <c r="B1079" s="1" t="n">
        <v>43794</v>
      </c>
      <c r="C1079" s="1" t="n">
        <v>45224</v>
      </c>
      <c r="D1079" t="inlineStr">
        <is>
          <t>STOCKHOLMS LÄN</t>
        </is>
      </c>
      <c r="E1079" t="inlineStr">
        <is>
          <t>NORRTÄLJE</t>
        </is>
      </c>
      <c r="G1079" t="n">
        <v>0.4</v>
      </c>
      <c r="H1079" t="n">
        <v>0</v>
      </c>
      <c r="I1079" t="n">
        <v>0</v>
      </c>
      <c r="J1079" t="n">
        <v>0</v>
      </c>
      <c r="K1079" t="n">
        <v>0</v>
      </c>
      <c r="L1079" t="n">
        <v>0</v>
      </c>
      <c r="M1079" t="n">
        <v>0</v>
      </c>
      <c r="N1079" t="n">
        <v>0</v>
      </c>
      <c r="O1079" t="n">
        <v>0</v>
      </c>
      <c r="P1079" t="n">
        <v>0</v>
      </c>
      <c r="Q1079" t="n">
        <v>0</v>
      </c>
      <c r="R1079" s="2" t="inlineStr"/>
    </row>
    <row r="1080" ht="15" customHeight="1">
      <c r="A1080" t="inlineStr">
        <is>
          <t>A 63528-2019</t>
        </is>
      </c>
      <c r="B1080" s="1" t="n">
        <v>43794</v>
      </c>
      <c r="C1080" s="1" t="n">
        <v>45224</v>
      </c>
      <c r="D1080" t="inlineStr">
        <is>
          <t>STOCKHOLMS LÄN</t>
        </is>
      </c>
      <c r="E1080" t="inlineStr">
        <is>
          <t>NORRTÄLJE</t>
        </is>
      </c>
      <c r="G1080" t="n">
        <v>1.4</v>
      </c>
      <c r="H1080" t="n">
        <v>0</v>
      </c>
      <c r="I1080" t="n">
        <v>0</v>
      </c>
      <c r="J1080" t="n">
        <v>0</v>
      </c>
      <c r="K1080" t="n">
        <v>0</v>
      </c>
      <c r="L1080" t="n">
        <v>0</v>
      </c>
      <c r="M1080" t="n">
        <v>0</v>
      </c>
      <c r="N1080" t="n">
        <v>0</v>
      </c>
      <c r="O1080" t="n">
        <v>0</v>
      </c>
      <c r="P1080" t="n">
        <v>0</v>
      </c>
      <c r="Q1080" t="n">
        <v>0</v>
      </c>
      <c r="R1080" s="2" t="inlineStr"/>
    </row>
    <row r="1081" ht="15" customHeight="1">
      <c r="A1081" t="inlineStr">
        <is>
          <t>A 63745-2019</t>
        </is>
      </c>
      <c r="B1081" s="1" t="n">
        <v>43795</v>
      </c>
      <c r="C1081" s="1" t="n">
        <v>45224</v>
      </c>
      <c r="D1081" t="inlineStr">
        <is>
          <t>STOCKHOLMS LÄN</t>
        </is>
      </c>
      <c r="E1081" t="inlineStr">
        <is>
          <t>UPPLANDS-BRO</t>
        </is>
      </c>
      <c r="F1081" t="inlineStr">
        <is>
          <t>Övriga statliga verk och myndigheter</t>
        </is>
      </c>
      <c r="G1081" t="n">
        <v>12.9</v>
      </c>
      <c r="H1081" t="n">
        <v>0</v>
      </c>
      <c r="I1081" t="n">
        <v>0</v>
      </c>
      <c r="J1081" t="n">
        <v>0</v>
      </c>
      <c r="K1081" t="n">
        <v>0</v>
      </c>
      <c r="L1081" t="n">
        <v>0</v>
      </c>
      <c r="M1081" t="n">
        <v>0</v>
      </c>
      <c r="N1081" t="n">
        <v>0</v>
      </c>
      <c r="O1081" t="n">
        <v>0</v>
      </c>
      <c r="P1081" t="n">
        <v>0</v>
      </c>
      <c r="Q1081" t="n">
        <v>0</v>
      </c>
      <c r="R1081" s="2" t="inlineStr"/>
    </row>
    <row r="1082" ht="15" customHeight="1">
      <c r="A1082" t="inlineStr">
        <is>
          <t>A 64293-2019</t>
        </is>
      </c>
      <c r="B1082" s="1" t="n">
        <v>43797</v>
      </c>
      <c r="C1082" s="1" t="n">
        <v>45224</v>
      </c>
      <c r="D1082" t="inlineStr">
        <is>
          <t>STOCKHOLMS LÄN</t>
        </is>
      </c>
      <c r="E1082" t="inlineStr">
        <is>
          <t>NORRTÄLJE</t>
        </is>
      </c>
      <c r="G1082" t="n">
        <v>1</v>
      </c>
      <c r="H1082" t="n">
        <v>0</v>
      </c>
      <c r="I1082" t="n">
        <v>0</v>
      </c>
      <c r="J1082" t="n">
        <v>0</v>
      </c>
      <c r="K1082" t="n">
        <v>0</v>
      </c>
      <c r="L1082" t="n">
        <v>0</v>
      </c>
      <c r="M1082" t="n">
        <v>0</v>
      </c>
      <c r="N1082" t="n">
        <v>0</v>
      </c>
      <c r="O1082" t="n">
        <v>0</v>
      </c>
      <c r="P1082" t="n">
        <v>0</v>
      </c>
      <c r="Q1082" t="n">
        <v>0</v>
      </c>
      <c r="R1082" s="2" t="inlineStr"/>
    </row>
    <row r="1083" ht="15" customHeight="1">
      <c r="A1083" t="inlineStr">
        <is>
          <t>A 64656-2019</t>
        </is>
      </c>
      <c r="B1083" s="1" t="n">
        <v>43798</v>
      </c>
      <c r="C1083" s="1" t="n">
        <v>45224</v>
      </c>
      <c r="D1083" t="inlineStr">
        <is>
          <t>STOCKHOLMS LÄN</t>
        </is>
      </c>
      <c r="E1083" t="inlineStr">
        <is>
          <t>EKERÖ</t>
        </is>
      </c>
      <c r="G1083" t="n">
        <v>2.1</v>
      </c>
      <c r="H1083" t="n">
        <v>0</v>
      </c>
      <c r="I1083" t="n">
        <v>0</v>
      </c>
      <c r="J1083" t="n">
        <v>0</v>
      </c>
      <c r="K1083" t="n">
        <v>0</v>
      </c>
      <c r="L1083" t="n">
        <v>0</v>
      </c>
      <c r="M1083" t="n">
        <v>0</v>
      </c>
      <c r="N1083" t="n">
        <v>0</v>
      </c>
      <c r="O1083" t="n">
        <v>0</v>
      </c>
      <c r="P1083" t="n">
        <v>0</v>
      </c>
      <c r="Q1083" t="n">
        <v>0</v>
      </c>
      <c r="R1083" s="2" t="inlineStr"/>
    </row>
    <row r="1084" ht="15" customHeight="1">
      <c r="A1084" t="inlineStr">
        <is>
          <t>A 64490-2019</t>
        </is>
      </c>
      <c r="B1084" s="1" t="n">
        <v>43798</v>
      </c>
      <c r="C1084" s="1" t="n">
        <v>45224</v>
      </c>
      <c r="D1084" t="inlineStr">
        <is>
          <t>STOCKHOLMS LÄN</t>
        </is>
      </c>
      <c r="E1084" t="inlineStr">
        <is>
          <t>NYKVARN</t>
        </is>
      </c>
      <c r="G1084" t="n">
        <v>0.8</v>
      </c>
      <c r="H1084" t="n">
        <v>0</v>
      </c>
      <c r="I1084" t="n">
        <v>0</v>
      </c>
      <c r="J1084" t="n">
        <v>0</v>
      </c>
      <c r="K1084" t="n">
        <v>0</v>
      </c>
      <c r="L1084" t="n">
        <v>0</v>
      </c>
      <c r="M1084" t="n">
        <v>0</v>
      </c>
      <c r="N1084" t="n">
        <v>0</v>
      </c>
      <c r="O1084" t="n">
        <v>0</v>
      </c>
      <c r="P1084" t="n">
        <v>0</v>
      </c>
      <c r="Q1084" t="n">
        <v>0</v>
      </c>
      <c r="R1084" s="2" t="inlineStr"/>
    </row>
    <row r="1085" ht="15" customHeight="1">
      <c r="A1085" t="inlineStr">
        <is>
          <t>A 65405-2019</t>
        </is>
      </c>
      <c r="B1085" s="1" t="n">
        <v>43798</v>
      </c>
      <c r="C1085" s="1" t="n">
        <v>45224</v>
      </c>
      <c r="D1085" t="inlineStr">
        <is>
          <t>STOCKHOLMS LÄN</t>
        </is>
      </c>
      <c r="E1085" t="inlineStr">
        <is>
          <t>UPPLANDS-BRO</t>
        </is>
      </c>
      <c r="G1085" t="n">
        <v>6.6</v>
      </c>
      <c r="H1085" t="n">
        <v>0</v>
      </c>
      <c r="I1085" t="n">
        <v>0</v>
      </c>
      <c r="J1085" t="n">
        <v>0</v>
      </c>
      <c r="K1085" t="n">
        <v>0</v>
      </c>
      <c r="L1085" t="n">
        <v>0</v>
      </c>
      <c r="M1085" t="n">
        <v>0</v>
      </c>
      <c r="N1085" t="n">
        <v>0</v>
      </c>
      <c r="O1085" t="n">
        <v>0</v>
      </c>
      <c r="P1085" t="n">
        <v>0</v>
      </c>
      <c r="Q1085" t="n">
        <v>0</v>
      </c>
      <c r="R1085" s="2" t="inlineStr"/>
    </row>
    <row r="1086" ht="15" customHeight="1">
      <c r="A1086" t="inlineStr">
        <is>
          <t>A 64898-2019</t>
        </is>
      </c>
      <c r="B1086" s="1" t="n">
        <v>43801</v>
      </c>
      <c r="C1086" s="1" t="n">
        <v>45224</v>
      </c>
      <c r="D1086" t="inlineStr">
        <is>
          <t>STOCKHOLMS LÄN</t>
        </is>
      </c>
      <c r="E1086" t="inlineStr">
        <is>
          <t>SIGTUNA</t>
        </is>
      </c>
      <c r="G1086" t="n">
        <v>2.3</v>
      </c>
      <c r="H1086" t="n">
        <v>0</v>
      </c>
      <c r="I1086" t="n">
        <v>0</v>
      </c>
      <c r="J1086" t="n">
        <v>0</v>
      </c>
      <c r="K1086" t="n">
        <v>0</v>
      </c>
      <c r="L1086" t="n">
        <v>0</v>
      </c>
      <c r="M1086" t="n">
        <v>0</v>
      </c>
      <c r="N1086" t="n">
        <v>0</v>
      </c>
      <c r="O1086" t="n">
        <v>0</v>
      </c>
      <c r="P1086" t="n">
        <v>0</v>
      </c>
      <c r="Q1086" t="n">
        <v>0</v>
      </c>
      <c r="R1086" s="2" t="inlineStr"/>
    </row>
    <row r="1087" ht="15" customHeight="1">
      <c r="A1087" t="inlineStr">
        <is>
          <t>A 64995-2019</t>
        </is>
      </c>
      <c r="B1087" s="1" t="n">
        <v>43801</v>
      </c>
      <c r="C1087" s="1" t="n">
        <v>45224</v>
      </c>
      <c r="D1087" t="inlineStr">
        <is>
          <t>STOCKHOLMS LÄN</t>
        </is>
      </c>
      <c r="E1087" t="inlineStr">
        <is>
          <t>SÖDERTÄLJE</t>
        </is>
      </c>
      <c r="G1087" t="n">
        <v>0.7</v>
      </c>
      <c r="H1087" t="n">
        <v>0</v>
      </c>
      <c r="I1087" t="n">
        <v>0</v>
      </c>
      <c r="J1087" t="n">
        <v>0</v>
      </c>
      <c r="K1087" t="n">
        <v>0</v>
      </c>
      <c r="L1087" t="n">
        <v>0</v>
      </c>
      <c r="M1087" t="n">
        <v>0</v>
      </c>
      <c r="N1087" t="n">
        <v>0</v>
      </c>
      <c r="O1087" t="n">
        <v>0</v>
      </c>
      <c r="P1087" t="n">
        <v>0</v>
      </c>
      <c r="Q1087" t="n">
        <v>0</v>
      </c>
      <c r="R1087" s="2" t="inlineStr"/>
    </row>
    <row r="1088" ht="15" customHeight="1">
      <c r="A1088" t="inlineStr">
        <is>
          <t>A 64938-2019</t>
        </is>
      </c>
      <c r="B1088" s="1" t="n">
        <v>43801</v>
      </c>
      <c r="C1088" s="1" t="n">
        <v>45224</v>
      </c>
      <c r="D1088" t="inlineStr">
        <is>
          <t>STOCKHOLMS LÄN</t>
        </is>
      </c>
      <c r="E1088" t="inlineStr">
        <is>
          <t>SÖDERTÄLJE</t>
        </is>
      </c>
      <c r="G1088" t="n">
        <v>1.5</v>
      </c>
      <c r="H1088" t="n">
        <v>0</v>
      </c>
      <c r="I1088" t="n">
        <v>0</v>
      </c>
      <c r="J1088" t="n">
        <v>0</v>
      </c>
      <c r="K1088" t="n">
        <v>0</v>
      </c>
      <c r="L1088" t="n">
        <v>0</v>
      </c>
      <c r="M1088" t="n">
        <v>0</v>
      </c>
      <c r="N1088" t="n">
        <v>0</v>
      </c>
      <c r="O1088" t="n">
        <v>0</v>
      </c>
      <c r="P1088" t="n">
        <v>0</v>
      </c>
      <c r="Q1088" t="n">
        <v>0</v>
      </c>
      <c r="R1088" s="2" t="inlineStr"/>
    </row>
    <row r="1089" ht="15" customHeight="1">
      <c r="A1089" t="inlineStr">
        <is>
          <t>A 64901-2019</t>
        </is>
      </c>
      <c r="B1089" s="1" t="n">
        <v>43801</v>
      </c>
      <c r="C1089" s="1" t="n">
        <v>45224</v>
      </c>
      <c r="D1089" t="inlineStr">
        <is>
          <t>STOCKHOLMS LÄN</t>
        </is>
      </c>
      <c r="E1089" t="inlineStr">
        <is>
          <t>SIGTUNA</t>
        </is>
      </c>
      <c r="G1089" t="n">
        <v>1.3</v>
      </c>
      <c r="H1089" t="n">
        <v>0</v>
      </c>
      <c r="I1089" t="n">
        <v>0</v>
      </c>
      <c r="J1089" t="n">
        <v>0</v>
      </c>
      <c r="K1089" t="n">
        <v>0</v>
      </c>
      <c r="L1089" t="n">
        <v>0</v>
      </c>
      <c r="M1089" t="n">
        <v>0</v>
      </c>
      <c r="N1089" t="n">
        <v>0</v>
      </c>
      <c r="O1089" t="n">
        <v>0</v>
      </c>
      <c r="P1089" t="n">
        <v>0</v>
      </c>
      <c r="Q1089" t="n">
        <v>0</v>
      </c>
      <c r="R1089" s="2" t="inlineStr"/>
    </row>
    <row r="1090" ht="15" customHeight="1">
      <c r="A1090" t="inlineStr">
        <is>
          <t>A 65577-2019</t>
        </is>
      </c>
      <c r="B1090" s="1" t="n">
        <v>43803</v>
      </c>
      <c r="C1090" s="1" t="n">
        <v>45224</v>
      </c>
      <c r="D1090" t="inlineStr">
        <is>
          <t>STOCKHOLMS LÄN</t>
        </is>
      </c>
      <c r="E1090" t="inlineStr">
        <is>
          <t>NYKVARN</t>
        </is>
      </c>
      <c r="G1090" t="n">
        <v>1.5</v>
      </c>
      <c r="H1090" t="n">
        <v>0</v>
      </c>
      <c r="I1090" t="n">
        <v>0</v>
      </c>
      <c r="J1090" t="n">
        <v>0</v>
      </c>
      <c r="K1090" t="n">
        <v>0</v>
      </c>
      <c r="L1090" t="n">
        <v>0</v>
      </c>
      <c r="M1090" t="n">
        <v>0</v>
      </c>
      <c r="N1090" t="n">
        <v>0</v>
      </c>
      <c r="O1090" t="n">
        <v>0</v>
      </c>
      <c r="P1090" t="n">
        <v>0</v>
      </c>
      <c r="Q1090" t="n">
        <v>0</v>
      </c>
      <c r="R1090" s="2" t="inlineStr"/>
    </row>
    <row r="1091" ht="15" customHeight="1">
      <c r="A1091" t="inlineStr">
        <is>
          <t>A 65640-2019</t>
        </is>
      </c>
      <c r="B1091" s="1" t="n">
        <v>43804</v>
      </c>
      <c r="C1091" s="1" t="n">
        <v>45224</v>
      </c>
      <c r="D1091" t="inlineStr">
        <is>
          <t>STOCKHOLMS LÄN</t>
        </is>
      </c>
      <c r="E1091" t="inlineStr">
        <is>
          <t>NORRTÄLJE</t>
        </is>
      </c>
      <c r="G1091" t="n">
        <v>0.8</v>
      </c>
      <c r="H1091" t="n">
        <v>0</v>
      </c>
      <c r="I1091" t="n">
        <v>0</v>
      </c>
      <c r="J1091" t="n">
        <v>0</v>
      </c>
      <c r="K1091" t="n">
        <v>0</v>
      </c>
      <c r="L1091" t="n">
        <v>0</v>
      </c>
      <c r="M1091" t="n">
        <v>0</v>
      </c>
      <c r="N1091" t="n">
        <v>0</v>
      </c>
      <c r="O1091" t="n">
        <v>0</v>
      </c>
      <c r="P1091" t="n">
        <v>0</v>
      </c>
      <c r="Q1091" t="n">
        <v>0</v>
      </c>
      <c r="R1091" s="2" t="inlineStr"/>
    </row>
    <row r="1092" ht="15" customHeight="1">
      <c r="A1092" t="inlineStr">
        <is>
          <t>A 65998-2019</t>
        </is>
      </c>
      <c r="B1092" s="1" t="n">
        <v>43805</v>
      </c>
      <c r="C1092" s="1" t="n">
        <v>45224</v>
      </c>
      <c r="D1092" t="inlineStr">
        <is>
          <t>STOCKHOLMS LÄN</t>
        </is>
      </c>
      <c r="E1092" t="inlineStr">
        <is>
          <t>NORRTÄLJE</t>
        </is>
      </c>
      <c r="G1092" t="n">
        <v>6.5</v>
      </c>
      <c r="H1092" t="n">
        <v>0</v>
      </c>
      <c r="I1092" t="n">
        <v>0</v>
      </c>
      <c r="J1092" t="n">
        <v>0</v>
      </c>
      <c r="K1092" t="n">
        <v>0</v>
      </c>
      <c r="L1092" t="n">
        <v>0</v>
      </c>
      <c r="M1092" t="n">
        <v>0</v>
      </c>
      <c r="N1092" t="n">
        <v>0</v>
      </c>
      <c r="O1092" t="n">
        <v>0</v>
      </c>
      <c r="P1092" t="n">
        <v>0</v>
      </c>
      <c r="Q1092" t="n">
        <v>0</v>
      </c>
      <c r="R1092" s="2" t="inlineStr"/>
    </row>
    <row r="1093" ht="15" customHeight="1">
      <c r="A1093" t="inlineStr">
        <is>
          <t>A 67111-2019</t>
        </is>
      </c>
      <c r="B1093" s="1" t="n">
        <v>43807</v>
      </c>
      <c r="C1093" s="1" t="n">
        <v>45224</v>
      </c>
      <c r="D1093" t="inlineStr">
        <is>
          <t>STOCKHOLMS LÄN</t>
        </is>
      </c>
      <c r="E1093" t="inlineStr">
        <is>
          <t>HANINGE</t>
        </is>
      </c>
      <c r="G1093" t="n">
        <v>0.6</v>
      </c>
      <c r="H1093" t="n">
        <v>0</v>
      </c>
      <c r="I1093" t="n">
        <v>0</v>
      </c>
      <c r="J1093" t="n">
        <v>0</v>
      </c>
      <c r="K1093" t="n">
        <v>0</v>
      </c>
      <c r="L1093" t="n">
        <v>0</v>
      </c>
      <c r="M1093" t="n">
        <v>0</v>
      </c>
      <c r="N1093" t="n">
        <v>0</v>
      </c>
      <c r="O1093" t="n">
        <v>0</v>
      </c>
      <c r="P1093" t="n">
        <v>0</v>
      </c>
      <c r="Q1093" t="n">
        <v>0</v>
      </c>
      <c r="R1093" s="2" t="inlineStr"/>
    </row>
    <row r="1094" ht="15" customHeight="1">
      <c r="A1094" t="inlineStr">
        <is>
          <t>A 66599-2019</t>
        </is>
      </c>
      <c r="B1094" s="1" t="n">
        <v>43809</v>
      </c>
      <c r="C1094" s="1" t="n">
        <v>45224</v>
      </c>
      <c r="D1094" t="inlineStr">
        <is>
          <t>STOCKHOLMS LÄN</t>
        </is>
      </c>
      <c r="E1094" t="inlineStr">
        <is>
          <t>EKERÖ</t>
        </is>
      </c>
      <c r="G1094" t="n">
        <v>4.9</v>
      </c>
      <c r="H1094" t="n">
        <v>0</v>
      </c>
      <c r="I1094" t="n">
        <v>0</v>
      </c>
      <c r="J1094" t="n">
        <v>0</v>
      </c>
      <c r="K1094" t="n">
        <v>0</v>
      </c>
      <c r="L1094" t="n">
        <v>0</v>
      </c>
      <c r="M1094" t="n">
        <v>0</v>
      </c>
      <c r="N1094" t="n">
        <v>0</v>
      </c>
      <c r="O1094" t="n">
        <v>0</v>
      </c>
      <c r="P1094" t="n">
        <v>0</v>
      </c>
      <c r="Q1094" t="n">
        <v>0</v>
      </c>
      <c r="R1094" s="2" t="inlineStr"/>
    </row>
    <row r="1095" ht="15" customHeight="1">
      <c r="A1095" t="inlineStr">
        <is>
          <t>A 66589-2019</t>
        </is>
      </c>
      <c r="B1095" s="1" t="n">
        <v>43809</v>
      </c>
      <c r="C1095" s="1" t="n">
        <v>45224</v>
      </c>
      <c r="D1095" t="inlineStr">
        <is>
          <t>STOCKHOLMS LÄN</t>
        </is>
      </c>
      <c r="E1095" t="inlineStr">
        <is>
          <t>NYNÄSHAMN</t>
        </is>
      </c>
      <c r="G1095" t="n">
        <v>2</v>
      </c>
      <c r="H1095" t="n">
        <v>0</v>
      </c>
      <c r="I1095" t="n">
        <v>0</v>
      </c>
      <c r="J1095" t="n">
        <v>0</v>
      </c>
      <c r="K1095" t="n">
        <v>0</v>
      </c>
      <c r="L1095" t="n">
        <v>0</v>
      </c>
      <c r="M1095" t="n">
        <v>0</v>
      </c>
      <c r="N1095" t="n">
        <v>0</v>
      </c>
      <c r="O1095" t="n">
        <v>0</v>
      </c>
      <c r="P1095" t="n">
        <v>0</v>
      </c>
      <c r="Q1095" t="n">
        <v>0</v>
      </c>
      <c r="R1095" s="2" t="inlineStr"/>
    </row>
    <row r="1096" ht="15" customHeight="1">
      <c r="A1096" t="inlineStr">
        <is>
          <t>A 66603-2019</t>
        </is>
      </c>
      <c r="B1096" s="1" t="n">
        <v>43809</v>
      </c>
      <c r="C1096" s="1" t="n">
        <v>45224</v>
      </c>
      <c r="D1096" t="inlineStr">
        <is>
          <t>STOCKHOLMS LÄN</t>
        </is>
      </c>
      <c r="E1096" t="inlineStr">
        <is>
          <t>EKERÖ</t>
        </is>
      </c>
      <c r="G1096" t="n">
        <v>2.8</v>
      </c>
      <c r="H1096" t="n">
        <v>0</v>
      </c>
      <c r="I1096" t="n">
        <v>0</v>
      </c>
      <c r="J1096" t="n">
        <v>0</v>
      </c>
      <c r="K1096" t="n">
        <v>0</v>
      </c>
      <c r="L1096" t="n">
        <v>0</v>
      </c>
      <c r="M1096" t="n">
        <v>0</v>
      </c>
      <c r="N1096" t="n">
        <v>0</v>
      </c>
      <c r="O1096" t="n">
        <v>0</v>
      </c>
      <c r="P1096" t="n">
        <v>0</v>
      </c>
      <c r="Q1096" t="n">
        <v>0</v>
      </c>
      <c r="R1096" s="2" t="inlineStr"/>
    </row>
    <row r="1097" ht="15" customHeight="1">
      <c r="A1097" t="inlineStr">
        <is>
          <t>A 66604-2019</t>
        </is>
      </c>
      <c r="B1097" s="1" t="n">
        <v>43809</v>
      </c>
      <c r="C1097" s="1" t="n">
        <v>45224</v>
      </c>
      <c r="D1097" t="inlineStr">
        <is>
          <t>STOCKHOLMS LÄN</t>
        </is>
      </c>
      <c r="E1097" t="inlineStr">
        <is>
          <t>NORRTÄLJE</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67158-2019</t>
        </is>
      </c>
      <c r="B1098" s="1" t="n">
        <v>43811</v>
      </c>
      <c r="C1098" s="1" t="n">
        <v>45224</v>
      </c>
      <c r="D1098" t="inlineStr">
        <is>
          <t>STOCKHOLMS LÄN</t>
        </is>
      </c>
      <c r="E1098" t="inlineStr">
        <is>
          <t>NORRTÄLJE</t>
        </is>
      </c>
      <c r="G1098" t="n">
        <v>4.4</v>
      </c>
      <c r="H1098" t="n">
        <v>0</v>
      </c>
      <c r="I1098" t="n">
        <v>0</v>
      </c>
      <c r="J1098" t="n">
        <v>0</v>
      </c>
      <c r="K1098" t="n">
        <v>0</v>
      </c>
      <c r="L1098" t="n">
        <v>0</v>
      </c>
      <c r="M1098" t="n">
        <v>0</v>
      </c>
      <c r="N1098" t="n">
        <v>0</v>
      </c>
      <c r="O1098" t="n">
        <v>0</v>
      </c>
      <c r="P1098" t="n">
        <v>0</v>
      </c>
      <c r="Q1098" t="n">
        <v>0</v>
      </c>
      <c r="R1098" s="2" t="inlineStr"/>
    </row>
    <row r="1099" ht="15" customHeight="1">
      <c r="A1099" t="inlineStr">
        <is>
          <t>A 67324-2019</t>
        </is>
      </c>
      <c r="B1099" s="1" t="n">
        <v>43812</v>
      </c>
      <c r="C1099" s="1" t="n">
        <v>45224</v>
      </c>
      <c r="D1099" t="inlineStr">
        <is>
          <t>STOCKHOLMS LÄN</t>
        </is>
      </c>
      <c r="E1099" t="inlineStr">
        <is>
          <t>NORRTÄLJE</t>
        </is>
      </c>
      <c r="G1099" t="n">
        <v>7.7</v>
      </c>
      <c r="H1099" t="n">
        <v>0</v>
      </c>
      <c r="I1099" t="n">
        <v>0</v>
      </c>
      <c r="J1099" t="n">
        <v>0</v>
      </c>
      <c r="K1099" t="n">
        <v>0</v>
      </c>
      <c r="L1099" t="n">
        <v>0</v>
      </c>
      <c r="M1099" t="n">
        <v>0</v>
      </c>
      <c r="N1099" t="n">
        <v>0</v>
      </c>
      <c r="O1099" t="n">
        <v>0</v>
      </c>
      <c r="P1099" t="n">
        <v>0</v>
      </c>
      <c r="Q1099" t="n">
        <v>0</v>
      </c>
      <c r="R1099" s="2" t="inlineStr"/>
    </row>
    <row r="1100" ht="15" customHeight="1">
      <c r="A1100" t="inlineStr">
        <is>
          <t>A 68011-2019</t>
        </is>
      </c>
      <c r="B1100" s="1" t="n">
        <v>43816</v>
      </c>
      <c r="C1100" s="1" t="n">
        <v>45224</v>
      </c>
      <c r="D1100" t="inlineStr">
        <is>
          <t>STOCKHOLMS LÄN</t>
        </is>
      </c>
      <c r="E1100" t="inlineStr">
        <is>
          <t>HANINGE</t>
        </is>
      </c>
      <c r="G1100" t="n">
        <v>0.1</v>
      </c>
      <c r="H1100" t="n">
        <v>0</v>
      </c>
      <c r="I1100" t="n">
        <v>0</v>
      </c>
      <c r="J1100" t="n">
        <v>0</v>
      </c>
      <c r="K1100" t="n">
        <v>0</v>
      </c>
      <c r="L1100" t="n">
        <v>0</v>
      </c>
      <c r="M1100" t="n">
        <v>0</v>
      </c>
      <c r="N1100" t="n">
        <v>0</v>
      </c>
      <c r="O1100" t="n">
        <v>0</v>
      </c>
      <c r="P1100" t="n">
        <v>0</v>
      </c>
      <c r="Q1100" t="n">
        <v>0</v>
      </c>
      <c r="R1100" s="2" t="inlineStr"/>
    </row>
    <row r="1101" ht="15" customHeight="1">
      <c r="A1101" t="inlineStr">
        <is>
          <t>A 68121-2019</t>
        </is>
      </c>
      <c r="B1101" s="1" t="n">
        <v>43817</v>
      </c>
      <c r="C1101" s="1" t="n">
        <v>45224</v>
      </c>
      <c r="D1101" t="inlineStr">
        <is>
          <t>STOCKHOLMS LÄN</t>
        </is>
      </c>
      <c r="E1101" t="inlineStr">
        <is>
          <t>ÖSTERÅKER</t>
        </is>
      </c>
      <c r="G1101" t="n">
        <v>4.2</v>
      </c>
      <c r="H1101" t="n">
        <v>0</v>
      </c>
      <c r="I1101" t="n">
        <v>0</v>
      </c>
      <c r="J1101" t="n">
        <v>0</v>
      </c>
      <c r="K1101" t="n">
        <v>0</v>
      </c>
      <c r="L1101" t="n">
        <v>0</v>
      </c>
      <c r="M1101" t="n">
        <v>0</v>
      </c>
      <c r="N1101" t="n">
        <v>0</v>
      </c>
      <c r="O1101" t="n">
        <v>0</v>
      </c>
      <c r="P1101" t="n">
        <v>0</v>
      </c>
      <c r="Q1101" t="n">
        <v>0</v>
      </c>
      <c r="R1101" s="2" t="inlineStr"/>
    </row>
    <row r="1102" ht="15" customHeight="1">
      <c r="A1102" t="inlineStr">
        <is>
          <t>A 68129-2019</t>
        </is>
      </c>
      <c r="B1102" s="1" t="n">
        <v>43817</v>
      </c>
      <c r="C1102" s="1" t="n">
        <v>45224</v>
      </c>
      <c r="D1102" t="inlineStr">
        <is>
          <t>STOCKHOLMS LÄN</t>
        </is>
      </c>
      <c r="E1102" t="inlineStr">
        <is>
          <t>VALLENTUNA</t>
        </is>
      </c>
      <c r="G1102" t="n">
        <v>4.2</v>
      </c>
      <c r="H1102" t="n">
        <v>0</v>
      </c>
      <c r="I1102" t="n">
        <v>0</v>
      </c>
      <c r="J1102" t="n">
        <v>0</v>
      </c>
      <c r="K1102" t="n">
        <v>0</v>
      </c>
      <c r="L1102" t="n">
        <v>0</v>
      </c>
      <c r="M1102" t="n">
        <v>0</v>
      </c>
      <c r="N1102" t="n">
        <v>0</v>
      </c>
      <c r="O1102" t="n">
        <v>0</v>
      </c>
      <c r="P1102" t="n">
        <v>0</v>
      </c>
      <c r="Q1102" t="n">
        <v>0</v>
      </c>
      <c r="R1102" s="2" t="inlineStr"/>
    </row>
    <row r="1103" ht="15" customHeight="1">
      <c r="A1103" t="inlineStr">
        <is>
          <t>A 68104-2019</t>
        </is>
      </c>
      <c r="B1103" s="1" t="n">
        <v>43817</v>
      </c>
      <c r="C1103" s="1" t="n">
        <v>45224</v>
      </c>
      <c r="D1103" t="inlineStr">
        <is>
          <t>STOCKHOLMS LÄN</t>
        </is>
      </c>
      <c r="E1103" t="inlineStr">
        <is>
          <t>ÖSTERÅKER</t>
        </is>
      </c>
      <c r="G1103" t="n">
        <v>8.4</v>
      </c>
      <c r="H1103" t="n">
        <v>0</v>
      </c>
      <c r="I1103" t="n">
        <v>0</v>
      </c>
      <c r="J1103" t="n">
        <v>0</v>
      </c>
      <c r="K1103" t="n">
        <v>0</v>
      </c>
      <c r="L1103" t="n">
        <v>0</v>
      </c>
      <c r="M1103" t="n">
        <v>0</v>
      </c>
      <c r="N1103" t="n">
        <v>0</v>
      </c>
      <c r="O1103" t="n">
        <v>0</v>
      </c>
      <c r="P1103" t="n">
        <v>0</v>
      </c>
      <c r="Q1103" t="n">
        <v>0</v>
      </c>
      <c r="R1103" s="2" t="inlineStr"/>
    </row>
    <row r="1104" ht="15" customHeight="1">
      <c r="A1104" t="inlineStr">
        <is>
          <t>A 68122-2019</t>
        </is>
      </c>
      <c r="B1104" s="1" t="n">
        <v>43817</v>
      </c>
      <c r="C1104" s="1" t="n">
        <v>45224</v>
      </c>
      <c r="D1104" t="inlineStr">
        <is>
          <t>STOCKHOLMS LÄN</t>
        </is>
      </c>
      <c r="E1104" t="inlineStr">
        <is>
          <t>ÖSTERÅKER</t>
        </is>
      </c>
      <c r="G1104" t="n">
        <v>4.5</v>
      </c>
      <c r="H1104" t="n">
        <v>0</v>
      </c>
      <c r="I1104" t="n">
        <v>0</v>
      </c>
      <c r="J1104" t="n">
        <v>0</v>
      </c>
      <c r="K1104" t="n">
        <v>0</v>
      </c>
      <c r="L1104" t="n">
        <v>0</v>
      </c>
      <c r="M1104" t="n">
        <v>0</v>
      </c>
      <c r="N1104" t="n">
        <v>0</v>
      </c>
      <c r="O1104" t="n">
        <v>0</v>
      </c>
      <c r="P1104" t="n">
        <v>0</v>
      </c>
      <c r="Q1104" t="n">
        <v>0</v>
      </c>
      <c r="R1104" s="2" t="inlineStr"/>
    </row>
    <row r="1105" ht="15" customHeight="1">
      <c r="A1105" t="inlineStr">
        <is>
          <t>A 68236-2019</t>
        </is>
      </c>
      <c r="B1105" s="1" t="n">
        <v>43817</v>
      </c>
      <c r="C1105" s="1" t="n">
        <v>45224</v>
      </c>
      <c r="D1105" t="inlineStr">
        <is>
          <t>STOCKHOLMS LÄN</t>
        </is>
      </c>
      <c r="E1105" t="inlineStr">
        <is>
          <t>UPPLANDS-BRO</t>
        </is>
      </c>
      <c r="G1105" t="n">
        <v>0.9</v>
      </c>
      <c r="H1105" t="n">
        <v>0</v>
      </c>
      <c r="I1105" t="n">
        <v>0</v>
      </c>
      <c r="J1105" t="n">
        <v>0</v>
      </c>
      <c r="K1105" t="n">
        <v>0</v>
      </c>
      <c r="L1105" t="n">
        <v>0</v>
      </c>
      <c r="M1105" t="n">
        <v>0</v>
      </c>
      <c r="N1105" t="n">
        <v>0</v>
      </c>
      <c r="O1105" t="n">
        <v>0</v>
      </c>
      <c r="P1105" t="n">
        <v>0</v>
      </c>
      <c r="Q1105" t="n">
        <v>0</v>
      </c>
      <c r="R1105" s="2" t="inlineStr"/>
    </row>
    <row r="1106" ht="15" customHeight="1">
      <c r="A1106" t="inlineStr">
        <is>
          <t>A 68105-2019</t>
        </is>
      </c>
      <c r="B1106" s="1" t="n">
        <v>43817</v>
      </c>
      <c r="C1106" s="1" t="n">
        <v>45224</v>
      </c>
      <c r="D1106" t="inlineStr">
        <is>
          <t>STOCKHOLMS LÄN</t>
        </is>
      </c>
      <c r="E1106" t="inlineStr">
        <is>
          <t>ÖSTERÅKER</t>
        </is>
      </c>
      <c r="G1106" t="n">
        <v>16.6</v>
      </c>
      <c r="H1106" t="n">
        <v>0</v>
      </c>
      <c r="I1106" t="n">
        <v>0</v>
      </c>
      <c r="J1106" t="n">
        <v>0</v>
      </c>
      <c r="K1106" t="n">
        <v>0</v>
      </c>
      <c r="L1106" t="n">
        <v>0</v>
      </c>
      <c r="M1106" t="n">
        <v>0</v>
      </c>
      <c r="N1106" t="n">
        <v>0</v>
      </c>
      <c r="O1106" t="n">
        <v>0</v>
      </c>
      <c r="P1106" t="n">
        <v>0</v>
      </c>
      <c r="Q1106" t="n">
        <v>0</v>
      </c>
      <c r="R1106" s="2" t="inlineStr"/>
    </row>
    <row r="1107" ht="15" customHeight="1">
      <c r="A1107" t="inlineStr">
        <is>
          <t>A 68109-2019</t>
        </is>
      </c>
      <c r="B1107" s="1" t="n">
        <v>43817</v>
      </c>
      <c r="C1107" s="1" t="n">
        <v>45224</v>
      </c>
      <c r="D1107" t="inlineStr">
        <is>
          <t>STOCKHOLMS LÄN</t>
        </is>
      </c>
      <c r="E1107" t="inlineStr">
        <is>
          <t>ÖSTERÅKER</t>
        </is>
      </c>
      <c r="G1107" t="n">
        <v>5.8</v>
      </c>
      <c r="H1107" t="n">
        <v>0</v>
      </c>
      <c r="I1107" t="n">
        <v>0</v>
      </c>
      <c r="J1107" t="n">
        <v>0</v>
      </c>
      <c r="K1107" t="n">
        <v>0</v>
      </c>
      <c r="L1107" t="n">
        <v>0</v>
      </c>
      <c r="M1107" t="n">
        <v>0</v>
      </c>
      <c r="N1107" t="n">
        <v>0</v>
      </c>
      <c r="O1107" t="n">
        <v>0</v>
      </c>
      <c r="P1107" t="n">
        <v>0</v>
      </c>
      <c r="Q1107" t="n">
        <v>0</v>
      </c>
      <c r="R1107" s="2" t="inlineStr"/>
    </row>
    <row r="1108" ht="15" customHeight="1">
      <c r="A1108" t="inlineStr">
        <is>
          <t>A 68123-2019</t>
        </is>
      </c>
      <c r="B1108" s="1" t="n">
        <v>43817</v>
      </c>
      <c r="C1108" s="1" t="n">
        <v>45224</v>
      </c>
      <c r="D1108" t="inlineStr">
        <is>
          <t>STOCKHOLMS LÄN</t>
        </is>
      </c>
      <c r="E1108" t="inlineStr">
        <is>
          <t>ÖSTERÅKER</t>
        </is>
      </c>
      <c r="G1108" t="n">
        <v>2</v>
      </c>
      <c r="H1108" t="n">
        <v>0</v>
      </c>
      <c r="I1108" t="n">
        <v>0</v>
      </c>
      <c r="J1108" t="n">
        <v>0</v>
      </c>
      <c r="K1108" t="n">
        <v>0</v>
      </c>
      <c r="L1108" t="n">
        <v>0</v>
      </c>
      <c r="M1108" t="n">
        <v>0</v>
      </c>
      <c r="N1108" t="n">
        <v>0</v>
      </c>
      <c r="O1108" t="n">
        <v>0</v>
      </c>
      <c r="P1108" t="n">
        <v>0</v>
      </c>
      <c r="Q1108" t="n">
        <v>0</v>
      </c>
      <c r="R1108" s="2" t="inlineStr"/>
    </row>
    <row r="1109" ht="15" customHeight="1">
      <c r="A1109" t="inlineStr">
        <is>
          <t>A 68826-2019</t>
        </is>
      </c>
      <c r="B1109" s="1" t="n">
        <v>43819</v>
      </c>
      <c r="C1109" s="1" t="n">
        <v>45224</v>
      </c>
      <c r="D1109" t="inlineStr">
        <is>
          <t>STOCKHOLMS LÄN</t>
        </is>
      </c>
      <c r="E1109" t="inlineStr">
        <is>
          <t>SIGTUNA</t>
        </is>
      </c>
      <c r="F1109" t="inlineStr">
        <is>
          <t>Kyrkan</t>
        </is>
      </c>
      <c r="G1109" t="n">
        <v>4.6</v>
      </c>
      <c r="H1109" t="n">
        <v>0</v>
      </c>
      <c r="I1109" t="n">
        <v>0</v>
      </c>
      <c r="J1109" t="n">
        <v>0</v>
      </c>
      <c r="K1109" t="n">
        <v>0</v>
      </c>
      <c r="L1109" t="n">
        <v>0</v>
      </c>
      <c r="M1109" t="n">
        <v>0</v>
      </c>
      <c r="N1109" t="n">
        <v>0</v>
      </c>
      <c r="O1109" t="n">
        <v>0</v>
      </c>
      <c r="P1109" t="n">
        <v>0</v>
      </c>
      <c r="Q1109" t="n">
        <v>0</v>
      </c>
      <c r="R1109" s="2" t="inlineStr"/>
    </row>
    <row r="1110" ht="15" customHeight="1">
      <c r="A1110" t="inlineStr">
        <is>
          <t>A 68829-2019</t>
        </is>
      </c>
      <c r="B1110" s="1" t="n">
        <v>43819</v>
      </c>
      <c r="C1110" s="1" t="n">
        <v>45224</v>
      </c>
      <c r="D1110" t="inlineStr">
        <is>
          <t>STOCKHOLMS LÄN</t>
        </is>
      </c>
      <c r="E1110" t="inlineStr">
        <is>
          <t>SIGTUNA</t>
        </is>
      </c>
      <c r="F1110" t="inlineStr">
        <is>
          <t>Kyrkan</t>
        </is>
      </c>
      <c r="G1110" t="n">
        <v>2.5</v>
      </c>
      <c r="H1110" t="n">
        <v>0</v>
      </c>
      <c r="I1110" t="n">
        <v>0</v>
      </c>
      <c r="J1110" t="n">
        <v>0</v>
      </c>
      <c r="K1110" t="n">
        <v>0</v>
      </c>
      <c r="L1110" t="n">
        <v>0</v>
      </c>
      <c r="M1110" t="n">
        <v>0</v>
      </c>
      <c r="N1110" t="n">
        <v>0</v>
      </c>
      <c r="O1110" t="n">
        <v>0</v>
      </c>
      <c r="P1110" t="n">
        <v>0</v>
      </c>
      <c r="Q1110" t="n">
        <v>0</v>
      </c>
      <c r="R1110" s="2" t="inlineStr"/>
    </row>
    <row r="1111" ht="15" customHeight="1">
      <c r="A1111" t="inlineStr">
        <is>
          <t>A 68825-2019</t>
        </is>
      </c>
      <c r="B1111" s="1" t="n">
        <v>43819</v>
      </c>
      <c r="C1111" s="1" t="n">
        <v>45224</v>
      </c>
      <c r="D1111" t="inlineStr">
        <is>
          <t>STOCKHOLMS LÄN</t>
        </is>
      </c>
      <c r="E1111" t="inlineStr">
        <is>
          <t>SIGTUNA</t>
        </is>
      </c>
      <c r="F1111" t="inlineStr">
        <is>
          <t>Kyrkan</t>
        </is>
      </c>
      <c r="G1111" t="n">
        <v>7.6</v>
      </c>
      <c r="H1111" t="n">
        <v>0</v>
      </c>
      <c r="I1111" t="n">
        <v>0</v>
      </c>
      <c r="J1111" t="n">
        <v>0</v>
      </c>
      <c r="K1111" t="n">
        <v>0</v>
      </c>
      <c r="L1111" t="n">
        <v>0</v>
      </c>
      <c r="M1111" t="n">
        <v>0</v>
      </c>
      <c r="N1111" t="n">
        <v>0</v>
      </c>
      <c r="O1111" t="n">
        <v>0</v>
      </c>
      <c r="P1111" t="n">
        <v>0</v>
      </c>
      <c r="Q1111" t="n">
        <v>0</v>
      </c>
      <c r="R1111" s="2" t="inlineStr"/>
    </row>
    <row r="1112" ht="15" customHeight="1">
      <c r="A1112" t="inlineStr">
        <is>
          <t>A 68865-2019</t>
        </is>
      </c>
      <c r="B1112" s="1" t="n">
        <v>43821</v>
      </c>
      <c r="C1112" s="1" t="n">
        <v>45224</v>
      </c>
      <c r="D1112" t="inlineStr">
        <is>
          <t>STOCKHOLMS LÄN</t>
        </is>
      </c>
      <c r="E1112" t="inlineStr">
        <is>
          <t>NORRTÄLJE</t>
        </is>
      </c>
      <c r="G1112" t="n">
        <v>1.8</v>
      </c>
      <c r="H1112" t="n">
        <v>0</v>
      </c>
      <c r="I1112" t="n">
        <v>0</v>
      </c>
      <c r="J1112" t="n">
        <v>0</v>
      </c>
      <c r="K1112" t="n">
        <v>0</v>
      </c>
      <c r="L1112" t="n">
        <v>0</v>
      </c>
      <c r="M1112" t="n">
        <v>0</v>
      </c>
      <c r="N1112" t="n">
        <v>0</v>
      </c>
      <c r="O1112" t="n">
        <v>0</v>
      </c>
      <c r="P1112" t="n">
        <v>0</v>
      </c>
      <c r="Q1112" t="n">
        <v>0</v>
      </c>
      <c r="R1112" s="2" t="inlineStr"/>
    </row>
    <row r="1113" ht="15" customHeight="1">
      <c r="A1113" t="inlineStr">
        <is>
          <t>A 1099-2020</t>
        </is>
      </c>
      <c r="B1113" s="1" t="n">
        <v>43822</v>
      </c>
      <c r="C1113" s="1" t="n">
        <v>45224</v>
      </c>
      <c r="D1113" t="inlineStr">
        <is>
          <t>STOCKHOLMS LÄN</t>
        </is>
      </c>
      <c r="E1113" t="inlineStr">
        <is>
          <t>NORRTÄLJE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292-2020</t>
        </is>
      </c>
      <c r="B1114" s="1" t="n">
        <v>43837</v>
      </c>
      <c r="C1114" s="1" t="n">
        <v>45224</v>
      </c>
      <c r="D1114" t="inlineStr">
        <is>
          <t>STOCKHOLMS LÄN</t>
        </is>
      </c>
      <c r="E1114" t="inlineStr">
        <is>
          <t>EKERÖ</t>
        </is>
      </c>
      <c r="G1114" t="n">
        <v>4.1</v>
      </c>
      <c r="H1114" t="n">
        <v>0</v>
      </c>
      <c r="I1114" t="n">
        <v>0</v>
      </c>
      <c r="J1114" t="n">
        <v>0</v>
      </c>
      <c r="K1114" t="n">
        <v>0</v>
      </c>
      <c r="L1114" t="n">
        <v>0</v>
      </c>
      <c r="M1114" t="n">
        <v>0</v>
      </c>
      <c r="N1114" t="n">
        <v>0</v>
      </c>
      <c r="O1114" t="n">
        <v>0</v>
      </c>
      <c r="P1114" t="n">
        <v>0</v>
      </c>
      <c r="Q1114" t="n">
        <v>0</v>
      </c>
      <c r="R1114" s="2" t="inlineStr"/>
    </row>
    <row r="1115" ht="15" customHeight="1">
      <c r="A1115" t="inlineStr">
        <is>
          <t>A 461-2020</t>
        </is>
      </c>
      <c r="B1115" s="1" t="n">
        <v>43837</v>
      </c>
      <c r="C1115" s="1" t="n">
        <v>45224</v>
      </c>
      <c r="D1115" t="inlineStr">
        <is>
          <t>STOCKHOLMS LÄN</t>
        </is>
      </c>
      <c r="E1115" t="inlineStr">
        <is>
          <t>NYNÄSHAMN</t>
        </is>
      </c>
      <c r="G1115" t="n">
        <v>1.1</v>
      </c>
      <c r="H1115" t="n">
        <v>0</v>
      </c>
      <c r="I1115" t="n">
        <v>0</v>
      </c>
      <c r="J1115" t="n">
        <v>0</v>
      </c>
      <c r="K1115" t="n">
        <v>0</v>
      </c>
      <c r="L1115" t="n">
        <v>0</v>
      </c>
      <c r="M1115" t="n">
        <v>0</v>
      </c>
      <c r="N1115" t="n">
        <v>0</v>
      </c>
      <c r="O1115" t="n">
        <v>0</v>
      </c>
      <c r="P1115" t="n">
        <v>0</v>
      </c>
      <c r="Q1115" t="n">
        <v>0</v>
      </c>
      <c r="R1115" s="2" t="inlineStr"/>
    </row>
    <row r="1116" ht="15" customHeight="1">
      <c r="A1116" t="inlineStr">
        <is>
          <t>A 464-2020</t>
        </is>
      </c>
      <c r="B1116" s="1" t="n">
        <v>43837</v>
      </c>
      <c r="C1116" s="1" t="n">
        <v>45224</v>
      </c>
      <c r="D1116" t="inlineStr">
        <is>
          <t>STOCKHOLMS LÄN</t>
        </is>
      </c>
      <c r="E1116" t="inlineStr">
        <is>
          <t>NYNÄSHAMN</t>
        </is>
      </c>
      <c r="G1116" t="n">
        <v>1.1</v>
      </c>
      <c r="H1116" t="n">
        <v>0</v>
      </c>
      <c r="I1116" t="n">
        <v>0</v>
      </c>
      <c r="J1116" t="n">
        <v>0</v>
      </c>
      <c r="K1116" t="n">
        <v>0</v>
      </c>
      <c r="L1116" t="n">
        <v>0</v>
      </c>
      <c r="M1116" t="n">
        <v>0</v>
      </c>
      <c r="N1116" t="n">
        <v>0</v>
      </c>
      <c r="O1116" t="n">
        <v>0</v>
      </c>
      <c r="P1116" t="n">
        <v>0</v>
      </c>
      <c r="Q1116" t="n">
        <v>0</v>
      </c>
      <c r="R1116" s="2" t="inlineStr"/>
    </row>
    <row r="1117" ht="15" customHeight="1">
      <c r="A1117" t="inlineStr">
        <is>
          <t>A 630-2020</t>
        </is>
      </c>
      <c r="B1117" s="1" t="n">
        <v>43838</v>
      </c>
      <c r="C1117" s="1" t="n">
        <v>45224</v>
      </c>
      <c r="D1117" t="inlineStr">
        <is>
          <t>STOCKHOLMS LÄN</t>
        </is>
      </c>
      <c r="E1117" t="inlineStr">
        <is>
          <t>SÖDERTÄLJE</t>
        </is>
      </c>
      <c r="G1117" t="n">
        <v>2</v>
      </c>
      <c r="H1117" t="n">
        <v>0</v>
      </c>
      <c r="I1117" t="n">
        <v>0</v>
      </c>
      <c r="J1117" t="n">
        <v>0</v>
      </c>
      <c r="K1117" t="n">
        <v>0</v>
      </c>
      <c r="L1117" t="n">
        <v>0</v>
      </c>
      <c r="M1117" t="n">
        <v>0</v>
      </c>
      <c r="N1117" t="n">
        <v>0</v>
      </c>
      <c r="O1117" t="n">
        <v>0</v>
      </c>
      <c r="P1117" t="n">
        <v>0</v>
      </c>
      <c r="Q1117" t="n">
        <v>0</v>
      </c>
      <c r="R1117" s="2" t="inlineStr"/>
    </row>
    <row r="1118" ht="15" customHeight="1">
      <c r="A1118" t="inlineStr">
        <is>
          <t>A 2559-2020</t>
        </is>
      </c>
      <c r="B1118" s="1" t="n">
        <v>43843</v>
      </c>
      <c r="C1118" s="1" t="n">
        <v>45224</v>
      </c>
      <c r="D1118" t="inlineStr">
        <is>
          <t>STOCKHOLMS LÄN</t>
        </is>
      </c>
      <c r="E1118" t="inlineStr">
        <is>
          <t>SÖDERTÄLJE</t>
        </is>
      </c>
      <c r="G1118" t="n">
        <v>0.5</v>
      </c>
      <c r="H1118" t="n">
        <v>0</v>
      </c>
      <c r="I1118" t="n">
        <v>0</v>
      </c>
      <c r="J1118" t="n">
        <v>0</v>
      </c>
      <c r="K1118" t="n">
        <v>0</v>
      </c>
      <c r="L1118" t="n">
        <v>0</v>
      </c>
      <c r="M1118" t="n">
        <v>0</v>
      </c>
      <c r="N1118" t="n">
        <v>0</v>
      </c>
      <c r="O1118" t="n">
        <v>0</v>
      </c>
      <c r="P1118" t="n">
        <v>0</v>
      </c>
      <c r="Q1118" t="n">
        <v>0</v>
      </c>
      <c r="R1118" s="2" t="inlineStr"/>
    </row>
    <row r="1119" ht="15" customHeight="1">
      <c r="A1119" t="inlineStr">
        <is>
          <t>A 1388-2020</t>
        </is>
      </c>
      <c r="B1119" s="1" t="n">
        <v>43843</v>
      </c>
      <c r="C1119" s="1" t="n">
        <v>45224</v>
      </c>
      <c r="D1119" t="inlineStr">
        <is>
          <t>STOCKHOLMS LÄN</t>
        </is>
      </c>
      <c r="E1119" t="inlineStr">
        <is>
          <t>VÄRMDÖ</t>
        </is>
      </c>
      <c r="F1119" t="inlineStr">
        <is>
          <t>Övriga statliga verk och myndigheter</t>
        </is>
      </c>
      <c r="G1119" t="n">
        <v>2.1</v>
      </c>
      <c r="H1119" t="n">
        <v>0</v>
      </c>
      <c r="I1119" t="n">
        <v>0</v>
      </c>
      <c r="J1119" t="n">
        <v>0</v>
      </c>
      <c r="K1119" t="n">
        <v>0</v>
      </c>
      <c r="L1119" t="n">
        <v>0</v>
      </c>
      <c r="M1119" t="n">
        <v>0</v>
      </c>
      <c r="N1119" t="n">
        <v>0</v>
      </c>
      <c r="O1119" t="n">
        <v>0</v>
      </c>
      <c r="P1119" t="n">
        <v>0</v>
      </c>
      <c r="Q1119" t="n">
        <v>0</v>
      </c>
      <c r="R1119" s="2" t="inlineStr"/>
    </row>
    <row r="1120" ht="15" customHeight="1">
      <c r="A1120" t="inlineStr">
        <is>
          <t>A 1669-2020</t>
        </is>
      </c>
      <c r="B1120" s="1" t="n">
        <v>43844</v>
      </c>
      <c r="C1120" s="1" t="n">
        <v>45224</v>
      </c>
      <c r="D1120" t="inlineStr">
        <is>
          <t>STOCKHOLMS LÄN</t>
        </is>
      </c>
      <c r="E1120" t="inlineStr">
        <is>
          <t>NYNÄSHAMN</t>
        </is>
      </c>
      <c r="F1120" t="inlineStr">
        <is>
          <t>Övriga statliga verk och myndigheter</t>
        </is>
      </c>
      <c r="G1120" t="n">
        <v>1.6</v>
      </c>
      <c r="H1120" t="n">
        <v>0</v>
      </c>
      <c r="I1120" t="n">
        <v>0</v>
      </c>
      <c r="J1120" t="n">
        <v>0</v>
      </c>
      <c r="K1120" t="n">
        <v>0</v>
      </c>
      <c r="L1120" t="n">
        <v>0</v>
      </c>
      <c r="M1120" t="n">
        <v>0</v>
      </c>
      <c r="N1120" t="n">
        <v>0</v>
      </c>
      <c r="O1120" t="n">
        <v>0</v>
      </c>
      <c r="P1120" t="n">
        <v>0</v>
      </c>
      <c r="Q1120" t="n">
        <v>0</v>
      </c>
      <c r="R1120" s="2" t="inlineStr"/>
    </row>
    <row r="1121" ht="15" customHeight="1">
      <c r="A1121" t="inlineStr">
        <is>
          <t>A 1811-2020</t>
        </is>
      </c>
      <c r="B1121" s="1" t="n">
        <v>43844</v>
      </c>
      <c r="C1121" s="1" t="n">
        <v>45224</v>
      </c>
      <c r="D1121" t="inlineStr">
        <is>
          <t>STOCKHOLMS LÄN</t>
        </is>
      </c>
      <c r="E1121" t="inlineStr">
        <is>
          <t>SÖDERTÄLJE</t>
        </is>
      </c>
      <c r="G1121" t="n">
        <v>1.5</v>
      </c>
      <c r="H1121" t="n">
        <v>0</v>
      </c>
      <c r="I1121" t="n">
        <v>0</v>
      </c>
      <c r="J1121" t="n">
        <v>0</v>
      </c>
      <c r="K1121" t="n">
        <v>0</v>
      </c>
      <c r="L1121" t="n">
        <v>0</v>
      </c>
      <c r="M1121" t="n">
        <v>0</v>
      </c>
      <c r="N1121" t="n">
        <v>0</v>
      </c>
      <c r="O1121" t="n">
        <v>0</v>
      </c>
      <c r="P1121" t="n">
        <v>0</v>
      </c>
      <c r="Q1121" t="n">
        <v>0</v>
      </c>
      <c r="R1121" s="2" t="inlineStr"/>
    </row>
    <row r="1122" ht="15" customHeight="1">
      <c r="A1122" t="inlineStr">
        <is>
          <t>A 1789-2020</t>
        </is>
      </c>
      <c r="B1122" s="1" t="n">
        <v>43844</v>
      </c>
      <c r="C1122" s="1" t="n">
        <v>45224</v>
      </c>
      <c r="D1122" t="inlineStr">
        <is>
          <t>STOCKHOLMS LÄN</t>
        </is>
      </c>
      <c r="E1122" t="inlineStr">
        <is>
          <t>NYNÄSHAMN</t>
        </is>
      </c>
      <c r="F1122" t="inlineStr">
        <is>
          <t>Övriga statliga verk och myndigheter</t>
        </is>
      </c>
      <c r="G1122" t="n">
        <v>6.4</v>
      </c>
      <c r="H1122" t="n">
        <v>0</v>
      </c>
      <c r="I1122" t="n">
        <v>0</v>
      </c>
      <c r="J1122" t="n">
        <v>0</v>
      </c>
      <c r="K1122" t="n">
        <v>0</v>
      </c>
      <c r="L1122" t="n">
        <v>0</v>
      </c>
      <c r="M1122" t="n">
        <v>0</v>
      </c>
      <c r="N1122" t="n">
        <v>0</v>
      </c>
      <c r="O1122" t="n">
        <v>0</v>
      </c>
      <c r="P1122" t="n">
        <v>0</v>
      </c>
      <c r="Q1122" t="n">
        <v>0</v>
      </c>
      <c r="R1122" s="2" t="inlineStr"/>
    </row>
    <row r="1123" ht="15" customHeight="1">
      <c r="A1123" t="inlineStr">
        <is>
          <t>A 2554-2020</t>
        </is>
      </c>
      <c r="B1123" s="1" t="n">
        <v>43847</v>
      </c>
      <c r="C1123" s="1" t="n">
        <v>45224</v>
      </c>
      <c r="D1123" t="inlineStr">
        <is>
          <t>STOCKHOLMS LÄN</t>
        </is>
      </c>
      <c r="E1123" t="inlineStr">
        <is>
          <t>BOTKYRKA</t>
        </is>
      </c>
      <c r="G1123" t="n">
        <v>3.3</v>
      </c>
      <c r="H1123" t="n">
        <v>0</v>
      </c>
      <c r="I1123" t="n">
        <v>0</v>
      </c>
      <c r="J1123" t="n">
        <v>0</v>
      </c>
      <c r="K1123" t="n">
        <v>0</v>
      </c>
      <c r="L1123" t="n">
        <v>0</v>
      </c>
      <c r="M1123" t="n">
        <v>0</v>
      </c>
      <c r="N1123" t="n">
        <v>0</v>
      </c>
      <c r="O1123" t="n">
        <v>0</v>
      </c>
      <c r="P1123" t="n">
        <v>0</v>
      </c>
      <c r="Q1123" t="n">
        <v>0</v>
      </c>
      <c r="R1123" s="2" t="inlineStr"/>
    </row>
    <row r="1124" ht="15" customHeight="1">
      <c r="A1124" t="inlineStr">
        <is>
          <t>A 2671-2020</t>
        </is>
      </c>
      <c r="B1124" s="1" t="n">
        <v>43849</v>
      </c>
      <c r="C1124" s="1" t="n">
        <v>45224</v>
      </c>
      <c r="D1124" t="inlineStr">
        <is>
          <t>STOCKHOLMS LÄN</t>
        </is>
      </c>
      <c r="E1124" t="inlineStr">
        <is>
          <t>NYNÄSHAMN</t>
        </is>
      </c>
      <c r="G1124" t="n">
        <v>1.6</v>
      </c>
      <c r="H1124" t="n">
        <v>0</v>
      </c>
      <c r="I1124" t="n">
        <v>0</v>
      </c>
      <c r="J1124" t="n">
        <v>0</v>
      </c>
      <c r="K1124" t="n">
        <v>0</v>
      </c>
      <c r="L1124" t="n">
        <v>0</v>
      </c>
      <c r="M1124" t="n">
        <v>0</v>
      </c>
      <c r="N1124" t="n">
        <v>0</v>
      </c>
      <c r="O1124" t="n">
        <v>0</v>
      </c>
      <c r="P1124" t="n">
        <v>0</v>
      </c>
      <c r="Q1124" t="n">
        <v>0</v>
      </c>
      <c r="R1124" s="2" t="inlineStr"/>
    </row>
    <row r="1125" ht="15" customHeight="1">
      <c r="A1125" t="inlineStr">
        <is>
          <t>A 4475-2020</t>
        </is>
      </c>
      <c r="B1125" s="1" t="n">
        <v>43849</v>
      </c>
      <c r="C1125" s="1" t="n">
        <v>45224</v>
      </c>
      <c r="D1125" t="inlineStr">
        <is>
          <t>STOCKHOLMS LÄN</t>
        </is>
      </c>
      <c r="E1125" t="inlineStr">
        <is>
          <t>NORRTÄLJE</t>
        </is>
      </c>
      <c r="G1125" t="n">
        <v>1.6</v>
      </c>
      <c r="H1125" t="n">
        <v>0</v>
      </c>
      <c r="I1125" t="n">
        <v>0</v>
      </c>
      <c r="J1125" t="n">
        <v>0</v>
      </c>
      <c r="K1125" t="n">
        <v>0</v>
      </c>
      <c r="L1125" t="n">
        <v>0</v>
      </c>
      <c r="M1125" t="n">
        <v>0</v>
      </c>
      <c r="N1125" t="n">
        <v>0</v>
      </c>
      <c r="O1125" t="n">
        <v>0</v>
      </c>
      <c r="P1125" t="n">
        <v>0</v>
      </c>
      <c r="Q1125" t="n">
        <v>0</v>
      </c>
      <c r="R1125" s="2" t="inlineStr"/>
    </row>
    <row r="1126" ht="15" customHeight="1">
      <c r="A1126" t="inlineStr">
        <is>
          <t>A 2803-2020</t>
        </is>
      </c>
      <c r="B1126" s="1" t="n">
        <v>43850</v>
      </c>
      <c r="C1126" s="1" t="n">
        <v>45224</v>
      </c>
      <c r="D1126" t="inlineStr">
        <is>
          <t>STOCKHOLMS LÄN</t>
        </is>
      </c>
      <c r="E1126" t="inlineStr">
        <is>
          <t>NORRTÄLJE</t>
        </is>
      </c>
      <c r="G1126" t="n">
        <v>1.2</v>
      </c>
      <c r="H1126" t="n">
        <v>0</v>
      </c>
      <c r="I1126" t="n">
        <v>0</v>
      </c>
      <c r="J1126" t="n">
        <v>0</v>
      </c>
      <c r="K1126" t="n">
        <v>0</v>
      </c>
      <c r="L1126" t="n">
        <v>0</v>
      </c>
      <c r="M1126" t="n">
        <v>0</v>
      </c>
      <c r="N1126" t="n">
        <v>0</v>
      </c>
      <c r="O1126" t="n">
        <v>0</v>
      </c>
      <c r="P1126" t="n">
        <v>0</v>
      </c>
      <c r="Q1126" t="n">
        <v>0</v>
      </c>
      <c r="R1126" s="2" t="inlineStr"/>
    </row>
    <row r="1127" ht="15" customHeight="1">
      <c r="A1127" t="inlineStr">
        <is>
          <t>A 2810-2020</t>
        </is>
      </c>
      <c r="B1127" s="1" t="n">
        <v>43850</v>
      </c>
      <c r="C1127" s="1" t="n">
        <v>45224</v>
      </c>
      <c r="D1127" t="inlineStr">
        <is>
          <t>STOCKHOLMS LÄN</t>
        </is>
      </c>
      <c r="E1127" t="inlineStr">
        <is>
          <t>NORRTÄLJE</t>
        </is>
      </c>
      <c r="G1127" t="n">
        <v>0.9</v>
      </c>
      <c r="H1127" t="n">
        <v>0</v>
      </c>
      <c r="I1127" t="n">
        <v>0</v>
      </c>
      <c r="J1127" t="n">
        <v>0</v>
      </c>
      <c r="K1127" t="n">
        <v>0</v>
      </c>
      <c r="L1127" t="n">
        <v>0</v>
      </c>
      <c r="M1127" t="n">
        <v>0</v>
      </c>
      <c r="N1127" t="n">
        <v>0</v>
      </c>
      <c r="O1127" t="n">
        <v>0</v>
      </c>
      <c r="P1127" t="n">
        <v>0</v>
      </c>
      <c r="Q1127" t="n">
        <v>0</v>
      </c>
      <c r="R1127" s="2" t="inlineStr"/>
    </row>
    <row r="1128" ht="15" customHeight="1">
      <c r="A1128" t="inlineStr">
        <is>
          <t>A 2808-2020</t>
        </is>
      </c>
      <c r="B1128" s="1" t="n">
        <v>43850</v>
      </c>
      <c r="C1128" s="1" t="n">
        <v>45224</v>
      </c>
      <c r="D1128" t="inlineStr">
        <is>
          <t>STOCKHOLMS LÄN</t>
        </is>
      </c>
      <c r="E1128" t="inlineStr">
        <is>
          <t>NORRTÄLJE</t>
        </is>
      </c>
      <c r="G1128" t="n">
        <v>1</v>
      </c>
      <c r="H1128" t="n">
        <v>0</v>
      </c>
      <c r="I1128" t="n">
        <v>0</v>
      </c>
      <c r="J1128" t="n">
        <v>0</v>
      </c>
      <c r="K1128" t="n">
        <v>0</v>
      </c>
      <c r="L1128" t="n">
        <v>0</v>
      </c>
      <c r="M1128" t="n">
        <v>0</v>
      </c>
      <c r="N1128" t="n">
        <v>0</v>
      </c>
      <c r="O1128" t="n">
        <v>0</v>
      </c>
      <c r="P1128" t="n">
        <v>0</v>
      </c>
      <c r="Q1128" t="n">
        <v>0</v>
      </c>
      <c r="R1128" s="2" t="inlineStr"/>
    </row>
    <row r="1129" ht="15" customHeight="1">
      <c r="A1129" t="inlineStr">
        <is>
          <t>A 3144-2020</t>
        </is>
      </c>
      <c r="B1129" s="1" t="n">
        <v>43851</v>
      </c>
      <c r="C1129" s="1" t="n">
        <v>45224</v>
      </c>
      <c r="D1129" t="inlineStr">
        <is>
          <t>STOCKHOLMS LÄN</t>
        </is>
      </c>
      <c r="E1129" t="inlineStr">
        <is>
          <t>NYNÄSHAMN</t>
        </is>
      </c>
      <c r="G1129" t="n">
        <v>5.9</v>
      </c>
      <c r="H1129" t="n">
        <v>0</v>
      </c>
      <c r="I1129" t="n">
        <v>0</v>
      </c>
      <c r="J1129" t="n">
        <v>0</v>
      </c>
      <c r="K1129" t="n">
        <v>0</v>
      </c>
      <c r="L1129" t="n">
        <v>0</v>
      </c>
      <c r="M1129" t="n">
        <v>0</v>
      </c>
      <c r="N1129" t="n">
        <v>0</v>
      </c>
      <c r="O1129" t="n">
        <v>0</v>
      </c>
      <c r="P1129" t="n">
        <v>0</v>
      </c>
      <c r="Q1129" t="n">
        <v>0</v>
      </c>
      <c r="R1129" s="2" t="inlineStr"/>
    </row>
    <row r="1130" ht="15" customHeight="1">
      <c r="A1130" t="inlineStr">
        <is>
          <t>A 3882-2020</t>
        </is>
      </c>
      <c r="B1130" s="1" t="n">
        <v>43854</v>
      </c>
      <c r="C1130" s="1" t="n">
        <v>45224</v>
      </c>
      <c r="D1130" t="inlineStr">
        <is>
          <t>STOCKHOLMS LÄN</t>
        </is>
      </c>
      <c r="E1130" t="inlineStr">
        <is>
          <t>NORRTÄLJE</t>
        </is>
      </c>
      <c r="G1130" t="n">
        <v>5.9</v>
      </c>
      <c r="H1130" t="n">
        <v>0</v>
      </c>
      <c r="I1130" t="n">
        <v>0</v>
      </c>
      <c r="J1130" t="n">
        <v>0</v>
      </c>
      <c r="K1130" t="n">
        <v>0</v>
      </c>
      <c r="L1130" t="n">
        <v>0</v>
      </c>
      <c r="M1130" t="n">
        <v>0</v>
      </c>
      <c r="N1130" t="n">
        <v>0</v>
      </c>
      <c r="O1130" t="n">
        <v>0</v>
      </c>
      <c r="P1130" t="n">
        <v>0</v>
      </c>
      <c r="Q1130" t="n">
        <v>0</v>
      </c>
      <c r="R1130" s="2" t="inlineStr"/>
    </row>
    <row r="1131" ht="15" customHeight="1">
      <c r="A1131" t="inlineStr">
        <is>
          <t>A 3952-2020</t>
        </is>
      </c>
      <c r="B1131" s="1" t="n">
        <v>43854</v>
      </c>
      <c r="C1131" s="1" t="n">
        <v>45224</v>
      </c>
      <c r="D1131" t="inlineStr">
        <is>
          <t>STOCKHOLMS LÄN</t>
        </is>
      </c>
      <c r="E1131" t="inlineStr">
        <is>
          <t>NYNÄSHAMN</t>
        </is>
      </c>
      <c r="F1131" t="inlineStr">
        <is>
          <t>Övriga statliga verk och myndigheter</t>
        </is>
      </c>
      <c r="G1131" t="n">
        <v>10.1</v>
      </c>
      <c r="H1131" t="n">
        <v>0</v>
      </c>
      <c r="I1131" t="n">
        <v>0</v>
      </c>
      <c r="J1131" t="n">
        <v>0</v>
      </c>
      <c r="K1131" t="n">
        <v>0</v>
      </c>
      <c r="L1131" t="n">
        <v>0</v>
      </c>
      <c r="M1131" t="n">
        <v>0</v>
      </c>
      <c r="N1131" t="n">
        <v>0</v>
      </c>
      <c r="O1131" t="n">
        <v>0</v>
      </c>
      <c r="P1131" t="n">
        <v>0</v>
      </c>
      <c r="Q1131" t="n">
        <v>0</v>
      </c>
      <c r="R1131" s="2" t="inlineStr"/>
    </row>
    <row r="1132" ht="15" customHeight="1">
      <c r="A1132" t="inlineStr">
        <is>
          <t>A 4094-2020</t>
        </is>
      </c>
      <c r="B1132" s="1" t="n">
        <v>43857</v>
      </c>
      <c r="C1132" s="1" t="n">
        <v>45224</v>
      </c>
      <c r="D1132" t="inlineStr">
        <is>
          <t>STOCKHOLMS LÄN</t>
        </is>
      </c>
      <c r="E1132" t="inlineStr">
        <is>
          <t>NORRTÄLJE</t>
        </is>
      </c>
      <c r="G1132" t="n">
        <v>2.5</v>
      </c>
      <c r="H1132" t="n">
        <v>0</v>
      </c>
      <c r="I1132" t="n">
        <v>0</v>
      </c>
      <c r="J1132" t="n">
        <v>0</v>
      </c>
      <c r="K1132" t="n">
        <v>0</v>
      </c>
      <c r="L1132" t="n">
        <v>0</v>
      </c>
      <c r="M1132" t="n">
        <v>0</v>
      </c>
      <c r="N1132" t="n">
        <v>0</v>
      </c>
      <c r="O1132" t="n">
        <v>0</v>
      </c>
      <c r="P1132" t="n">
        <v>0</v>
      </c>
      <c r="Q1132" t="n">
        <v>0</v>
      </c>
      <c r="R1132" s="2" t="inlineStr"/>
    </row>
    <row r="1133" ht="15" customHeight="1">
      <c r="A1133" t="inlineStr">
        <is>
          <t>A 4300-2020</t>
        </is>
      </c>
      <c r="B1133" s="1" t="n">
        <v>43857</v>
      </c>
      <c r="C1133" s="1" t="n">
        <v>45224</v>
      </c>
      <c r="D1133" t="inlineStr">
        <is>
          <t>STOCKHOLMS LÄN</t>
        </is>
      </c>
      <c r="E1133" t="inlineStr">
        <is>
          <t>HANINGE</t>
        </is>
      </c>
      <c r="G1133" t="n">
        <v>3</v>
      </c>
      <c r="H1133" t="n">
        <v>0</v>
      </c>
      <c r="I1133" t="n">
        <v>0</v>
      </c>
      <c r="J1133" t="n">
        <v>0</v>
      </c>
      <c r="K1133" t="n">
        <v>0</v>
      </c>
      <c r="L1133" t="n">
        <v>0</v>
      </c>
      <c r="M1133" t="n">
        <v>0</v>
      </c>
      <c r="N1133" t="n">
        <v>0</v>
      </c>
      <c r="O1133" t="n">
        <v>0</v>
      </c>
      <c r="P1133" t="n">
        <v>0</v>
      </c>
      <c r="Q1133" t="n">
        <v>0</v>
      </c>
      <c r="R1133" s="2" t="inlineStr"/>
    </row>
    <row r="1134" ht="15" customHeight="1">
      <c r="A1134" t="inlineStr">
        <is>
          <t>A 4353-2020</t>
        </is>
      </c>
      <c r="B1134" s="1" t="n">
        <v>43857</v>
      </c>
      <c r="C1134" s="1" t="n">
        <v>45224</v>
      </c>
      <c r="D1134" t="inlineStr">
        <is>
          <t>STOCKHOLMS LÄN</t>
        </is>
      </c>
      <c r="E1134" t="inlineStr">
        <is>
          <t>EKERÖ</t>
        </is>
      </c>
      <c r="G1134" t="n">
        <v>6.3</v>
      </c>
      <c r="H1134" t="n">
        <v>0</v>
      </c>
      <c r="I1134" t="n">
        <v>0</v>
      </c>
      <c r="J1134" t="n">
        <v>0</v>
      </c>
      <c r="K1134" t="n">
        <v>0</v>
      </c>
      <c r="L1134" t="n">
        <v>0</v>
      </c>
      <c r="M1134" t="n">
        <v>0</v>
      </c>
      <c r="N1134" t="n">
        <v>0</v>
      </c>
      <c r="O1134" t="n">
        <v>0</v>
      </c>
      <c r="P1134" t="n">
        <v>0</v>
      </c>
      <c r="Q1134" t="n">
        <v>0</v>
      </c>
      <c r="R1134" s="2" t="inlineStr"/>
    </row>
    <row r="1135" ht="15" customHeight="1">
      <c r="A1135" t="inlineStr">
        <is>
          <t>A 4115-2020</t>
        </is>
      </c>
      <c r="B1135" s="1" t="n">
        <v>43857</v>
      </c>
      <c r="C1135" s="1" t="n">
        <v>45224</v>
      </c>
      <c r="D1135" t="inlineStr">
        <is>
          <t>STOCKHOLMS LÄN</t>
        </is>
      </c>
      <c r="E1135" t="inlineStr">
        <is>
          <t>VALLENTUNA</t>
        </is>
      </c>
      <c r="G1135" t="n">
        <v>1.1</v>
      </c>
      <c r="H1135" t="n">
        <v>0</v>
      </c>
      <c r="I1135" t="n">
        <v>0</v>
      </c>
      <c r="J1135" t="n">
        <v>0</v>
      </c>
      <c r="K1135" t="n">
        <v>0</v>
      </c>
      <c r="L1135" t="n">
        <v>0</v>
      </c>
      <c r="M1135" t="n">
        <v>0</v>
      </c>
      <c r="N1135" t="n">
        <v>0</v>
      </c>
      <c r="O1135" t="n">
        <v>0</v>
      </c>
      <c r="P1135" t="n">
        <v>0</v>
      </c>
      <c r="Q1135" t="n">
        <v>0</v>
      </c>
      <c r="R1135" s="2" t="inlineStr"/>
    </row>
    <row r="1136" ht="15" customHeight="1">
      <c r="A1136" t="inlineStr">
        <is>
          <t>A 4431-2020</t>
        </is>
      </c>
      <c r="B1136" s="1" t="n">
        <v>43858</v>
      </c>
      <c r="C1136" s="1" t="n">
        <v>45224</v>
      </c>
      <c r="D1136" t="inlineStr">
        <is>
          <t>STOCKHOLMS LÄN</t>
        </is>
      </c>
      <c r="E1136" t="inlineStr">
        <is>
          <t>HANINGE</t>
        </is>
      </c>
      <c r="G1136" t="n">
        <v>2.2</v>
      </c>
      <c r="H1136" t="n">
        <v>0</v>
      </c>
      <c r="I1136" t="n">
        <v>0</v>
      </c>
      <c r="J1136" t="n">
        <v>0</v>
      </c>
      <c r="K1136" t="n">
        <v>0</v>
      </c>
      <c r="L1136" t="n">
        <v>0</v>
      </c>
      <c r="M1136" t="n">
        <v>0</v>
      </c>
      <c r="N1136" t="n">
        <v>0</v>
      </c>
      <c r="O1136" t="n">
        <v>0</v>
      </c>
      <c r="P1136" t="n">
        <v>0</v>
      </c>
      <c r="Q1136" t="n">
        <v>0</v>
      </c>
      <c r="R1136" s="2" t="inlineStr"/>
    </row>
    <row r="1137" ht="15" customHeight="1">
      <c r="A1137" t="inlineStr">
        <is>
          <t>A 4444-2020</t>
        </is>
      </c>
      <c r="B1137" s="1" t="n">
        <v>43858</v>
      </c>
      <c r="C1137" s="1" t="n">
        <v>45224</v>
      </c>
      <c r="D1137" t="inlineStr">
        <is>
          <t>STOCKHOLMS LÄN</t>
        </is>
      </c>
      <c r="E1137" t="inlineStr">
        <is>
          <t>HANINGE</t>
        </is>
      </c>
      <c r="G1137" t="n">
        <v>2</v>
      </c>
      <c r="H1137" t="n">
        <v>0</v>
      </c>
      <c r="I1137" t="n">
        <v>0</v>
      </c>
      <c r="J1137" t="n">
        <v>0</v>
      </c>
      <c r="K1137" t="n">
        <v>0</v>
      </c>
      <c r="L1137" t="n">
        <v>0</v>
      </c>
      <c r="M1137" t="n">
        <v>0</v>
      </c>
      <c r="N1137" t="n">
        <v>0</v>
      </c>
      <c r="O1137" t="n">
        <v>0</v>
      </c>
      <c r="P1137" t="n">
        <v>0</v>
      </c>
      <c r="Q1137" t="n">
        <v>0</v>
      </c>
      <c r="R1137" s="2" t="inlineStr"/>
    </row>
    <row r="1138" ht="15" customHeight="1">
      <c r="A1138" t="inlineStr">
        <is>
          <t>A 4950-2020</t>
        </is>
      </c>
      <c r="B1138" s="1" t="n">
        <v>43859</v>
      </c>
      <c r="C1138" s="1" t="n">
        <v>45224</v>
      </c>
      <c r="D1138" t="inlineStr">
        <is>
          <t>STOCKHOLMS LÄN</t>
        </is>
      </c>
      <c r="E1138" t="inlineStr">
        <is>
          <t>NORRTÄLJE</t>
        </is>
      </c>
      <c r="G1138" t="n">
        <v>0.4</v>
      </c>
      <c r="H1138" t="n">
        <v>0</v>
      </c>
      <c r="I1138" t="n">
        <v>0</v>
      </c>
      <c r="J1138" t="n">
        <v>0</v>
      </c>
      <c r="K1138" t="n">
        <v>0</v>
      </c>
      <c r="L1138" t="n">
        <v>0</v>
      </c>
      <c r="M1138" t="n">
        <v>0</v>
      </c>
      <c r="N1138" t="n">
        <v>0</v>
      </c>
      <c r="O1138" t="n">
        <v>0</v>
      </c>
      <c r="P1138" t="n">
        <v>0</v>
      </c>
      <c r="Q1138" t="n">
        <v>0</v>
      </c>
      <c r="R1138" s="2" t="inlineStr"/>
    </row>
    <row r="1139" ht="15" customHeight="1">
      <c r="A1139" t="inlineStr">
        <is>
          <t>A 4952-2020</t>
        </is>
      </c>
      <c r="B1139" s="1" t="n">
        <v>43859</v>
      </c>
      <c r="C1139" s="1" t="n">
        <v>45224</v>
      </c>
      <c r="D1139" t="inlineStr">
        <is>
          <t>STOCKHOLMS LÄN</t>
        </is>
      </c>
      <c r="E1139" t="inlineStr">
        <is>
          <t>NORRTÄLJE</t>
        </is>
      </c>
      <c r="G1139" t="n">
        <v>0.3</v>
      </c>
      <c r="H1139" t="n">
        <v>0</v>
      </c>
      <c r="I1139" t="n">
        <v>0</v>
      </c>
      <c r="J1139" t="n">
        <v>0</v>
      </c>
      <c r="K1139" t="n">
        <v>0</v>
      </c>
      <c r="L1139" t="n">
        <v>0</v>
      </c>
      <c r="M1139" t="n">
        <v>0</v>
      </c>
      <c r="N1139" t="n">
        <v>0</v>
      </c>
      <c r="O1139" t="n">
        <v>0</v>
      </c>
      <c r="P1139" t="n">
        <v>0</v>
      </c>
      <c r="Q1139" t="n">
        <v>0</v>
      </c>
      <c r="R1139" s="2" t="inlineStr"/>
    </row>
    <row r="1140" ht="15" customHeight="1">
      <c r="A1140" t="inlineStr">
        <is>
          <t>A 5084-2020</t>
        </is>
      </c>
      <c r="B1140" s="1" t="n">
        <v>43859</v>
      </c>
      <c r="C1140" s="1" t="n">
        <v>45224</v>
      </c>
      <c r="D1140" t="inlineStr">
        <is>
          <t>STOCKHOLMS LÄN</t>
        </is>
      </c>
      <c r="E1140" t="inlineStr">
        <is>
          <t>NORRTÄLJE</t>
        </is>
      </c>
      <c r="G1140" t="n">
        <v>8.199999999999999</v>
      </c>
      <c r="H1140" t="n">
        <v>0</v>
      </c>
      <c r="I1140" t="n">
        <v>0</v>
      </c>
      <c r="J1140" t="n">
        <v>0</v>
      </c>
      <c r="K1140" t="n">
        <v>0</v>
      </c>
      <c r="L1140" t="n">
        <v>0</v>
      </c>
      <c r="M1140" t="n">
        <v>0</v>
      </c>
      <c r="N1140" t="n">
        <v>0</v>
      </c>
      <c r="O1140" t="n">
        <v>0</v>
      </c>
      <c r="P1140" t="n">
        <v>0</v>
      </c>
      <c r="Q1140" t="n">
        <v>0</v>
      </c>
      <c r="R1140" s="2" t="inlineStr"/>
    </row>
    <row r="1141" ht="15" customHeight="1">
      <c r="A1141" t="inlineStr">
        <is>
          <t>A 5406-2020</t>
        </is>
      </c>
      <c r="B1141" s="1" t="n">
        <v>43860</v>
      </c>
      <c r="C1141" s="1" t="n">
        <v>45224</v>
      </c>
      <c r="D1141" t="inlineStr">
        <is>
          <t>STOCKHOLMS LÄN</t>
        </is>
      </c>
      <c r="E1141" t="inlineStr">
        <is>
          <t>NYNÄSHAMN</t>
        </is>
      </c>
      <c r="F1141" t="inlineStr">
        <is>
          <t>Kommuner</t>
        </is>
      </c>
      <c r="G1141" t="n">
        <v>0.6</v>
      </c>
      <c r="H1141" t="n">
        <v>0</v>
      </c>
      <c r="I1141" t="n">
        <v>0</v>
      </c>
      <c r="J1141" t="n">
        <v>0</v>
      </c>
      <c r="K1141" t="n">
        <v>0</v>
      </c>
      <c r="L1141" t="n">
        <v>0</v>
      </c>
      <c r="M1141" t="n">
        <v>0</v>
      </c>
      <c r="N1141" t="n">
        <v>0</v>
      </c>
      <c r="O1141" t="n">
        <v>0</v>
      </c>
      <c r="P1141" t="n">
        <v>0</v>
      </c>
      <c r="Q1141" t="n">
        <v>0</v>
      </c>
      <c r="R1141" s="2" t="inlineStr"/>
    </row>
    <row r="1142" ht="15" customHeight="1">
      <c r="A1142" t="inlineStr">
        <is>
          <t>A 5735-2020</t>
        </is>
      </c>
      <c r="B1142" s="1" t="n">
        <v>43863</v>
      </c>
      <c r="C1142" s="1" t="n">
        <v>45224</v>
      </c>
      <c r="D1142" t="inlineStr">
        <is>
          <t>STOCKHOLMS LÄN</t>
        </is>
      </c>
      <c r="E1142" t="inlineStr">
        <is>
          <t>NORRTÄLJE</t>
        </is>
      </c>
      <c r="G1142" t="n">
        <v>0.5</v>
      </c>
      <c r="H1142" t="n">
        <v>0</v>
      </c>
      <c r="I1142" t="n">
        <v>0</v>
      </c>
      <c r="J1142" t="n">
        <v>0</v>
      </c>
      <c r="K1142" t="n">
        <v>0</v>
      </c>
      <c r="L1142" t="n">
        <v>0</v>
      </c>
      <c r="M1142" t="n">
        <v>0</v>
      </c>
      <c r="N1142" t="n">
        <v>0</v>
      </c>
      <c r="O1142" t="n">
        <v>0</v>
      </c>
      <c r="P1142" t="n">
        <v>0</v>
      </c>
      <c r="Q1142" t="n">
        <v>0</v>
      </c>
      <c r="R1142" s="2" t="inlineStr"/>
    </row>
    <row r="1143" ht="15" customHeight="1">
      <c r="A1143" t="inlineStr">
        <is>
          <t>A 5733-2020</t>
        </is>
      </c>
      <c r="B1143" s="1" t="n">
        <v>43863</v>
      </c>
      <c r="C1143" s="1" t="n">
        <v>45224</v>
      </c>
      <c r="D1143" t="inlineStr">
        <is>
          <t>STOCKHOLMS LÄN</t>
        </is>
      </c>
      <c r="E1143" t="inlineStr">
        <is>
          <t>NORRTÄLJE</t>
        </is>
      </c>
      <c r="G1143" t="n">
        <v>1.5</v>
      </c>
      <c r="H1143" t="n">
        <v>0</v>
      </c>
      <c r="I1143" t="n">
        <v>0</v>
      </c>
      <c r="J1143" t="n">
        <v>0</v>
      </c>
      <c r="K1143" t="n">
        <v>0</v>
      </c>
      <c r="L1143" t="n">
        <v>0</v>
      </c>
      <c r="M1143" t="n">
        <v>0</v>
      </c>
      <c r="N1143" t="n">
        <v>0</v>
      </c>
      <c r="O1143" t="n">
        <v>0</v>
      </c>
      <c r="P1143" t="n">
        <v>0</v>
      </c>
      <c r="Q1143" t="n">
        <v>0</v>
      </c>
      <c r="R1143" s="2" t="inlineStr"/>
    </row>
    <row r="1144" ht="15" customHeight="1">
      <c r="A1144" t="inlineStr">
        <is>
          <t>A 5739-2020</t>
        </is>
      </c>
      <c r="B1144" s="1" t="n">
        <v>43863</v>
      </c>
      <c r="C1144" s="1" t="n">
        <v>45224</v>
      </c>
      <c r="D1144" t="inlineStr">
        <is>
          <t>STOCKHOLMS LÄN</t>
        </is>
      </c>
      <c r="E1144" t="inlineStr">
        <is>
          <t>NORRTÄLJE</t>
        </is>
      </c>
      <c r="G1144" t="n">
        <v>1.2</v>
      </c>
      <c r="H1144" t="n">
        <v>0</v>
      </c>
      <c r="I1144" t="n">
        <v>0</v>
      </c>
      <c r="J1144" t="n">
        <v>0</v>
      </c>
      <c r="K1144" t="n">
        <v>0</v>
      </c>
      <c r="L1144" t="n">
        <v>0</v>
      </c>
      <c r="M1144" t="n">
        <v>0</v>
      </c>
      <c r="N1144" t="n">
        <v>0</v>
      </c>
      <c r="O1144" t="n">
        <v>0</v>
      </c>
      <c r="P1144" t="n">
        <v>0</v>
      </c>
      <c r="Q1144" t="n">
        <v>0</v>
      </c>
      <c r="R1144" s="2" t="inlineStr"/>
    </row>
    <row r="1145" ht="15" customHeight="1">
      <c r="A1145" t="inlineStr">
        <is>
          <t>A 5953-2020</t>
        </is>
      </c>
      <c r="B1145" s="1" t="n">
        <v>43864</v>
      </c>
      <c r="C1145" s="1" t="n">
        <v>45224</v>
      </c>
      <c r="D1145" t="inlineStr">
        <is>
          <t>STOCKHOLMS LÄN</t>
        </is>
      </c>
      <c r="E1145" t="inlineStr">
        <is>
          <t>BOTKYRKA</t>
        </is>
      </c>
      <c r="G1145" t="n">
        <v>3.3</v>
      </c>
      <c r="H1145" t="n">
        <v>0</v>
      </c>
      <c r="I1145" t="n">
        <v>0</v>
      </c>
      <c r="J1145" t="n">
        <v>0</v>
      </c>
      <c r="K1145" t="n">
        <v>0</v>
      </c>
      <c r="L1145" t="n">
        <v>0</v>
      </c>
      <c r="M1145" t="n">
        <v>0</v>
      </c>
      <c r="N1145" t="n">
        <v>0</v>
      </c>
      <c r="O1145" t="n">
        <v>0</v>
      </c>
      <c r="P1145" t="n">
        <v>0</v>
      </c>
      <c r="Q1145" t="n">
        <v>0</v>
      </c>
      <c r="R1145" s="2" t="inlineStr"/>
    </row>
    <row r="1146" ht="15" customHeight="1">
      <c r="A1146" t="inlineStr">
        <is>
          <t>A 5929-2020</t>
        </is>
      </c>
      <c r="B1146" s="1" t="n">
        <v>43864</v>
      </c>
      <c r="C1146" s="1" t="n">
        <v>45224</v>
      </c>
      <c r="D1146" t="inlineStr">
        <is>
          <t>STOCKHOLMS LÄN</t>
        </is>
      </c>
      <c r="E1146" t="inlineStr">
        <is>
          <t>ÖSTERÅKER</t>
        </is>
      </c>
      <c r="G1146" t="n">
        <v>2.3</v>
      </c>
      <c r="H1146" t="n">
        <v>0</v>
      </c>
      <c r="I1146" t="n">
        <v>0</v>
      </c>
      <c r="J1146" t="n">
        <v>0</v>
      </c>
      <c r="K1146" t="n">
        <v>0</v>
      </c>
      <c r="L1146" t="n">
        <v>0</v>
      </c>
      <c r="M1146" t="n">
        <v>0</v>
      </c>
      <c r="N1146" t="n">
        <v>0</v>
      </c>
      <c r="O1146" t="n">
        <v>0</v>
      </c>
      <c r="P1146" t="n">
        <v>0</v>
      </c>
      <c r="Q1146" t="n">
        <v>0</v>
      </c>
      <c r="R1146" s="2" t="inlineStr"/>
    </row>
    <row r="1147" ht="15" customHeight="1">
      <c r="A1147" t="inlineStr">
        <is>
          <t>A 6219-2020</t>
        </is>
      </c>
      <c r="B1147" s="1" t="n">
        <v>43865</v>
      </c>
      <c r="C1147" s="1" t="n">
        <v>45224</v>
      </c>
      <c r="D1147" t="inlineStr">
        <is>
          <t>STOCKHOLMS LÄN</t>
        </is>
      </c>
      <c r="E1147" t="inlineStr">
        <is>
          <t>NYNÄSHAMN</t>
        </is>
      </c>
      <c r="G1147" t="n">
        <v>0.5</v>
      </c>
      <c r="H1147" t="n">
        <v>0</v>
      </c>
      <c r="I1147" t="n">
        <v>0</v>
      </c>
      <c r="J1147" t="n">
        <v>0</v>
      </c>
      <c r="K1147" t="n">
        <v>0</v>
      </c>
      <c r="L1147" t="n">
        <v>0</v>
      </c>
      <c r="M1147" t="n">
        <v>0</v>
      </c>
      <c r="N1147" t="n">
        <v>0</v>
      </c>
      <c r="O1147" t="n">
        <v>0</v>
      </c>
      <c r="P1147" t="n">
        <v>0</v>
      </c>
      <c r="Q1147" t="n">
        <v>0</v>
      </c>
      <c r="R1147" s="2" t="inlineStr"/>
    </row>
    <row r="1148" ht="15" customHeight="1">
      <c r="A1148" t="inlineStr">
        <is>
          <t>A 6357-2020</t>
        </is>
      </c>
      <c r="B1148" s="1" t="n">
        <v>43866</v>
      </c>
      <c r="C1148" s="1" t="n">
        <v>45224</v>
      </c>
      <c r="D1148" t="inlineStr">
        <is>
          <t>STOCKHOLMS LÄN</t>
        </is>
      </c>
      <c r="E1148" t="inlineStr">
        <is>
          <t>UPPLANDS-BRO</t>
        </is>
      </c>
      <c r="G1148" t="n">
        <v>2.2</v>
      </c>
      <c r="H1148" t="n">
        <v>0</v>
      </c>
      <c r="I1148" t="n">
        <v>0</v>
      </c>
      <c r="J1148" t="n">
        <v>0</v>
      </c>
      <c r="K1148" t="n">
        <v>0</v>
      </c>
      <c r="L1148" t="n">
        <v>0</v>
      </c>
      <c r="M1148" t="n">
        <v>0</v>
      </c>
      <c r="N1148" t="n">
        <v>0</v>
      </c>
      <c r="O1148" t="n">
        <v>0</v>
      </c>
      <c r="P1148" t="n">
        <v>0</v>
      </c>
      <c r="Q1148" t="n">
        <v>0</v>
      </c>
      <c r="R1148" s="2" t="inlineStr"/>
    </row>
    <row r="1149" ht="15" customHeight="1">
      <c r="A1149" t="inlineStr">
        <is>
          <t>A 6370-2020</t>
        </is>
      </c>
      <c r="B1149" s="1" t="n">
        <v>43866</v>
      </c>
      <c r="C1149" s="1" t="n">
        <v>45224</v>
      </c>
      <c r="D1149" t="inlineStr">
        <is>
          <t>STOCKHOLMS LÄN</t>
        </is>
      </c>
      <c r="E1149" t="inlineStr">
        <is>
          <t>UPPLANDS-BRO</t>
        </is>
      </c>
      <c r="G1149" t="n">
        <v>1</v>
      </c>
      <c r="H1149" t="n">
        <v>0</v>
      </c>
      <c r="I1149" t="n">
        <v>0</v>
      </c>
      <c r="J1149" t="n">
        <v>0</v>
      </c>
      <c r="K1149" t="n">
        <v>0</v>
      </c>
      <c r="L1149" t="n">
        <v>0</v>
      </c>
      <c r="M1149" t="n">
        <v>0</v>
      </c>
      <c r="N1149" t="n">
        <v>0</v>
      </c>
      <c r="O1149" t="n">
        <v>0</v>
      </c>
      <c r="P1149" t="n">
        <v>0</v>
      </c>
      <c r="Q1149" t="n">
        <v>0</v>
      </c>
      <c r="R1149" s="2" t="inlineStr"/>
    </row>
    <row r="1150" ht="15" customHeight="1">
      <c r="A1150" t="inlineStr">
        <is>
          <t>A 6707-2020</t>
        </is>
      </c>
      <c r="B1150" s="1" t="n">
        <v>43867</v>
      </c>
      <c r="C1150" s="1" t="n">
        <v>45224</v>
      </c>
      <c r="D1150" t="inlineStr">
        <is>
          <t>STOCKHOLMS LÄN</t>
        </is>
      </c>
      <c r="E1150" t="inlineStr">
        <is>
          <t>SÖDERTÄLJE</t>
        </is>
      </c>
      <c r="G1150" t="n">
        <v>1.8</v>
      </c>
      <c r="H1150" t="n">
        <v>0</v>
      </c>
      <c r="I1150" t="n">
        <v>0</v>
      </c>
      <c r="J1150" t="n">
        <v>0</v>
      </c>
      <c r="K1150" t="n">
        <v>0</v>
      </c>
      <c r="L1150" t="n">
        <v>0</v>
      </c>
      <c r="M1150" t="n">
        <v>0</v>
      </c>
      <c r="N1150" t="n">
        <v>0</v>
      </c>
      <c r="O1150" t="n">
        <v>0</v>
      </c>
      <c r="P1150" t="n">
        <v>0</v>
      </c>
      <c r="Q1150" t="n">
        <v>0</v>
      </c>
      <c r="R1150" s="2" t="inlineStr"/>
    </row>
    <row r="1151" ht="15" customHeight="1">
      <c r="A1151" t="inlineStr">
        <is>
          <t>A 7151-2020</t>
        </is>
      </c>
      <c r="B1151" s="1" t="n">
        <v>43869</v>
      </c>
      <c r="C1151" s="1" t="n">
        <v>45224</v>
      </c>
      <c r="D1151" t="inlineStr">
        <is>
          <t>STOCKHOLMS LÄN</t>
        </is>
      </c>
      <c r="E1151" t="inlineStr">
        <is>
          <t>NYNÄSHAMN</t>
        </is>
      </c>
      <c r="F1151" t="inlineStr">
        <is>
          <t>Kommuner</t>
        </is>
      </c>
      <c r="G1151" t="n">
        <v>3.6</v>
      </c>
      <c r="H1151" t="n">
        <v>0</v>
      </c>
      <c r="I1151" t="n">
        <v>0</v>
      </c>
      <c r="J1151" t="n">
        <v>0</v>
      </c>
      <c r="K1151" t="n">
        <v>0</v>
      </c>
      <c r="L1151" t="n">
        <v>0</v>
      </c>
      <c r="M1151" t="n">
        <v>0</v>
      </c>
      <c r="N1151" t="n">
        <v>0</v>
      </c>
      <c r="O1151" t="n">
        <v>0</v>
      </c>
      <c r="P1151" t="n">
        <v>0</v>
      </c>
      <c r="Q1151" t="n">
        <v>0</v>
      </c>
      <c r="R1151" s="2" t="inlineStr"/>
    </row>
    <row r="1152" ht="15" customHeight="1">
      <c r="A1152" t="inlineStr">
        <is>
          <t>A 7150-2020</t>
        </is>
      </c>
      <c r="B1152" s="1" t="n">
        <v>43869</v>
      </c>
      <c r="C1152" s="1" t="n">
        <v>45224</v>
      </c>
      <c r="D1152" t="inlineStr">
        <is>
          <t>STOCKHOLMS LÄN</t>
        </is>
      </c>
      <c r="E1152" t="inlineStr">
        <is>
          <t>NYNÄSHAMN</t>
        </is>
      </c>
      <c r="F1152" t="inlineStr">
        <is>
          <t>Kommuner</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7484-2020</t>
        </is>
      </c>
      <c r="B1153" s="1" t="n">
        <v>43871</v>
      </c>
      <c r="C1153" s="1" t="n">
        <v>45224</v>
      </c>
      <c r="D1153" t="inlineStr">
        <is>
          <t>STOCKHOLMS LÄN</t>
        </is>
      </c>
      <c r="E1153" t="inlineStr">
        <is>
          <t>VALLENTUNA</t>
        </is>
      </c>
      <c r="G1153" t="n">
        <v>2.7</v>
      </c>
      <c r="H1153" t="n">
        <v>0</v>
      </c>
      <c r="I1153" t="n">
        <v>0</v>
      </c>
      <c r="J1153" t="n">
        <v>0</v>
      </c>
      <c r="K1153" t="n">
        <v>0</v>
      </c>
      <c r="L1153" t="n">
        <v>0</v>
      </c>
      <c r="M1153" t="n">
        <v>0</v>
      </c>
      <c r="N1153" t="n">
        <v>0</v>
      </c>
      <c r="O1153" t="n">
        <v>0</v>
      </c>
      <c r="P1153" t="n">
        <v>0</v>
      </c>
      <c r="Q1153" t="n">
        <v>0</v>
      </c>
      <c r="R1153" s="2" t="inlineStr"/>
    </row>
    <row r="1154" ht="15" customHeight="1">
      <c r="A1154" t="inlineStr">
        <is>
          <t>A 7471-2020</t>
        </is>
      </c>
      <c r="B1154" s="1" t="n">
        <v>43871</v>
      </c>
      <c r="C1154" s="1" t="n">
        <v>45224</v>
      </c>
      <c r="D1154" t="inlineStr">
        <is>
          <t>STOCKHOLMS LÄN</t>
        </is>
      </c>
      <c r="E1154" t="inlineStr">
        <is>
          <t>NORRTÄLJE</t>
        </is>
      </c>
      <c r="G1154" t="n">
        <v>7.8</v>
      </c>
      <c r="H1154" t="n">
        <v>0</v>
      </c>
      <c r="I1154" t="n">
        <v>0</v>
      </c>
      <c r="J1154" t="n">
        <v>0</v>
      </c>
      <c r="K1154" t="n">
        <v>0</v>
      </c>
      <c r="L1154" t="n">
        <v>0</v>
      </c>
      <c r="M1154" t="n">
        <v>0</v>
      </c>
      <c r="N1154" t="n">
        <v>0</v>
      </c>
      <c r="O1154" t="n">
        <v>0</v>
      </c>
      <c r="P1154" t="n">
        <v>0</v>
      </c>
      <c r="Q1154" t="n">
        <v>0</v>
      </c>
      <c r="R1154" s="2" t="inlineStr"/>
    </row>
    <row r="1155" ht="15" customHeight="1">
      <c r="A1155" t="inlineStr">
        <is>
          <t>A 7354-2020</t>
        </is>
      </c>
      <c r="B1155" s="1" t="n">
        <v>43871</v>
      </c>
      <c r="C1155" s="1" t="n">
        <v>45224</v>
      </c>
      <c r="D1155" t="inlineStr">
        <is>
          <t>STOCKHOLMS LÄN</t>
        </is>
      </c>
      <c r="E1155" t="inlineStr">
        <is>
          <t>VALLENTUNA</t>
        </is>
      </c>
      <c r="G1155" t="n">
        <v>1.5</v>
      </c>
      <c r="H1155" t="n">
        <v>0</v>
      </c>
      <c r="I1155" t="n">
        <v>0</v>
      </c>
      <c r="J1155" t="n">
        <v>0</v>
      </c>
      <c r="K1155" t="n">
        <v>0</v>
      </c>
      <c r="L1155" t="n">
        <v>0</v>
      </c>
      <c r="M1155" t="n">
        <v>0</v>
      </c>
      <c r="N1155" t="n">
        <v>0</v>
      </c>
      <c r="O1155" t="n">
        <v>0</v>
      </c>
      <c r="P1155" t="n">
        <v>0</v>
      </c>
      <c r="Q1155" t="n">
        <v>0</v>
      </c>
      <c r="R1155" s="2" t="inlineStr"/>
    </row>
    <row r="1156" ht="15" customHeight="1">
      <c r="A1156" t="inlineStr">
        <is>
          <t>A 7479-2020</t>
        </is>
      </c>
      <c r="B1156" s="1" t="n">
        <v>43871</v>
      </c>
      <c r="C1156" s="1" t="n">
        <v>45224</v>
      </c>
      <c r="D1156" t="inlineStr">
        <is>
          <t>STOCKHOLMS LÄN</t>
        </is>
      </c>
      <c r="E1156" t="inlineStr">
        <is>
          <t>VALLENTUNA</t>
        </is>
      </c>
      <c r="G1156" t="n">
        <v>7.4</v>
      </c>
      <c r="H1156" t="n">
        <v>0</v>
      </c>
      <c r="I1156" t="n">
        <v>0</v>
      </c>
      <c r="J1156" t="n">
        <v>0</v>
      </c>
      <c r="K1156" t="n">
        <v>0</v>
      </c>
      <c r="L1156" t="n">
        <v>0</v>
      </c>
      <c r="M1156" t="n">
        <v>0</v>
      </c>
      <c r="N1156" t="n">
        <v>0</v>
      </c>
      <c r="O1156" t="n">
        <v>0</v>
      </c>
      <c r="P1156" t="n">
        <v>0</v>
      </c>
      <c r="Q1156" t="n">
        <v>0</v>
      </c>
      <c r="R1156" s="2" t="inlineStr"/>
    </row>
    <row r="1157" ht="15" customHeight="1">
      <c r="A1157" t="inlineStr">
        <is>
          <t>A 7486-2020</t>
        </is>
      </c>
      <c r="B1157" s="1" t="n">
        <v>43871</v>
      </c>
      <c r="C1157" s="1" t="n">
        <v>45224</v>
      </c>
      <c r="D1157" t="inlineStr">
        <is>
          <t>STOCKHOLMS LÄN</t>
        </is>
      </c>
      <c r="E1157" t="inlineStr">
        <is>
          <t>VALLENTUNA</t>
        </is>
      </c>
      <c r="G1157" t="n">
        <v>0.9</v>
      </c>
      <c r="H1157" t="n">
        <v>0</v>
      </c>
      <c r="I1157" t="n">
        <v>0</v>
      </c>
      <c r="J1157" t="n">
        <v>0</v>
      </c>
      <c r="K1157" t="n">
        <v>0</v>
      </c>
      <c r="L1157" t="n">
        <v>0</v>
      </c>
      <c r="M1157" t="n">
        <v>0</v>
      </c>
      <c r="N1157" t="n">
        <v>0</v>
      </c>
      <c r="O1157" t="n">
        <v>0</v>
      </c>
      <c r="P1157" t="n">
        <v>0</v>
      </c>
      <c r="Q1157" t="n">
        <v>0</v>
      </c>
      <c r="R1157" s="2" t="inlineStr"/>
    </row>
    <row r="1158" ht="15" customHeight="1">
      <c r="A1158" t="inlineStr">
        <is>
          <t>A 7820-2020</t>
        </is>
      </c>
      <c r="B1158" s="1" t="n">
        <v>43873</v>
      </c>
      <c r="C1158" s="1" t="n">
        <v>45224</v>
      </c>
      <c r="D1158" t="inlineStr">
        <is>
          <t>STOCKHOLMS LÄN</t>
        </is>
      </c>
      <c r="E1158" t="inlineStr">
        <is>
          <t>SALEM</t>
        </is>
      </c>
      <c r="G1158" t="n">
        <v>2.8</v>
      </c>
      <c r="H1158" t="n">
        <v>0</v>
      </c>
      <c r="I1158" t="n">
        <v>0</v>
      </c>
      <c r="J1158" t="n">
        <v>0</v>
      </c>
      <c r="K1158" t="n">
        <v>0</v>
      </c>
      <c r="L1158" t="n">
        <v>0</v>
      </c>
      <c r="M1158" t="n">
        <v>0</v>
      </c>
      <c r="N1158" t="n">
        <v>0</v>
      </c>
      <c r="O1158" t="n">
        <v>0</v>
      </c>
      <c r="P1158" t="n">
        <v>0</v>
      </c>
      <c r="Q1158" t="n">
        <v>0</v>
      </c>
      <c r="R1158" s="2" t="inlineStr"/>
    </row>
    <row r="1159" ht="15" customHeight="1">
      <c r="A1159" t="inlineStr">
        <is>
          <t>A 7812-2020</t>
        </is>
      </c>
      <c r="B1159" s="1" t="n">
        <v>43873</v>
      </c>
      <c r="C1159" s="1" t="n">
        <v>45224</v>
      </c>
      <c r="D1159" t="inlineStr">
        <is>
          <t>STOCKHOLMS LÄN</t>
        </is>
      </c>
      <c r="E1159" t="inlineStr">
        <is>
          <t>SALEM</t>
        </is>
      </c>
      <c r="G1159" t="n">
        <v>3.9</v>
      </c>
      <c r="H1159" t="n">
        <v>0</v>
      </c>
      <c r="I1159" t="n">
        <v>0</v>
      </c>
      <c r="J1159" t="n">
        <v>0</v>
      </c>
      <c r="K1159" t="n">
        <v>0</v>
      </c>
      <c r="L1159" t="n">
        <v>0</v>
      </c>
      <c r="M1159" t="n">
        <v>0</v>
      </c>
      <c r="N1159" t="n">
        <v>0</v>
      </c>
      <c r="O1159" t="n">
        <v>0</v>
      </c>
      <c r="P1159" t="n">
        <v>0</v>
      </c>
      <c r="Q1159" t="n">
        <v>0</v>
      </c>
      <c r="R1159" s="2" t="inlineStr"/>
    </row>
    <row r="1160" ht="15" customHeight="1">
      <c r="A1160" t="inlineStr">
        <is>
          <t>A 7923-2020</t>
        </is>
      </c>
      <c r="B1160" s="1" t="n">
        <v>43873</v>
      </c>
      <c r="C1160" s="1" t="n">
        <v>45224</v>
      </c>
      <c r="D1160" t="inlineStr">
        <is>
          <t>STOCKHOLMS LÄN</t>
        </is>
      </c>
      <c r="E1160" t="inlineStr">
        <is>
          <t>NYNÄSHAMN</t>
        </is>
      </c>
      <c r="G1160" t="n">
        <v>2</v>
      </c>
      <c r="H1160" t="n">
        <v>0</v>
      </c>
      <c r="I1160" t="n">
        <v>0</v>
      </c>
      <c r="J1160" t="n">
        <v>0</v>
      </c>
      <c r="K1160" t="n">
        <v>0</v>
      </c>
      <c r="L1160" t="n">
        <v>0</v>
      </c>
      <c r="M1160" t="n">
        <v>0</v>
      </c>
      <c r="N1160" t="n">
        <v>0</v>
      </c>
      <c r="O1160" t="n">
        <v>0</v>
      </c>
      <c r="P1160" t="n">
        <v>0</v>
      </c>
      <c r="Q1160" t="n">
        <v>0</v>
      </c>
      <c r="R1160" s="2" t="inlineStr"/>
    </row>
    <row r="1161" ht="15" customHeight="1">
      <c r="A1161" t="inlineStr">
        <is>
          <t>A 8366-2020</t>
        </is>
      </c>
      <c r="B1161" s="1" t="n">
        <v>43875</v>
      </c>
      <c r="C1161" s="1" t="n">
        <v>45224</v>
      </c>
      <c r="D1161" t="inlineStr">
        <is>
          <t>STOCKHOLMS LÄN</t>
        </is>
      </c>
      <c r="E1161" t="inlineStr">
        <is>
          <t>SÖDERTÄLJE</t>
        </is>
      </c>
      <c r="G1161" t="n">
        <v>1.6</v>
      </c>
      <c r="H1161" t="n">
        <v>0</v>
      </c>
      <c r="I1161" t="n">
        <v>0</v>
      </c>
      <c r="J1161" t="n">
        <v>0</v>
      </c>
      <c r="K1161" t="n">
        <v>0</v>
      </c>
      <c r="L1161" t="n">
        <v>0</v>
      </c>
      <c r="M1161" t="n">
        <v>0</v>
      </c>
      <c r="N1161" t="n">
        <v>0</v>
      </c>
      <c r="O1161" t="n">
        <v>0</v>
      </c>
      <c r="P1161" t="n">
        <v>0</v>
      </c>
      <c r="Q1161" t="n">
        <v>0</v>
      </c>
      <c r="R1161" s="2" t="inlineStr"/>
    </row>
    <row r="1162" ht="15" customHeight="1">
      <c r="A1162" t="inlineStr">
        <is>
          <t>A 9109-2020</t>
        </is>
      </c>
      <c r="B1162" s="1" t="n">
        <v>43879</v>
      </c>
      <c r="C1162" s="1" t="n">
        <v>45224</v>
      </c>
      <c r="D1162" t="inlineStr">
        <is>
          <t>STOCKHOLMS LÄN</t>
        </is>
      </c>
      <c r="E1162" t="inlineStr">
        <is>
          <t>SALEM</t>
        </is>
      </c>
      <c r="F1162" t="inlineStr">
        <is>
          <t>Kommuner</t>
        </is>
      </c>
      <c r="G1162" t="n">
        <v>0.7</v>
      </c>
      <c r="H1162" t="n">
        <v>0</v>
      </c>
      <c r="I1162" t="n">
        <v>0</v>
      </c>
      <c r="J1162" t="n">
        <v>0</v>
      </c>
      <c r="K1162" t="n">
        <v>0</v>
      </c>
      <c r="L1162" t="n">
        <v>0</v>
      </c>
      <c r="M1162" t="n">
        <v>0</v>
      </c>
      <c r="N1162" t="n">
        <v>0</v>
      </c>
      <c r="O1162" t="n">
        <v>0</v>
      </c>
      <c r="P1162" t="n">
        <v>0</v>
      </c>
      <c r="Q1162" t="n">
        <v>0</v>
      </c>
      <c r="R1162" s="2" t="inlineStr"/>
    </row>
    <row r="1163" ht="15" customHeight="1">
      <c r="A1163" t="inlineStr">
        <is>
          <t>A 9116-2020</t>
        </is>
      </c>
      <c r="B1163" s="1" t="n">
        <v>43879</v>
      </c>
      <c r="C1163" s="1" t="n">
        <v>45224</v>
      </c>
      <c r="D1163" t="inlineStr">
        <is>
          <t>STOCKHOLMS LÄN</t>
        </is>
      </c>
      <c r="E1163" t="inlineStr">
        <is>
          <t>SALEM</t>
        </is>
      </c>
      <c r="F1163" t="inlineStr">
        <is>
          <t>Kommuner</t>
        </is>
      </c>
      <c r="G1163" t="n">
        <v>4.2</v>
      </c>
      <c r="H1163" t="n">
        <v>0</v>
      </c>
      <c r="I1163" t="n">
        <v>0</v>
      </c>
      <c r="J1163" t="n">
        <v>0</v>
      </c>
      <c r="K1163" t="n">
        <v>0</v>
      </c>
      <c r="L1163" t="n">
        <v>0</v>
      </c>
      <c r="M1163" t="n">
        <v>0</v>
      </c>
      <c r="N1163" t="n">
        <v>0</v>
      </c>
      <c r="O1163" t="n">
        <v>0</v>
      </c>
      <c r="P1163" t="n">
        <v>0</v>
      </c>
      <c r="Q1163" t="n">
        <v>0</v>
      </c>
      <c r="R1163" s="2" t="inlineStr"/>
    </row>
    <row r="1164" ht="15" customHeight="1">
      <c r="A1164" t="inlineStr">
        <is>
          <t>A 9845-2020</t>
        </is>
      </c>
      <c r="B1164" s="1" t="n">
        <v>43881</v>
      </c>
      <c r="C1164" s="1" t="n">
        <v>45224</v>
      </c>
      <c r="D1164" t="inlineStr">
        <is>
          <t>STOCKHOLMS LÄN</t>
        </is>
      </c>
      <c r="E1164" t="inlineStr">
        <is>
          <t>NORRTÄLJE</t>
        </is>
      </c>
      <c r="G1164" t="n">
        <v>0.4</v>
      </c>
      <c r="H1164" t="n">
        <v>0</v>
      </c>
      <c r="I1164" t="n">
        <v>0</v>
      </c>
      <c r="J1164" t="n">
        <v>0</v>
      </c>
      <c r="K1164" t="n">
        <v>0</v>
      </c>
      <c r="L1164" t="n">
        <v>0</v>
      </c>
      <c r="M1164" t="n">
        <v>0</v>
      </c>
      <c r="N1164" t="n">
        <v>0</v>
      </c>
      <c r="O1164" t="n">
        <v>0</v>
      </c>
      <c r="P1164" t="n">
        <v>0</v>
      </c>
      <c r="Q1164" t="n">
        <v>0</v>
      </c>
      <c r="R1164" s="2" t="inlineStr"/>
    </row>
    <row r="1165" ht="15" customHeight="1">
      <c r="A1165" t="inlineStr">
        <is>
          <t>A 10007-2020</t>
        </is>
      </c>
      <c r="B1165" s="1" t="n">
        <v>43882</v>
      </c>
      <c r="C1165" s="1" t="n">
        <v>45224</v>
      </c>
      <c r="D1165" t="inlineStr">
        <is>
          <t>STOCKHOLMS LÄN</t>
        </is>
      </c>
      <c r="E1165" t="inlineStr">
        <is>
          <t>NYNÄSHAMN</t>
        </is>
      </c>
      <c r="G1165" t="n">
        <v>0.7</v>
      </c>
      <c r="H1165" t="n">
        <v>0</v>
      </c>
      <c r="I1165" t="n">
        <v>0</v>
      </c>
      <c r="J1165" t="n">
        <v>0</v>
      </c>
      <c r="K1165" t="n">
        <v>0</v>
      </c>
      <c r="L1165" t="n">
        <v>0</v>
      </c>
      <c r="M1165" t="n">
        <v>0</v>
      </c>
      <c r="N1165" t="n">
        <v>0</v>
      </c>
      <c r="O1165" t="n">
        <v>0</v>
      </c>
      <c r="P1165" t="n">
        <v>0</v>
      </c>
      <c r="Q1165" t="n">
        <v>0</v>
      </c>
      <c r="R1165" s="2" t="inlineStr"/>
    </row>
    <row r="1166" ht="15" customHeight="1">
      <c r="A1166" t="inlineStr">
        <is>
          <t>A 10395-2020</t>
        </is>
      </c>
      <c r="B1166" s="1" t="n">
        <v>43885</v>
      </c>
      <c r="C1166" s="1" t="n">
        <v>45224</v>
      </c>
      <c r="D1166" t="inlineStr">
        <is>
          <t>STOCKHOLMS LÄN</t>
        </is>
      </c>
      <c r="E1166" t="inlineStr">
        <is>
          <t>EKERÖ</t>
        </is>
      </c>
      <c r="G1166" t="n">
        <v>2.4</v>
      </c>
      <c r="H1166" t="n">
        <v>0</v>
      </c>
      <c r="I1166" t="n">
        <v>0</v>
      </c>
      <c r="J1166" t="n">
        <v>0</v>
      </c>
      <c r="K1166" t="n">
        <v>0</v>
      </c>
      <c r="L1166" t="n">
        <v>0</v>
      </c>
      <c r="M1166" t="n">
        <v>0</v>
      </c>
      <c r="N1166" t="n">
        <v>0</v>
      </c>
      <c r="O1166" t="n">
        <v>0</v>
      </c>
      <c r="P1166" t="n">
        <v>0</v>
      </c>
      <c r="Q1166" t="n">
        <v>0</v>
      </c>
      <c r="R1166" s="2" t="inlineStr"/>
    </row>
    <row r="1167" ht="15" customHeight="1">
      <c r="A1167" t="inlineStr">
        <is>
          <t>A 10244-2020</t>
        </is>
      </c>
      <c r="B1167" s="1" t="n">
        <v>43885</v>
      </c>
      <c r="C1167" s="1" t="n">
        <v>45224</v>
      </c>
      <c r="D1167" t="inlineStr">
        <is>
          <t>STOCKHOLMS LÄN</t>
        </is>
      </c>
      <c r="E1167" t="inlineStr">
        <is>
          <t>SIGTUNA</t>
        </is>
      </c>
      <c r="G1167" t="n">
        <v>2.5</v>
      </c>
      <c r="H1167" t="n">
        <v>0</v>
      </c>
      <c r="I1167" t="n">
        <v>0</v>
      </c>
      <c r="J1167" t="n">
        <v>0</v>
      </c>
      <c r="K1167" t="n">
        <v>0</v>
      </c>
      <c r="L1167" t="n">
        <v>0</v>
      </c>
      <c r="M1167" t="n">
        <v>0</v>
      </c>
      <c r="N1167" t="n">
        <v>0</v>
      </c>
      <c r="O1167" t="n">
        <v>0</v>
      </c>
      <c r="P1167" t="n">
        <v>0</v>
      </c>
      <c r="Q1167" t="n">
        <v>0</v>
      </c>
      <c r="R1167" s="2" t="inlineStr"/>
    </row>
    <row r="1168" ht="15" customHeight="1">
      <c r="A1168" t="inlineStr">
        <is>
          <t>A 10396-2020</t>
        </is>
      </c>
      <c r="B1168" s="1" t="n">
        <v>43885</v>
      </c>
      <c r="C1168" s="1" t="n">
        <v>45224</v>
      </c>
      <c r="D1168" t="inlineStr">
        <is>
          <t>STOCKHOLMS LÄN</t>
        </is>
      </c>
      <c r="E1168" t="inlineStr">
        <is>
          <t>NYNÄSHAMN</t>
        </is>
      </c>
      <c r="G1168" t="n">
        <v>5.2</v>
      </c>
      <c r="H1168" t="n">
        <v>0</v>
      </c>
      <c r="I1168" t="n">
        <v>0</v>
      </c>
      <c r="J1168" t="n">
        <v>0</v>
      </c>
      <c r="K1168" t="n">
        <v>0</v>
      </c>
      <c r="L1168" t="n">
        <v>0</v>
      </c>
      <c r="M1168" t="n">
        <v>0</v>
      </c>
      <c r="N1168" t="n">
        <v>0</v>
      </c>
      <c r="O1168" t="n">
        <v>0</v>
      </c>
      <c r="P1168" t="n">
        <v>0</v>
      </c>
      <c r="Q1168" t="n">
        <v>0</v>
      </c>
      <c r="R1168" s="2" t="inlineStr"/>
    </row>
    <row r="1169" ht="15" customHeight="1">
      <c r="A1169" t="inlineStr">
        <is>
          <t>A 10551-2020</t>
        </is>
      </c>
      <c r="B1169" s="1" t="n">
        <v>43887</v>
      </c>
      <c r="C1169" s="1" t="n">
        <v>45224</v>
      </c>
      <c r="D1169" t="inlineStr">
        <is>
          <t>STOCKHOLMS LÄN</t>
        </is>
      </c>
      <c r="E1169" t="inlineStr">
        <is>
          <t>SÖDERTÄLJE</t>
        </is>
      </c>
      <c r="G1169" t="n">
        <v>3</v>
      </c>
      <c r="H1169" t="n">
        <v>0</v>
      </c>
      <c r="I1169" t="n">
        <v>0</v>
      </c>
      <c r="J1169" t="n">
        <v>0</v>
      </c>
      <c r="K1169" t="n">
        <v>0</v>
      </c>
      <c r="L1169" t="n">
        <v>0</v>
      </c>
      <c r="M1169" t="n">
        <v>0</v>
      </c>
      <c r="N1169" t="n">
        <v>0</v>
      </c>
      <c r="O1169" t="n">
        <v>0</v>
      </c>
      <c r="P1169" t="n">
        <v>0</v>
      </c>
      <c r="Q1169" t="n">
        <v>0</v>
      </c>
      <c r="R1169" s="2" t="inlineStr"/>
    </row>
    <row r="1170" ht="15" customHeight="1">
      <c r="A1170" t="inlineStr">
        <is>
          <t>A 10618-2020</t>
        </is>
      </c>
      <c r="B1170" s="1" t="n">
        <v>43887</v>
      </c>
      <c r="C1170" s="1" t="n">
        <v>45224</v>
      </c>
      <c r="D1170" t="inlineStr">
        <is>
          <t>STOCKHOLMS LÄN</t>
        </is>
      </c>
      <c r="E1170" t="inlineStr">
        <is>
          <t>NORRTÄLJE</t>
        </is>
      </c>
      <c r="G1170" t="n">
        <v>0.5</v>
      </c>
      <c r="H1170" t="n">
        <v>0</v>
      </c>
      <c r="I1170" t="n">
        <v>0</v>
      </c>
      <c r="J1170" t="n">
        <v>0</v>
      </c>
      <c r="K1170" t="n">
        <v>0</v>
      </c>
      <c r="L1170" t="n">
        <v>0</v>
      </c>
      <c r="M1170" t="n">
        <v>0</v>
      </c>
      <c r="N1170" t="n">
        <v>0</v>
      </c>
      <c r="O1170" t="n">
        <v>0</v>
      </c>
      <c r="P1170" t="n">
        <v>0</v>
      </c>
      <c r="Q1170" t="n">
        <v>0</v>
      </c>
      <c r="R1170" s="2" t="inlineStr"/>
    </row>
    <row r="1171" ht="15" customHeight="1">
      <c r="A1171" t="inlineStr">
        <is>
          <t>A 10744-2020</t>
        </is>
      </c>
      <c r="B1171" s="1" t="n">
        <v>43888</v>
      </c>
      <c r="C1171" s="1" t="n">
        <v>45224</v>
      </c>
      <c r="D1171" t="inlineStr">
        <is>
          <t>STOCKHOLMS LÄN</t>
        </is>
      </c>
      <c r="E1171" t="inlineStr">
        <is>
          <t>SIGTUNA</t>
        </is>
      </c>
      <c r="G1171" t="n">
        <v>0.5</v>
      </c>
      <c r="H1171" t="n">
        <v>0</v>
      </c>
      <c r="I1171" t="n">
        <v>0</v>
      </c>
      <c r="J1171" t="n">
        <v>0</v>
      </c>
      <c r="K1171" t="n">
        <v>0</v>
      </c>
      <c r="L1171" t="n">
        <v>0</v>
      </c>
      <c r="M1171" t="n">
        <v>0</v>
      </c>
      <c r="N1171" t="n">
        <v>0</v>
      </c>
      <c r="O1171" t="n">
        <v>0</v>
      </c>
      <c r="P1171" t="n">
        <v>0</v>
      </c>
      <c r="Q1171" t="n">
        <v>0</v>
      </c>
      <c r="R1171" s="2" t="inlineStr"/>
    </row>
    <row r="1172" ht="15" customHeight="1">
      <c r="A1172" t="inlineStr">
        <is>
          <t>A 10764-2020</t>
        </is>
      </c>
      <c r="B1172" s="1" t="n">
        <v>43888</v>
      </c>
      <c r="C1172" s="1" t="n">
        <v>45224</v>
      </c>
      <c r="D1172" t="inlineStr">
        <is>
          <t>STOCKHOLMS LÄN</t>
        </is>
      </c>
      <c r="E1172" t="inlineStr">
        <is>
          <t>ÖSTERÅKER</t>
        </is>
      </c>
      <c r="G1172" t="n">
        <v>1.3</v>
      </c>
      <c r="H1172" t="n">
        <v>0</v>
      </c>
      <c r="I1172" t="n">
        <v>0</v>
      </c>
      <c r="J1172" t="n">
        <v>0</v>
      </c>
      <c r="K1172" t="n">
        <v>0</v>
      </c>
      <c r="L1172" t="n">
        <v>0</v>
      </c>
      <c r="M1172" t="n">
        <v>0</v>
      </c>
      <c r="N1172" t="n">
        <v>0</v>
      </c>
      <c r="O1172" t="n">
        <v>0</v>
      </c>
      <c r="P1172" t="n">
        <v>0</v>
      </c>
      <c r="Q1172" t="n">
        <v>0</v>
      </c>
      <c r="R1172" s="2" t="inlineStr"/>
    </row>
    <row r="1173" ht="15" customHeight="1">
      <c r="A1173" t="inlineStr">
        <is>
          <t>A 10790-2020</t>
        </is>
      </c>
      <c r="B1173" s="1" t="n">
        <v>43888</v>
      </c>
      <c r="C1173" s="1" t="n">
        <v>45224</v>
      </c>
      <c r="D1173" t="inlineStr">
        <is>
          <t>STOCKHOLMS LÄN</t>
        </is>
      </c>
      <c r="E1173" t="inlineStr">
        <is>
          <t>BOTKYRKA</t>
        </is>
      </c>
      <c r="G1173" t="n">
        <v>4.3</v>
      </c>
      <c r="H1173" t="n">
        <v>0</v>
      </c>
      <c r="I1173" t="n">
        <v>0</v>
      </c>
      <c r="J1173" t="n">
        <v>0</v>
      </c>
      <c r="K1173" t="n">
        <v>0</v>
      </c>
      <c r="L1173" t="n">
        <v>0</v>
      </c>
      <c r="M1173" t="n">
        <v>0</v>
      </c>
      <c r="N1173" t="n">
        <v>0</v>
      </c>
      <c r="O1173" t="n">
        <v>0</v>
      </c>
      <c r="P1173" t="n">
        <v>0</v>
      </c>
      <c r="Q1173" t="n">
        <v>0</v>
      </c>
      <c r="R1173" s="2" t="inlineStr"/>
    </row>
    <row r="1174" ht="15" customHeight="1">
      <c r="A1174" t="inlineStr">
        <is>
          <t>A 10738-2020</t>
        </is>
      </c>
      <c r="B1174" s="1" t="n">
        <v>43888</v>
      </c>
      <c r="C1174" s="1" t="n">
        <v>45224</v>
      </c>
      <c r="D1174" t="inlineStr">
        <is>
          <t>STOCKHOLMS LÄN</t>
        </is>
      </c>
      <c r="E1174" t="inlineStr">
        <is>
          <t>SIGTUNA</t>
        </is>
      </c>
      <c r="G1174" t="n">
        <v>4.7</v>
      </c>
      <c r="H1174" t="n">
        <v>0</v>
      </c>
      <c r="I1174" t="n">
        <v>0</v>
      </c>
      <c r="J1174" t="n">
        <v>0</v>
      </c>
      <c r="K1174" t="n">
        <v>0</v>
      </c>
      <c r="L1174" t="n">
        <v>0</v>
      </c>
      <c r="M1174" t="n">
        <v>0</v>
      </c>
      <c r="N1174" t="n">
        <v>0</v>
      </c>
      <c r="O1174" t="n">
        <v>0</v>
      </c>
      <c r="P1174" t="n">
        <v>0</v>
      </c>
      <c r="Q1174" t="n">
        <v>0</v>
      </c>
      <c r="R1174" s="2" t="inlineStr"/>
    </row>
    <row r="1175" ht="15" customHeight="1">
      <c r="A1175" t="inlineStr">
        <is>
          <t>A 10807-2020</t>
        </is>
      </c>
      <c r="B1175" s="1" t="n">
        <v>43888</v>
      </c>
      <c r="C1175" s="1" t="n">
        <v>45224</v>
      </c>
      <c r="D1175" t="inlineStr">
        <is>
          <t>STOCKHOLMS LÄN</t>
        </is>
      </c>
      <c r="E1175" t="inlineStr">
        <is>
          <t>BOTKYRKA</t>
        </is>
      </c>
      <c r="G1175" t="n">
        <v>1.4</v>
      </c>
      <c r="H1175" t="n">
        <v>0</v>
      </c>
      <c r="I1175" t="n">
        <v>0</v>
      </c>
      <c r="J1175" t="n">
        <v>0</v>
      </c>
      <c r="K1175" t="n">
        <v>0</v>
      </c>
      <c r="L1175" t="n">
        <v>0</v>
      </c>
      <c r="M1175" t="n">
        <v>0</v>
      </c>
      <c r="N1175" t="n">
        <v>0</v>
      </c>
      <c r="O1175" t="n">
        <v>0</v>
      </c>
      <c r="P1175" t="n">
        <v>0</v>
      </c>
      <c r="Q1175" t="n">
        <v>0</v>
      </c>
      <c r="R1175" s="2" t="inlineStr"/>
    </row>
    <row r="1176" ht="15" customHeight="1">
      <c r="A1176" t="inlineStr">
        <is>
          <t>A 17546-2020</t>
        </is>
      </c>
      <c r="B1176" s="1" t="n">
        <v>43892</v>
      </c>
      <c r="C1176" s="1" t="n">
        <v>45224</v>
      </c>
      <c r="D1176" t="inlineStr">
        <is>
          <t>STOCKHOLMS LÄN</t>
        </is>
      </c>
      <c r="E1176" t="inlineStr">
        <is>
          <t>EKERÖ</t>
        </is>
      </c>
      <c r="G1176" t="n">
        <v>3.5</v>
      </c>
      <c r="H1176" t="n">
        <v>0</v>
      </c>
      <c r="I1176" t="n">
        <v>0</v>
      </c>
      <c r="J1176" t="n">
        <v>0</v>
      </c>
      <c r="K1176" t="n">
        <v>0</v>
      </c>
      <c r="L1176" t="n">
        <v>0</v>
      </c>
      <c r="M1176" t="n">
        <v>0</v>
      </c>
      <c r="N1176" t="n">
        <v>0</v>
      </c>
      <c r="O1176" t="n">
        <v>0</v>
      </c>
      <c r="P1176" t="n">
        <v>0</v>
      </c>
      <c r="Q1176" t="n">
        <v>0</v>
      </c>
      <c r="R1176" s="2" t="inlineStr"/>
    </row>
    <row r="1177" ht="15" customHeight="1">
      <c r="A1177" t="inlineStr">
        <is>
          <t>A 17552-2020</t>
        </is>
      </c>
      <c r="B1177" s="1" t="n">
        <v>43892</v>
      </c>
      <c r="C1177" s="1" t="n">
        <v>45224</v>
      </c>
      <c r="D1177" t="inlineStr">
        <is>
          <t>STOCKHOLMS LÄN</t>
        </is>
      </c>
      <c r="E1177" t="inlineStr">
        <is>
          <t>EKERÖ</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11184-2020</t>
        </is>
      </c>
      <c r="B1178" s="1" t="n">
        <v>43892</v>
      </c>
      <c r="C1178" s="1" t="n">
        <v>45224</v>
      </c>
      <c r="D1178" t="inlineStr">
        <is>
          <t>STOCKHOLMS LÄN</t>
        </is>
      </c>
      <c r="E1178" t="inlineStr">
        <is>
          <t>NORRTÄLJE</t>
        </is>
      </c>
      <c r="G1178" t="n">
        <v>0.9</v>
      </c>
      <c r="H1178" t="n">
        <v>0</v>
      </c>
      <c r="I1178" t="n">
        <v>0</v>
      </c>
      <c r="J1178" t="n">
        <v>0</v>
      </c>
      <c r="K1178" t="n">
        <v>0</v>
      </c>
      <c r="L1178" t="n">
        <v>0</v>
      </c>
      <c r="M1178" t="n">
        <v>0</v>
      </c>
      <c r="N1178" t="n">
        <v>0</v>
      </c>
      <c r="O1178" t="n">
        <v>0</v>
      </c>
      <c r="P1178" t="n">
        <v>0</v>
      </c>
      <c r="Q1178" t="n">
        <v>0</v>
      </c>
      <c r="R1178" s="2" t="inlineStr"/>
    </row>
    <row r="1179" ht="15" customHeight="1">
      <c r="A1179" t="inlineStr">
        <is>
          <t>A 11576-2020</t>
        </is>
      </c>
      <c r="B1179" s="1" t="n">
        <v>43893</v>
      </c>
      <c r="C1179" s="1" t="n">
        <v>45224</v>
      </c>
      <c r="D1179" t="inlineStr">
        <is>
          <t>STOCKHOLMS LÄN</t>
        </is>
      </c>
      <c r="E1179" t="inlineStr">
        <is>
          <t>NORRTÄLJE</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12113-2020</t>
        </is>
      </c>
      <c r="B1180" s="1" t="n">
        <v>43895</v>
      </c>
      <c r="C1180" s="1" t="n">
        <v>45224</v>
      </c>
      <c r="D1180" t="inlineStr">
        <is>
          <t>STOCKHOLMS LÄN</t>
        </is>
      </c>
      <c r="E1180" t="inlineStr">
        <is>
          <t>NORRTÄLJE</t>
        </is>
      </c>
      <c r="G1180" t="n">
        <v>2.6</v>
      </c>
      <c r="H1180" t="n">
        <v>0</v>
      </c>
      <c r="I1180" t="n">
        <v>0</v>
      </c>
      <c r="J1180" t="n">
        <v>0</v>
      </c>
      <c r="K1180" t="n">
        <v>0</v>
      </c>
      <c r="L1180" t="n">
        <v>0</v>
      </c>
      <c r="M1180" t="n">
        <v>0</v>
      </c>
      <c r="N1180" t="n">
        <v>0</v>
      </c>
      <c r="O1180" t="n">
        <v>0</v>
      </c>
      <c r="P1180" t="n">
        <v>0</v>
      </c>
      <c r="Q1180" t="n">
        <v>0</v>
      </c>
      <c r="R1180" s="2" t="inlineStr"/>
    </row>
    <row r="1181" ht="15" customHeight="1">
      <c r="A1181" t="inlineStr">
        <is>
          <t>A 12321-2020</t>
        </is>
      </c>
      <c r="B1181" s="1" t="n">
        <v>43895</v>
      </c>
      <c r="C1181" s="1" t="n">
        <v>45224</v>
      </c>
      <c r="D1181" t="inlineStr">
        <is>
          <t>STOCKHOLMS LÄN</t>
        </is>
      </c>
      <c r="E1181" t="inlineStr">
        <is>
          <t>BOTKYRKA</t>
        </is>
      </c>
      <c r="G1181" t="n">
        <v>0.7</v>
      </c>
      <c r="H1181" t="n">
        <v>0</v>
      </c>
      <c r="I1181" t="n">
        <v>0</v>
      </c>
      <c r="J1181" t="n">
        <v>0</v>
      </c>
      <c r="K1181" t="n">
        <v>0</v>
      </c>
      <c r="L1181" t="n">
        <v>0</v>
      </c>
      <c r="M1181" t="n">
        <v>0</v>
      </c>
      <c r="N1181" t="n">
        <v>0</v>
      </c>
      <c r="O1181" t="n">
        <v>0</v>
      </c>
      <c r="P1181" t="n">
        <v>0</v>
      </c>
      <c r="Q1181" t="n">
        <v>0</v>
      </c>
      <c r="R1181" s="2" t="inlineStr"/>
    </row>
    <row r="1182" ht="15" customHeight="1">
      <c r="A1182" t="inlineStr">
        <is>
          <t>A 12320-2020</t>
        </is>
      </c>
      <c r="B1182" s="1" t="n">
        <v>43895</v>
      </c>
      <c r="C1182" s="1" t="n">
        <v>45224</v>
      </c>
      <c r="D1182" t="inlineStr">
        <is>
          <t>STOCKHOLMS LÄN</t>
        </is>
      </c>
      <c r="E1182" t="inlineStr">
        <is>
          <t>BOTKYRKA</t>
        </is>
      </c>
      <c r="G1182" t="n">
        <v>0.6</v>
      </c>
      <c r="H1182" t="n">
        <v>0</v>
      </c>
      <c r="I1182" t="n">
        <v>0</v>
      </c>
      <c r="J1182" t="n">
        <v>0</v>
      </c>
      <c r="K1182" t="n">
        <v>0</v>
      </c>
      <c r="L1182" t="n">
        <v>0</v>
      </c>
      <c r="M1182" t="n">
        <v>0</v>
      </c>
      <c r="N1182" t="n">
        <v>0</v>
      </c>
      <c r="O1182" t="n">
        <v>0</v>
      </c>
      <c r="P1182" t="n">
        <v>0</v>
      </c>
      <c r="Q1182" t="n">
        <v>0</v>
      </c>
      <c r="R1182" s="2" t="inlineStr"/>
    </row>
    <row r="1183" ht="15" customHeight="1">
      <c r="A1183" t="inlineStr">
        <is>
          <t>A 12355-2020</t>
        </is>
      </c>
      <c r="B1183" s="1" t="n">
        <v>43896</v>
      </c>
      <c r="C1183" s="1" t="n">
        <v>45224</v>
      </c>
      <c r="D1183" t="inlineStr">
        <is>
          <t>STOCKHOLMS LÄN</t>
        </is>
      </c>
      <c r="E1183" t="inlineStr">
        <is>
          <t>HANINGE</t>
        </is>
      </c>
      <c r="G1183" t="n">
        <v>4.4</v>
      </c>
      <c r="H1183" t="n">
        <v>0</v>
      </c>
      <c r="I1183" t="n">
        <v>0</v>
      </c>
      <c r="J1183" t="n">
        <v>0</v>
      </c>
      <c r="K1183" t="n">
        <v>0</v>
      </c>
      <c r="L1183" t="n">
        <v>0</v>
      </c>
      <c r="M1183" t="n">
        <v>0</v>
      </c>
      <c r="N1183" t="n">
        <v>0</v>
      </c>
      <c r="O1183" t="n">
        <v>0</v>
      </c>
      <c r="P1183" t="n">
        <v>0</v>
      </c>
      <c r="Q1183" t="n">
        <v>0</v>
      </c>
      <c r="R1183" s="2" t="inlineStr"/>
    </row>
    <row r="1184" ht="15" customHeight="1">
      <c r="A1184" t="inlineStr">
        <is>
          <t>A 12620-2020</t>
        </is>
      </c>
      <c r="B1184" s="1" t="n">
        <v>43899</v>
      </c>
      <c r="C1184" s="1" t="n">
        <v>45224</v>
      </c>
      <c r="D1184" t="inlineStr">
        <is>
          <t>STOCKHOLMS LÄN</t>
        </is>
      </c>
      <c r="E1184" t="inlineStr">
        <is>
          <t>HANINGE</t>
        </is>
      </c>
      <c r="G1184" t="n">
        <v>6</v>
      </c>
      <c r="H1184" t="n">
        <v>0</v>
      </c>
      <c r="I1184" t="n">
        <v>0</v>
      </c>
      <c r="J1184" t="n">
        <v>0</v>
      </c>
      <c r="K1184" t="n">
        <v>0</v>
      </c>
      <c r="L1184" t="n">
        <v>0</v>
      </c>
      <c r="M1184" t="n">
        <v>0</v>
      </c>
      <c r="N1184" t="n">
        <v>0</v>
      </c>
      <c r="O1184" t="n">
        <v>0</v>
      </c>
      <c r="P1184" t="n">
        <v>0</v>
      </c>
      <c r="Q1184" t="n">
        <v>0</v>
      </c>
      <c r="R1184" s="2" t="inlineStr"/>
    </row>
    <row r="1185" ht="15" customHeight="1">
      <c r="A1185" t="inlineStr">
        <is>
          <t>A 12571-2020</t>
        </is>
      </c>
      <c r="B1185" s="1" t="n">
        <v>43899</v>
      </c>
      <c r="C1185" s="1" t="n">
        <v>45224</v>
      </c>
      <c r="D1185" t="inlineStr">
        <is>
          <t>STOCKHOLMS LÄN</t>
        </is>
      </c>
      <c r="E1185" t="inlineStr">
        <is>
          <t>NYNÄSHAMN</t>
        </is>
      </c>
      <c r="G1185" t="n">
        <v>1.5</v>
      </c>
      <c r="H1185" t="n">
        <v>0</v>
      </c>
      <c r="I1185" t="n">
        <v>0</v>
      </c>
      <c r="J1185" t="n">
        <v>0</v>
      </c>
      <c r="K1185" t="n">
        <v>0</v>
      </c>
      <c r="L1185" t="n">
        <v>0</v>
      </c>
      <c r="M1185" t="n">
        <v>0</v>
      </c>
      <c r="N1185" t="n">
        <v>0</v>
      </c>
      <c r="O1185" t="n">
        <v>0</v>
      </c>
      <c r="P1185" t="n">
        <v>0</v>
      </c>
      <c r="Q1185" t="n">
        <v>0</v>
      </c>
      <c r="R1185" s="2" t="inlineStr"/>
    </row>
    <row r="1186" ht="15" customHeight="1">
      <c r="A1186" t="inlineStr">
        <is>
          <t>A 12843-2020</t>
        </is>
      </c>
      <c r="B1186" s="1" t="n">
        <v>43899</v>
      </c>
      <c r="C1186" s="1" t="n">
        <v>45224</v>
      </c>
      <c r="D1186" t="inlineStr">
        <is>
          <t>STOCKHOLMS LÄN</t>
        </is>
      </c>
      <c r="E1186" t="inlineStr">
        <is>
          <t>NORRTÄLJE</t>
        </is>
      </c>
      <c r="G1186" t="n">
        <v>7.5</v>
      </c>
      <c r="H1186" t="n">
        <v>0</v>
      </c>
      <c r="I1186" t="n">
        <v>0</v>
      </c>
      <c r="J1186" t="n">
        <v>0</v>
      </c>
      <c r="K1186" t="n">
        <v>0</v>
      </c>
      <c r="L1186" t="n">
        <v>0</v>
      </c>
      <c r="M1186" t="n">
        <v>0</v>
      </c>
      <c r="N1186" t="n">
        <v>0</v>
      </c>
      <c r="O1186" t="n">
        <v>0</v>
      </c>
      <c r="P1186" t="n">
        <v>0</v>
      </c>
      <c r="Q1186" t="n">
        <v>0</v>
      </c>
      <c r="R1186" s="2" t="inlineStr"/>
    </row>
    <row r="1187" ht="15" customHeight="1">
      <c r="A1187" t="inlineStr">
        <is>
          <t>A 12984-2020</t>
        </is>
      </c>
      <c r="B1187" s="1" t="n">
        <v>43900</v>
      </c>
      <c r="C1187" s="1" t="n">
        <v>45224</v>
      </c>
      <c r="D1187" t="inlineStr">
        <is>
          <t>STOCKHOLMS LÄN</t>
        </is>
      </c>
      <c r="E1187" t="inlineStr">
        <is>
          <t>UPPLANDS VÄSBY</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12970-2020</t>
        </is>
      </c>
      <c r="B1188" s="1" t="n">
        <v>43900</v>
      </c>
      <c r="C1188" s="1" t="n">
        <v>45224</v>
      </c>
      <c r="D1188" t="inlineStr">
        <is>
          <t>STOCKHOLMS LÄN</t>
        </is>
      </c>
      <c r="E1188" t="inlineStr">
        <is>
          <t>NORRTÄLJE</t>
        </is>
      </c>
      <c r="F1188" t="inlineStr">
        <is>
          <t>Kommuner</t>
        </is>
      </c>
      <c r="G1188" t="n">
        <v>3</v>
      </c>
      <c r="H1188" t="n">
        <v>0</v>
      </c>
      <c r="I1188" t="n">
        <v>0</v>
      </c>
      <c r="J1188" t="n">
        <v>0</v>
      </c>
      <c r="K1188" t="n">
        <v>0</v>
      </c>
      <c r="L1188" t="n">
        <v>0</v>
      </c>
      <c r="M1188" t="n">
        <v>0</v>
      </c>
      <c r="N1188" t="n">
        <v>0</v>
      </c>
      <c r="O1188" t="n">
        <v>0</v>
      </c>
      <c r="P1188" t="n">
        <v>0</v>
      </c>
      <c r="Q1188" t="n">
        <v>0</v>
      </c>
      <c r="R1188" s="2" t="inlineStr"/>
    </row>
    <row r="1189" ht="15" customHeight="1">
      <c r="A1189" t="inlineStr">
        <is>
          <t>A 12988-2020</t>
        </is>
      </c>
      <c r="B1189" s="1" t="n">
        <v>43900</v>
      </c>
      <c r="C1189" s="1" t="n">
        <v>45224</v>
      </c>
      <c r="D1189" t="inlineStr">
        <is>
          <t>STOCKHOLMS LÄN</t>
        </is>
      </c>
      <c r="E1189" t="inlineStr">
        <is>
          <t>BOTKYRKA</t>
        </is>
      </c>
      <c r="G1189" t="n">
        <v>13.7</v>
      </c>
      <c r="H1189" t="n">
        <v>0</v>
      </c>
      <c r="I1189" t="n">
        <v>0</v>
      </c>
      <c r="J1189" t="n">
        <v>0</v>
      </c>
      <c r="K1189" t="n">
        <v>0</v>
      </c>
      <c r="L1189" t="n">
        <v>0</v>
      </c>
      <c r="M1189" t="n">
        <v>0</v>
      </c>
      <c r="N1189" t="n">
        <v>0</v>
      </c>
      <c r="O1189" t="n">
        <v>0</v>
      </c>
      <c r="P1189" t="n">
        <v>0</v>
      </c>
      <c r="Q1189" t="n">
        <v>0</v>
      </c>
      <c r="R1189" s="2" t="inlineStr"/>
    </row>
    <row r="1190" ht="15" customHeight="1">
      <c r="A1190" t="inlineStr">
        <is>
          <t>A 12987-2020</t>
        </is>
      </c>
      <c r="B1190" s="1" t="n">
        <v>43900</v>
      </c>
      <c r="C1190" s="1" t="n">
        <v>45224</v>
      </c>
      <c r="D1190" t="inlineStr">
        <is>
          <t>STOCKHOLMS LÄN</t>
        </is>
      </c>
      <c r="E1190" t="inlineStr">
        <is>
          <t>UPPLANDS VÄSBY</t>
        </is>
      </c>
      <c r="G1190" t="n">
        <v>3.7</v>
      </c>
      <c r="H1190" t="n">
        <v>0</v>
      </c>
      <c r="I1190" t="n">
        <v>0</v>
      </c>
      <c r="J1190" t="n">
        <v>0</v>
      </c>
      <c r="K1190" t="n">
        <v>0</v>
      </c>
      <c r="L1190" t="n">
        <v>0</v>
      </c>
      <c r="M1190" t="n">
        <v>0</v>
      </c>
      <c r="N1190" t="n">
        <v>0</v>
      </c>
      <c r="O1190" t="n">
        <v>0</v>
      </c>
      <c r="P1190" t="n">
        <v>0</v>
      </c>
      <c r="Q1190" t="n">
        <v>0</v>
      </c>
      <c r="R1190" s="2" t="inlineStr"/>
    </row>
    <row r="1191" ht="15" customHeight="1">
      <c r="A1191" t="inlineStr">
        <is>
          <t>A 13230-2020</t>
        </is>
      </c>
      <c r="B1191" s="1" t="n">
        <v>43901</v>
      </c>
      <c r="C1191" s="1" t="n">
        <v>45224</v>
      </c>
      <c r="D1191" t="inlineStr">
        <is>
          <t>STOCKHOLMS LÄN</t>
        </is>
      </c>
      <c r="E1191" t="inlineStr">
        <is>
          <t>NORRTÄLJE</t>
        </is>
      </c>
      <c r="G1191" t="n">
        <v>1</v>
      </c>
      <c r="H1191" t="n">
        <v>0</v>
      </c>
      <c r="I1191" t="n">
        <v>0</v>
      </c>
      <c r="J1191" t="n">
        <v>0</v>
      </c>
      <c r="K1191" t="n">
        <v>0</v>
      </c>
      <c r="L1191" t="n">
        <v>0</v>
      </c>
      <c r="M1191" t="n">
        <v>0</v>
      </c>
      <c r="N1191" t="n">
        <v>0</v>
      </c>
      <c r="O1191" t="n">
        <v>0</v>
      </c>
      <c r="P1191" t="n">
        <v>0</v>
      </c>
      <c r="Q1191" t="n">
        <v>0</v>
      </c>
      <c r="R1191" s="2" t="inlineStr"/>
    </row>
    <row r="1192" ht="15" customHeight="1">
      <c r="A1192" t="inlineStr">
        <is>
          <t>A 13281-2020</t>
        </is>
      </c>
      <c r="B1192" s="1" t="n">
        <v>43901</v>
      </c>
      <c r="C1192" s="1" t="n">
        <v>45224</v>
      </c>
      <c r="D1192" t="inlineStr">
        <is>
          <t>STOCKHOLMS LÄN</t>
        </is>
      </c>
      <c r="E1192" t="inlineStr">
        <is>
          <t>NORRTÄLJE</t>
        </is>
      </c>
      <c r="G1192" t="n">
        <v>0.7</v>
      </c>
      <c r="H1192" t="n">
        <v>0</v>
      </c>
      <c r="I1192" t="n">
        <v>0</v>
      </c>
      <c r="J1192" t="n">
        <v>0</v>
      </c>
      <c r="K1192" t="n">
        <v>0</v>
      </c>
      <c r="L1192" t="n">
        <v>0</v>
      </c>
      <c r="M1192" t="n">
        <v>0</v>
      </c>
      <c r="N1192" t="n">
        <v>0</v>
      </c>
      <c r="O1192" t="n">
        <v>0</v>
      </c>
      <c r="P1192" t="n">
        <v>0</v>
      </c>
      <c r="Q1192" t="n">
        <v>0</v>
      </c>
      <c r="R1192" s="2" t="inlineStr"/>
    </row>
    <row r="1193" ht="15" customHeight="1">
      <c r="A1193" t="inlineStr">
        <is>
          <t>A 13287-2020</t>
        </is>
      </c>
      <c r="B1193" s="1" t="n">
        <v>43901</v>
      </c>
      <c r="C1193" s="1" t="n">
        <v>45224</v>
      </c>
      <c r="D1193" t="inlineStr">
        <is>
          <t>STOCKHOLMS LÄN</t>
        </is>
      </c>
      <c r="E1193" t="inlineStr">
        <is>
          <t>NORRTÄLJE</t>
        </is>
      </c>
      <c r="F1193" t="inlineStr">
        <is>
          <t>Kommuner</t>
        </is>
      </c>
      <c r="G1193" t="n">
        <v>3.2</v>
      </c>
      <c r="H1193" t="n">
        <v>0</v>
      </c>
      <c r="I1193" t="n">
        <v>0</v>
      </c>
      <c r="J1193" t="n">
        <v>0</v>
      </c>
      <c r="K1193" t="n">
        <v>0</v>
      </c>
      <c r="L1193" t="n">
        <v>0</v>
      </c>
      <c r="M1193" t="n">
        <v>0</v>
      </c>
      <c r="N1193" t="n">
        <v>0</v>
      </c>
      <c r="O1193" t="n">
        <v>0</v>
      </c>
      <c r="P1193" t="n">
        <v>0</v>
      </c>
      <c r="Q1193" t="n">
        <v>0</v>
      </c>
      <c r="R1193" s="2" t="inlineStr"/>
    </row>
    <row r="1194" ht="15" customHeight="1">
      <c r="A1194" t="inlineStr">
        <is>
          <t>A 13501-2020</t>
        </is>
      </c>
      <c r="B1194" s="1" t="n">
        <v>43902</v>
      </c>
      <c r="C1194" s="1" t="n">
        <v>45224</v>
      </c>
      <c r="D1194" t="inlineStr">
        <is>
          <t>STOCKHOLMS LÄN</t>
        </is>
      </c>
      <c r="E1194" t="inlineStr">
        <is>
          <t>NORRTÄLJE</t>
        </is>
      </c>
      <c r="G1194" t="n">
        <v>8.800000000000001</v>
      </c>
      <c r="H1194" t="n">
        <v>0</v>
      </c>
      <c r="I1194" t="n">
        <v>0</v>
      </c>
      <c r="J1194" t="n">
        <v>0</v>
      </c>
      <c r="K1194" t="n">
        <v>0</v>
      </c>
      <c r="L1194" t="n">
        <v>0</v>
      </c>
      <c r="M1194" t="n">
        <v>0</v>
      </c>
      <c r="N1194" t="n">
        <v>0</v>
      </c>
      <c r="O1194" t="n">
        <v>0</v>
      </c>
      <c r="P1194" t="n">
        <v>0</v>
      </c>
      <c r="Q1194" t="n">
        <v>0</v>
      </c>
      <c r="R1194" s="2" t="inlineStr"/>
    </row>
    <row r="1195" ht="15" customHeight="1">
      <c r="A1195" t="inlineStr">
        <is>
          <t>A 13506-2020</t>
        </is>
      </c>
      <c r="B1195" s="1" t="n">
        <v>43902</v>
      </c>
      <c r="C1195" s="1" t="n">
        <v>45224</v>
      </c>
      <c r="D1195" t="inlineStr">
        <is>
          <t>STOCKHOLMS LÄN</t>
        </is>
      </c>
      <c r="E1195" t="inlineStr">
        <is>
          <t>NORRTÄLJE</t>
        </is>
      </c>
      <c r="G1195" t="n">
        <v>5.7</v>
      </c>
      <c r="H1195" t="n">
        <v>0</v>
      </c>
      <c r="I1195" t="n">
        <v>0</v>
      </c>
      <c r="J1195" t="n">
        <v>0</v>
      </c>
      <c r="K1195" t="n">
        <v>0</v>
      </c>
      <c r="L1195" t="n">
        <v>0</v>
      </c>
      <c r="M1195" t="n">
        <v>0</v>
      </c>
      <c r="N1195" t="n">
        <v>0</v>
      </c>
      <c r="O1195" t="n">
        <v>0</v>
      </c>
      <c r="P1195" t="n">
        <v>0</v>
      </c>
      <c r="Q1195" t="n">
        <v>0</v>
      </c>
      <c r="R1195" s="2" t="inlineStr"/>
    </row>
    <row r="1196" ht="15" customHeight="1">
      <c r="A1196" t="inlineStr">
        <is>
          <t>A 14637-2020</t>
        </is>
      </c>
      <c r="B1196" s="1" t="n">
        <v>43902</v>
      </c>
      <c r="C1196" s="1" t="n">
        <v>45224</v>
      </c>
      <c r="D1196" t="inlineStr">
        <is>
          <t>STOCKHOLMS LÄN</t>
        </is>
      </c>
      <c r="E1196" t="inlineStr">
        <is>
          <t>VALLENTUNA</t>
        </is>
      </c>
      <c r="G1196" t="n">
        <v>5.4</v>
      </c>
      <c r="H1196" t="n">
        <v>0</v>
      </c>
      <c r="I1196" t="n">
        <v>0</v>
      </c>
      <c r="J1196" t="n">
        <v>0</v>
      </c>
      <c r="K1196" t="n">
        <v>0</v>
      </c>
      <c r="L1196" t="n">
        <v>0</v>
      </c>
      <c r="M1196" t="n">
        <v>0</v>
      </c>
      <c r="N1196" t="n">
        <v>0</v>
      </c>
      <c r="O1196" t="n">
        <v>0</v>
      </c>
      <c r="P1196" t="n">
        <v>0</v>
      </c>
      <c r="Q1196" t="n">
        <v>0</v>
      </c>
      <c r="R1196" s="2" t="inlineStr"/>
    </row>
    <row r="1197" ht="15" customHeight="1">
      <c r="A1197" t="inlineStr">
        <is>
          <t>A 13679-2020</t>
        </is>
      </c>
      <c r="B1197" s="1" t="n">
        <v>43903</v>
      </c>
      <c r="C1197" s="1" t="n">
        <v>45224</v>
      </c>
      <c r="D1197" t="inlineStr">
        <is>
          <t>STOCKHOLMS LÄN</t>
        </is>
      </c>
      <c r="E1197" t="inlineStr">
        <is>
          <t>NYNÄSHAMN</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13676-2020</t>
        </is>
      </c>
      <c r="B1198" s="1" t="n">
        <v>43903</v>
      </c>
      <c r="C1198" s="1" t="n">
        <v>45224</v>
      </c>
      <c r="D1198" t="inlineStr">
        <is>
          <t>STOCKHOLMS LÄN</t>
        </is>
      </c>
      <c r="E1198" t="inlineStr">
        <is>
          <t>NYNÄSHAMN</t>
        </is>
      </c>
      <c r="G1198" t="n">
        <v>0.8</v>
      </c>
      <c r="H1198" t="n">
        <v>0</v>
      </c>
      <c r="I1198" t="n">
        <v>0</v>
      </c>
      <c r="J1198" t="n">
        <v>0</v>
      </c>
      <c r="K1198" t="n">
        <v>0</v>
      </c>
      <c r="L1198" t="n">
        <v>0</v>
      </c>
      <c r="M1198" t="n">
        <v>0</v>
      </c>
      <c r="N1198" t="n">
        <v>0</v>
      </c>
      <c r="O1198" t="n">
        <v>0</v>
      </c>
      <c r="P1198" t="n">
        <v>0</v>
      </c>
      <c r="Q1198" t="n">
        <v>0</v>
      </c>
      <c r="R1198" s="2" t="inlineStr"/>
    </row>
    <row r="1199" ht="15" customHeight="1">
      <c r="A1199" t="inlineStr">
        <is>
          <t>A 14037-2020</t>
        </is>
      </c>
      <c r="B1199" s="1" t="n">
        <v>43906</v>
      </c>
      <c r="C1199" s="1" t="n">
        <v>45224</v>
      </c>
      <c r="D1199" t="inlineStr">
        <is>
          <t>STOCKHOLMS LÄN</t>
        </is>
      </c>
      <c r="E1199" t="inlineStr">
        <is>
          <t>HANINGE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14512-2020</t>
        </is>
      </c>
      <c r="B1200" s="1" t="n">
        <v>43907</v>
      </c>
      <c r="C1200" s="1" t="n">
        <v>45224</v>
      </c>
      <c r="D1200" t="inlineStr">
        <is>
          <t>STOCKHOLMS LÄN</t>
        </is>
      </c>
      <c r="E1200" t="inlineStr">
        <is>
          <t>SIGTUNA</t>
        </is>
      </c>
      <c r="F1200" t="inlineStr">
        <is>
          <t>Övriga statliga verk och myndigheter</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14525-2020</t>
        </is>
      </c>
      <c r="B1201" s="1" t="n">
        <v>43908</v>
      </c>
      <c r="C1201" s="1" t="n">
        <v>45224</v>
      </c>
      <c r="D1201" t="inlineStr">
        <is>
          <t>STOCKHOLMS LÄN</t>
        </is>
      </c>
      <c r="E1201" t="inlineStr">
        <is>
          <t>NORRTÄLJE</t>
        </is>
      </c>
      <c r="G1201" t="n">
        <v>10.2</v>
      </c>
      <c r="H1201" t="n">
        <v>0</v>
      </c>
      <c r="I1201" t="n">
        <v>0</v>
      </c>
      <c r="J1201" t="n">
        <v>0</v>
      </c>
      <c r="K1201" t="n">
        <v>0</v>
      </c>
      <c r="L1201" t="n">
        <v>0</v>
      </c>
      <c r="M1201" t="n">
        <v>0</v>
      </c>
      <c r="N1201" t="n">
        <v>0</v>
      </c>
      <c r="O1201" t="n">
        <v>0</v>
      </c>
      <c r="P1201" t="n">
        <v>0</v>
      </c>
      <c r="Q1201" t="n">
        <v>0</v>
      </c>
      <c r="R1201" s="2" t="inlineStr"/>
    </row>
    <row r="1202" ht="15" customHeight="1">
      <c r="A1202" t="inlineStr">
        <is>
          <t>A 14565-2020</t>
        </is>
      </c>
      <c r="B1202" s="1" t="n">
        <v>43908</v>
      </c>
      <c r="C1202" s="1" t="n">
        <v>45224</v>
      </c>
      <c r="D1202" t="inlineStr">
        <is>
          <t>STOCKHOLMS LÄN</t>
        </is>
      </c>
      <c r="E1202" t="inlineStr">
        <is>
          <t>NORRTÄLJE</t>
        </is>
      </c>
      <c r="G1202" t="n">
        <v>3.4</v>
      </c>
      <c r="H1202" t="n">
        <v>0</v>
      </c>
      <c r="I1202" t="n">
        <v>0</v>
      </c>
      <c r="J1202" t="n">
        <v>0</v>
      </c>
      <c r="K1202" t="n">
        <v>0</v>
      </c>
      <c r="L1202" t="n">
        <v>0</v>
      </c>
      <c r="M1202" t="n">
        <v>0</v>
      </c>
      <c r="N1202" t="n">
        <v>0</v>
      </c>
      <c r="O1202" t="n">
        <v>0</v>
      </c>
      <c r="P1202" t="n">
        <v>0</v>
      </c>
      <c r="Q1202" t="n">
        <v>0</v>
      </c>
      <c r="R1202" s="2" t="inlineStr"/>
    </row>
    <row r="1203" ht="15" customHeight="1">
      <c r="A1203" t="inlineStr">
        <is>
          <t>A 14831-2020</t>
        </is>
      </c>
      <c r="B1203" s="1" t="n">
        <v>43909</v>
      </c>
      <c r="C1203" s="1" t="n">
        <v>45224</v>
      </c>
      <c r="D1203" t="inlineStr">
        <is>
          <t>STOCKHOLMS LÄN</t>
        </is>
      </c>
      <c r="E1203" t="inlineStr">
        <is>
          <t>NORRTÄLJE</t>
        </is>
      </c>
      <c r="G1203" t="n">
        <v>11.4</v>
      </c>
      <c r="H1203" t="n">
        <v>0</v>
      </c>
      <c r="I1203" t="n">
        <v>0</v>
      </c>
      <c r="J1203" t="n">
        <v>0</v>
      </c>
      <c r="K1203" t="n">
        <v>0</v>
      </c>
      <c r="L1203" t="n">
        <v>0</v>
      </c>
      <c r="M1203" t="n">
        <v>0</v>
      </c>
      <c r="N1203" t="n">
        <v>0</v>
      </c>
      <c r="O1203" t="n">
        <v>0</v>
      </c>
      <c r="P1203" t="n">
        <v>0</v>
      </c>
      <c r="Q1203" t="n">
        <v>0</v>
      </c>
      <c r="R1203" s="2" t="inlineStr"/>
    </row>
    <row r="1204" ht="15" customHeight="1">
      <c r="A1204" t="inlineStr">
        <is>
          <t>A 15318-2020</t>
        </is>
      </c>
      <c r="B1204" s="1" t="n">
        <v>43913</v>
      </c>
      <c r="C1204" s="1" t="n">
        <v>45224</v>
      </c>
      <c r="D1204" t="inlineStr">
        <is>
          <t>STOCKHOLMS LÄN</t>
        </is>
      </c>
      <c r="E1204" t="inlineStr">
        <is>
          <t>HANINGE</t>
        </is>
      </c>
      <c r="G1204" t="n">
        <v>3.8</v>
      </c>
      <c r="H1204" t="n">
        <v>0</v>
      </c>
      <c r="I1204" t="n">
        <v>0</v>
      </c>
      <c r="J1204" t="n">
        <v>0</v>
      </c>
      <c r="K1204" t="n">
        <v>0</v>
      </c>
      <c r="L1204" t="n">
        <v>0</v>
      </c>
      <c r="M1204" t="n">
        <v>0</v>
      </c>
      <c r="N1204" t="n">
        <v>0</v>
      </c>
      <c r="O1204" t="n">
        <v>0</v>
      </c>
      <c r="P1204" t="n">
        <v>0</v>
      </c>
      <c r="Q1204" t="n">
        <v>0</v>
      </c>
      <c r="R1204" s="2" t="inlineStr"/>
    </row>
    <row r="1205" ht="15" customHeight="1">
      <c r="A1205" t="inlineStr">
        <is>
          <t>A 15663-2020</t>
        </is>
      </c>
      <c r="B1205" s="1" t="n">
        <v>43915</v>
      </c>
      <c r="C1205" s="1" t="n">
        <v>45224</v>
      </c>
      <c r="D1205" t="inlineStr">
        <is>
          <t>STOCKHOLMS LÄN</t>
        </is>
      </c>
      <c r="E1205" t="inlineStr">
        <is>
          <t>NORRTÄLJE</t>
        </is>
      </c>
      <c r="G1205" t="n">
        <v>11.1</v>
      </c>
      <c r="H1205" t="n">
        <v>0</v>
      </c>
      <c r="I1205" t="n">
        <v>0</v>
      </c>
      <c r="J1205" t="n">
        <v>0</v>
      </c>
      <c r="K1205" t="n">
        <v>0</v>
      </c>
      <c r="L1205" t="n">
        <v>0</v>
      </c>
      <c r="M1205" t="n">
        <v>0</v>
      </c>
      <c r="N1205" t="n">
        <v>0</v>
      </c>
      <c r="O1205" t="n">
        <v>0</v>
      </c>
      <c r="P1205" t="n">
        <v>0</v>
      </c>
      <c r="Q1205" t="n">
        <v>0</v>
      </c>
      <c r="R1205" s="2" t="inlineStr"/>
    </row>
    <row r="1206" ht="15" customHeight="1">
      <c r="A1206" t="inlineStr">
        <is>
          <t>A 15878-2020</t>
        </is>
      </c>
      <c r="B1206" s="1" t="n">
        <v>43915</v>
      </c>
      <c r="C1206" s="1" t="n">
        <v>45224</v>
      </c>
      <c r="D1206" t="inlineStr">
        <is>
          <t>STOCKHOLMS LÄN</t>
        </is>
      </c>
      <c r="E1206" t="inlineStr">
        <is>
          <t>NYKVARN</t>
        </is>
      </c>
      <c r="G1206" t="n">
        <v>1</v>
      </c>
      <c r="H1206" t="n">
        <v>0</v>
      </c>
      <c r="I1206" t="n">
        <v>0</v>
      </c>
      <c r="J1206" t="n">
        <v>0</v>
      </c>
      <c r="K1206" t="n">
        <v>0</v>
      </c>
      <c r="L1206" t="n">
        <v>0</v>
      </c>
      <c r="M1206" t="n">
        <v>0</v>
      </c>
      <c r="N1206" t="n">
        <v>0</v>
      </c>
      <c r="O1206" t="n">
        <v>0</v>
      </c>
      <c r="P1206" t="n">
        <v>0</v>
      </c>
      <c r="Q1206" t="n">
        <v>0</v>
      </c>
      <c r="R1206" s="2" t="inlineStr"/>
    </row>
    <row r="1207" ht="15" customHeight="1">
      <c r="A1207" t="inlineStr">
        <is>
          <t>A 15756-2020</t>
        </is>
      </c>
      <c r="B1207" s="1" t="n">
        <v>43915</v>
      </c>
      <c r="C1207" s="1" t="n">
        <v>45224</v>
      </c>
      <c r="D1207" t="inlineStr">
        <is>
          <t>STOCKHOLMS LÄN</t>
        </is>
      </c>
      <c r="E1207" t="inlineStr">
        <is>
          <t>EKERÖ</t>
        </is>
      </c>
      <c r="G1207" t="n">
        <v>1.4</v>
      </c>
      <c r="H1207" t="n">
        <v>0</v>
      </c>
      <c r="I1207" t="n">
        <v>0</v>
      </c>
      <c r="J1207" t="n">
        <v>0</v>
      </c>
      <c r="K1207" t="n">
        <v>0</v>
      </c>
      <c r="L1207" t="n">
        <v>0</v>
      </c>
      <c r="M1207" t="n">
        <v>0</v>
      </c>
      <c r="N1207" t="n">
        <v>0</v>
      </c>
      <c r="O1207" t="n">
        <v>0</v>
      </c>
      <c r="P1207" t="n">
        <v>0</v>
      </c>
      <c r="Q1207" t="n">
        <v>0</v>
      </c>
      <c r="R1207" s="2" t="inlineStr"/>
    </row>
    <row r="1208" ht="15" customHeight="1">
      <c r="A1208" t="inlineStr">
        <is>
          <t>A 16048-2020</t>
        </is>
      </c>
      <c r="B1208" s="1" t="n">
        <v>43916</v>
      </c>
      <c r="C1208" s="1" t="n">
        <v>45224</v>
      </c>
      <c r="D1208" t="inlineStr">
        <is>
          <t>STOCKHOLMS LÄN</t>
        </is>
      </c>
      <c r="E1208" t="inlineStr">
        <is>
          <t>BOTKYRKA</t>
        </is>
      </c>
      <c r="G1208" t="n">
        <v>4.7</v>
      </c>
      <c r="H1208" t="n">
        <v>0</v>
      </c>
      <c r="I1208" t="n">
        <v>0</v>
      </c>
      <c r="J1208" t="n">
        <v>0</v>
      </c>
      <c r="K1208" t="n">
        <v>0</v>
      </c>
      <c r="L1208" t="n">
        <v>0</v>
      </c>
      <c r="M1208" t="n">
        <v>0</v>
      </c>
      <c r="N1208" t="n">
        <v>0</v>
      </c>
      <c r="O1208" t="n">
        <v>0</v>
      </c>
      <c r="P1208" t="n">
        <v>0</v>
      </c>
      <c r="Q1208" t="n">
        <v>0</v>
      </c>
      <c r="R1208" s="2" t="inlineStr"/>
    </row>
    <row r="1209" ht="15" customHeight="1">
      <c r="A1209" t="inlineStr">
        <is>
          <t>A 16273-2020</t>
        </is>
      </c>
      <c r="B1209" s="1" t="n">
        <v>43917</v>
      </c>
      <c r="C1209" s="1" t="n">
        <v>45224</v>
      </c>
      <c r="D1209" t="inlineStr">
        <is>
          <t>STOCKHOLMS LÄN</t>
        </is>
      </c>
      <c r="E1209" t="inlineStr">
        <is>
          <t>NORRTÄLJE</t>
        </is>
      </c>
      <c r="G1209" t="n">
        <v>1.4</v>
      </c>
      <c r="H1209" t="n">
        <v>0</v>
      </c>
      <c r="I1209" t="n">
        <v>0</v>
      </c>
      <c r="J1209" t="n">
        <v>0</v>
      </c>
      <c r="K1209" t="n">
        <v>0</v>
      </c>
      <c r="L1209" t="n">
        <v>0</v>
      </c>
      <c r="M1209" t="n">
        <v>0</v>
      </c>
      <c r="N1209" t="n">
        <v>0</v>
      </c>
      <c r="O1209" t="n">
        <v>0</v>
      </c>
      <c r="P1209" t="n">
        <v>0</v>
      </c>
      <c r="Q1209" t="n">
        <v>0</v>
      </c>
      <c r="R1209" s="2" t="inlineStr"/>
    </row>
    <row r="1210" ht="15" customHeight="1">
      <c r="A1210" t="inlineStr">
        <is>
          <t>A 17911-2020</t>
        </is>
      </c>
      <c r="B1210" s="1" t="n">
        <v>43924</v>
      </c>
      <c r="C1210" s="1" t="n">
        <v>45224</v>
      </c>
      <c r="D1210" t="inlineStr">
        <is>
          <t>STOCKHOLMS LÄN</t>
        </is>
      </c>
      <c r="E1210" t="inlineStr">
        <is>
          <t>NYKVARN</t>
        </is>
      </c>
      <c r="F1210" t="inlineStr">
        <is>
          <t>Kommuner</t>
        </is>
      </c>
      <c r="G1210" t="n">
        <v>4.1</v>
      </c>
      <c r="H1210" t="n">
        <v>0</v>
      </c>
      <c r="I1210" t="n">
        <v>0</v>
      </c>
      <c r="J1210" t="n">
        <v>0</v>
      </c>
      <c r="K1210" t="n">
        <v>0</v>
      </c>
      <c r="L1210" t="n">
        <v>0</v>
      </c>
      <c r="M1210" t="n">
        <v>0</v>
      </c>
      <c r="N1210" t="n">
        <v>0</v>
      </c>
      <c r="O1210" t="n">
        <v>0</v>
      </c>
      <c r="P1210" t="n">
        <v>0</v>
      </c>
      <c r="Q1210" t="n">
        <v>0</v>
      </c>
      <c r="R1210" s="2" t="inlineStr"/>
    </row>
    <row r="1211" ht="15" customHeight="1">
      <c r="A1211" t="inlineStr">
        <is>
          <t>A 17926-2020</t>
        </is>
      </c>
      <c r="B1211" s="1" t="n">
        <v>43924</v>
      </c>
      <c r="C1211" s="1" t="n">
        <v>45224</v>
      </c>
      <c r="D1211" t="inlineStr">
        <is>
          <t>STOCKHOLMS LÄN</t>
        </is>
      </c>
      <c r="E1211" t="inlineStr">
        <is>
          <t>NYKVARN</t>
        </is>
      </c>
      <c r="F1211" t="inlineStr">
        <is>
          <t>Kommuner</t>
        </is>
      </c>
      <c r="G1211" t="n">
        <v>1.6</v>
      </c>
      <c r="H1211" t="n">
        <v>0</v>
      </c>
      <c r="I1211" t="n">
        <v>0</v>
      </c>
      <c r="J1211" t="n">
        <v>0</v>
      </c>
      <c r="K1211" t="n">
        <v>0</v>
      </c>
      <c r="L1211" t="n">
        <v>0</v>
      </c>
      <c r="M1211" t="n">
        <v>0</v>
      </c>
      <c r="N1211" t="n">
        <v>0</v>
      </c>
      <c r="O1211" t="n">
        <v>0</v>
      </c>
      <c r="P1211" t="n">
        <v>0</v>
      </c>
      <c r="Q1211" t="n">
        <v>0</v>
      </c>
      <c r="R1211" s="2" t="inlineStr"/>
    </row>
    <row r="1212" ht="15" customHeight="1">
      <c r="A1212" t="inlineStr">
        <is>
          <t>A 17965-2020</t>
        </is>
      </c>
      <c r="B1212" s="1" t="n">
        <v>43925</v>
      </c>
      <c r="C1212" s="1" t="n">
        <v>45224</v>
      </c>
      <c r="D1212" t="inlineStr">
        <is>
          <t>STOCKHOLMS LÄN</t>
        </is>
      </c>
      <c r="E1212" t="inlineStr">
        <is>
          <t>NORRTÄLJE</t>
        </is>
      </c>
      <c r="G1212" t="n">
        <v>0.7</v>
      </c>
      <c r="H1212" t="n">
        <v>0</v>
      </c>
      <c r="I1212" t="n">
        <v>0</v>
      </c>
      <c r="J1212" t="n">
        <v>0</v>
      </c>
      <c r="K1212" t="n">
        <v>0</v>
      </c>
      <c r="L1212" t="n">
        <v>0</v>
      </c>
      <c r="M1212" t="n">
        <v>0</v>
      </c>
      <c r="N1212" t="n">
        <v>0</v>
      </c>
      <c r="O1212" t="n">
        <v>0</v>
      </c>
      <c r="P1212" t="n">
        <v>0</v>
      </c>
      <c r="Q1212" t="n">
        <v>0</v>
      </c>
      <c r="R1212" s="2" t="inlineStr"/>
    </row>
    <row r="1213" ht="15" customHeight="1">
      <c r="A1213" t="inlineStr">
        <is>
          <t>A 18821-2020</t>
        </is>
      </c>
      <c r="B1213" s="1" t="n">
        <v>43935</v>
      </c>
      <c r="C1213" s="1" t="n">
        <v>45224</v>
      </c>
      <c r="D1213" t="inlineStr">
        <is>
          <t>STOCKHOLMS LÄN</t>
        </is>
      </c>
      <c r="E1213" t="inlineStr">
        <is>
          <t>SALEM</t>
        </is>
      </c>
      <c r="G1213" t="n">
        <v>5.7</v>
      </c>
      <c r="H1213" t="n">
        <v>0</v>
      </c>
      <c r="I1213" t="n">
        <v>0</v>
      </c>
      <c r="J1213" t="n">
        <v>0</v>
      </c>
      <c r="K1213" t="n">
        <v>0</v>
      </c>
      <c r="L1213" t="n">
        <v>0</v>
      </c>
      <c r="M1213" t="n">
        <v>0</v>
      </c>
      <c r="N1213" t="n">
        <v>0</v>
      </c>
      <c r="O1213" t="n">
        <v>0</v>
      </c>
      <c r="P1213" t="n">
        <v>0</v>
      </c>
      <c r="Q1213" t="n">
        <v>0</v>
      </c>
      <c r="R1213" s="2" t="inlineStr"/>
    </row>
    <row r="1214" ht="15" customHeight="1">
      <c r="A1214" t="inlineStr">
        <is>
          <t>A 19258-2020</t>
        </is>
      </c>
      <c r="B1214" s="1" t="n">
        <v>43937</v>
      </c>
      <c r="C1214" s="1" t="n">
        <v>45224</v>
      </c>
      <c r="D1214" t="inlineStr">
        <is>
          <t>STOCKHOLMS LÄN</t>
        </is>
      </c>
      <c r="E1214" t="inlineStr">
        <is>
          <t>NORRTÄLJE</t>
        </is>
      </c>
      <c r="F1214" t="inlineStr">
        <is>
          <t>Övriga statliga verk och myndigheter</t>
        </is>
      </c>
      <c r="G1214" t="n">
        <v>2.9</v>
      </c>
      <c r="H1214" t="n">
        <v>0</v>
      </c>
      <c r="I1214" t="n">
        <v>0</v>
      </c>
      <c r="J1214" t="n">
        <v>0</v>
      </c>
      <c r="K1214" t="n">
        <v>0</v>
      </c>
      <c r="L1214" t="n">
        <v>0</v>
      </c>
      <c r="M1214" t="n">
        <v>0</v>
      </c>
      <c r="N1214" t="n">
        <v>0</v>
      </c>
      <c r="O1214" t="n">
        <v>0</v>
      </c>
      <c r="P1214" t="n">
        <v>0</v>
      </c>
      <c r="Q1214" t="n">
        <v>0</v>
      </c>
      <c r="R1214" s="2" t="inlineStr"/>
    </row>
    <row r="1215" ht="15" customHeight="1">
      <c r="A1215" t="inlineStr">
        <is>
          <t>A 19863-2020</t>
        </is>
      </c>
      <c r="B1215" s="1" t="n">
        <v>43942</v>
      </c>
      <c r="C1215" s="1" t="n">
        <v>45224</v>
      </c>
      <c r="D1215" t="inlineStr">
        <is>
          <t>STOCKHOLMS LÄN</t>
        </is>
      </c>
      <c r="E1215" t="inlineStr">
        <is>
          <t>VALLENTUNA</t>
        </is>
      </c>
      <c r="G1215" t="n">
        <v>1.7</v>
      </c>
      <c r="H1215" t="n">
        <v>0</v>
      </c>
      <c r="I1215" t="n">
        <v>0</v>
      </c>
      <c r="J1215" t="n">
        <v>0</v>
      </c>
      <c r="K1215" t="n">
        <v>0</v>
      </c>
      <c r="L1215" t="n">
        <v>0</v>
      </c>
      <c r="M1215" t="n">
        <v>0</v>
      </c>
      <c r="N1215" t="n">
        <v>0</v>
      </c>
      <c r="O1215" t="n">
        <v>0</v>
      </c>
      <c r="P1215" t="n">
        <v>0</v>
      </c>
      <c r="Q1215" t="n">
        <v>0</v>
      </c>
      <c r="R1215" s="2" t="inlineStr"/>
    </row>
    <row r="1216" ht="15" customHeight="1">
      <c r="A1216" t="inlineStr">
        <is>
          <t>A 20257-2020</t>
        </is>
      </c>
      <c r="B1216" s="1" t="n">
        <v>43944</v>
      </c>
      <c r="C1216" s="1" t="n">
        <v>45224</v>
      </c>
      <c r="D1216" t="inlineStr">
        <is>
          <t>STOCKHOLMS LÄN</t>
        </is>
      </c>
      <c r="E1216" t="inlineStr">
        <is>
          <t>NORRTÄLJE</t>
        </is>
      </c>
      <c r="G1216" t="n">
        <v>80.09999999999999</v>
      </c>
      <c r="H1216" t="n">
        <v>0</v>
      </c>
      <c r="I1216" t="n">
        <v>0</v>
      </c>
      <c r="J1216" t="n">
        <v>0</v>
      </c>
      <c r="K1216" t="n">
        <v>0</v>
      </c>
      <c r="L1216" t="n">
        <v>0</v>
      </c>
      <c r="M1216" t="n">
        <v>0</v>
      </c>
      <c r="N1216" t="n">
        <v>0</v>
      </c>
      <c r="O1216" t="n">
        <v>0</v>
      </c>
      <c r="P1216" t="n">
        <v>0</v>
      </c>
      <c r="Q1216" t="n">
        <v>0</v>
      </c>
      <c r="R1216" s="2" t="inlineStr"/>
    </row>
    <row r="1217" ht="15" customHeight="1">
      <c r="A1217" t="inlineStr">
        <is>
          <t>A 20196-2020</t>
        </is>
      </c>
      <c r="B1217" s="1" t="n">
        <v>43944</v>
      </c>
      <c r="C1217" s="1" t="n">
        <v>45224</v>
      </c>
      <c r="D1217" t="inlineStr">
        <is>
          <t>STOCKHOLMS LÄN</t>
        </is>
      </c>
      <c r="E1217" t="inlineStr">
        <is>
          <t>SÖDERTÄLJE</t>
        </is>
      </c>
      <c r="G1217" t="n">
        <v>4</v>
      </c>
      <c r="H1217" t="n">
        <v>0</v>
      </c>
      <c r="I1217" t="n">
        <v>0</v>
      </c>
      <c r="J1217" t="n">
        <v>0</v>
      </c>
      <c r="K1217" t="n">
        <v>0</v>
      </c>
      <c r="L1217" t="n">
        <v>0</v>
      </c>
      <c r="M1217" t="n">
        <v>0</v>
      </c>
      <c r="N1217" t="n">
        <v>0</v>
      </c>
      <c r="O1217" t="n">
        <v>0</v>
      </c>
      <c r="P1217" t="n">
        <v>0</v>
      </c>
      <c r="Q1217" t="n">
        <v>0</v>
      </c>
      <c r="R1217" s="2" t="inlineStr"/>
    </row>
    <row r="1218" ht="15" customHeight="1">
      <c r="A1218" t="inlineStr">
        <is>
          <t>A 20571-2020</t>
        </is>
      </c>
      <c r="B1218" s="1" t="n">
        <v>43948</v>
      </c>
      <c r="C1218" s="1" t="n">
        <v>45224</v>
      </c>
      <c r="D1218" t="inlineStr">
        <is>
          <t>STOCKHOLMS LÄN</t>
        </is>
      </c>
      <c r="E1218" t="inlineStr">
        <is>
          <t>SIGTUNA</t>
        </is>
      </c>
      <c r="G1218" t="n">
        <v>2.9</v>
      </c>
      <c r="H1218" t="n">
        <v>0</v>
      </c>
      <c r="I1218" t="n">
        <v>0</v>
      </c>
      <c r="J1218" t="n">
        <v>0</v>
      </c>
      <c r="K1218" t="n">
        <v>0</v>
      </c>
      <c r="L1218" t="n">
        <v>0</v>
      </c>
      <c r="M1218" t="n">
        <v>0</v>
      </c>
      <c r="N1218" t="n">
        <v>0</v>
      </c>
      <c r="O1218" t="n">
        <v>0</v>
      </c>
      <c r="P1218" t="n">
        <v>0</v>
      </c>
      <c r="Q1218" t="n">
        <v>0</v>
      </c>
      <c r="R1218" s="2" t="inlineStr"/>
    </row>
    <row r="1219" ht="15" customHeight="1">
      <c r="A1219" t="inlineStr">
        <is>
          <t>A 20600-2020</t>
        </is>
      </c>
      <c r="B1219" s="1" t="n">
        <v>43948</v>
      </c>
      <c r="C1219" s="1" t="n">
        <v>45224</v>
      </c>
      <c r="D1219" t="inlineStr">
        <is>
          <t>STOCKHOLMS LÄN</t>
        </is>
      </c>
      <c r="E1219" t="inlineStr">
        <is>
          <t>NYNÄSHAMN</t>
        </is>
      </c>
      <c r="G1219" t="n">
        <v>1.9</v>
      </c>
      <c r="H1219" t="n">
        <v>0</v>
      </c>
      <c r="I1219" t="n">
        <v>0</v>
      </c>
      <c r="J1219" t="n">
        <v>0</v>
      </c>
      <c r="K1219" t="n">
        <v>0</v>
      </c>
      <c r="L1219" t="n">
        <v>0</v>
      </c>
      <c r="M1219" t="n">
        <v>0</v>
      </c>
      <c r="N1219" t="n">
        <v>0</v>
      </c>
      <c r="O1219" t="n">
        <v>0</v>
      </c>
      <c r="P1219" t="n">
        <v>0</v>
      </c>
      <c r="Q1219" t="n">
        <v>0</v>
      </c>
      <c r="R1219" s="2" t="inlineStr"/>
    </row>
    <row r="1220" ht="15" customHeight="1">
      <c r="A1220" t="inlineStr">
        <is>
          <t>A 20673-2020</t>
        </is>
      </c>
      <c r="B1220" s="1" t="n">
        <v>43949</v>
      </c>
      <c r="C1220" s="1" t="n">
        <v>45224</v>
      </c>
      <c r="D1220" t="inlineStr">
        <is>
          <t>STOCKHOLMS LÄN</t>
        </is>
      </c>
      <c r="E1220" t="inlineStr">
        <is>
          <t>NYNÄSHAMN</t>
        </is>
      </c>
      <c r="G1220" t="n">
        <v>1.5</v>
      </c>
      <c r="H1220" t="n">
        <v>0</v>
      </c>
      <c r="I1220" t="n">
        <v>0</v>
      </c>
      <c r="J1220" t="n">
        <v>0</v>
      </c>
      <c r="K1220" t="n">
        <v>0</v>
      </c>
      <c r="L1220" t="n">
        <v>0</v>
      </c>
      <c r="M1220" t="n">
        <v>0</v>
      </c>
      <c r="N1220" t="n">
        <v>0</v>
      </c>
      <c r="O1220" t="n">
        <v>0</v>
      </c>
      <c r="P1220" t="n">
        <v>0</v>
      </c>
      <c r="Q1220" t="n">
        <v>0</v>
      </c>
      <c r="R1220" s="2" t="inlineStr"/>
    </row>
    <row r="1221" ht="15" customHeight="1">
      <c r="A1221" t="inlineStr">
        <is>
          <t>A 21628-2020</t>
        </is>
      </c>
      <c r="B1221" s="1" t="n">
        <v>43956</v>
      </c>
      <c r="C1221" s="1" t="n">
        <v>45224</v>
      </c>
      <c r="D1221" t="inlineStr">
        <is>
          <t>STOCKHOLMS LÄN</t>
        </is>
      </c>
      <c r="E1221" t="inlineStr">
        <is>
          <t>NYKVARN</t>
        </is>
      </c>
      <c r="G1221" t="n">
        <v>1.5</v>
      </c>
      <c r="H1221" t="n">
        <v>0</v>
      </c>
      <c r="I1221" t="n">
        <v>0</v>
      </c>
      <c r="J1221" t="n">
        <v>0</v>
      </c>
      <c r="K1221" t="n">
        <v>0</v>
      </c>
      <c r="L1221" t="n">
        <v>0</v>
      </c>
      <c r="M1221" t="n">
        <v>0</v>
      </c>
      <c r="N1221" t="n">
        <v>0</v>
      </c>
      <c r="O1221" t="n">
        <v>0</v>
      </c>
      <c r="P1221" t="n">
        <v>0</v>
      </c>
      <c r="Q1221" t="n">
        <v>0</v>
      </c>
      <c r="R1221" s="2" t="inlineStr"/>
    </row>
    <row r="1222" ht="15" customHeight="1">
      <c r="A1222" t="inlineStr">
        <is>
          <t>A 21645-2020</t>
        </is>
      </c>
      <c r="B1222" s="1" t="n">
        <v>43956</v>
      </c>
      <c r="C1222" s="1" t="n">
        <v>45224</v>
      </c>
      <c r="D1222" t="inlineStr">
        <is>
          <t>STOCKHOLMS LÄN</t>
        </is>
      </c>
      <c r="E1222" t="inlineStr">
        <is>
          <t>BOTKYRKA</t>
        </is>
      </c>
      <c r="G1222" t="n">
        <v>2.4</v>
      </c>
      <c r="H1222" t="n">
        <v>0</v>
      </c>
      <c r="I1222" t="n">
        <v>0</v>
      </c>
      <c r="J1222" t="n">
        <v>0</v>
      </c>
      <c r="K1222" t="n">
        <v>0</v>
      </c>
      <c r="L1222" t="n">
        <v>0</v>
      </c>
      <c r="M1222" t="n">
        <v>0</v>
      </c>
      <c r="N1222" t="n">
        <v>0</v>
      </c>
      <c r="O1222" t="n">
        <v>0</v>
      </c>
      <c r="P1222" t="n">
        <v>0</v>
      </c>
      <c r="Q1222" t="n">
        <v>0</v>
      </c>
      <c r="R1222" s="2" t="inlineStr"/>
    </row>
    <row r="1223" ht="15" customHeight="1">
      <c r="A1223" t="inlineStr">
        <is>
          <t>A 21634-2020</t>
        </is>
      </c>
      <c r="B1223" s="1" t="n">
        <v>43956</v>
      </c>
      <c r="C1223" s="1" t="n">
        <v>45224</v>
      </c>
      <c r="D1223" t="inlineStr">
        <is>
          <t>STOCKHOLMS LÄN</t>
        </is>
      </c>
      <c r="E1223" t="inlineStr">
        <is>
          <t>NYKVARN</t>
        </is>
      </c>
      <c r="G1223" t="n">
        <v>1.4</v>
      </c>
      <c r="H1223" t="n">
        <v>0</v>
      </c>
      <c r="I1223" t="n">
        <v>0</v>
      </c>
      <c r="J1223" t="n">
        <v>0</v>
      </c>
      <c r="K1223" t="n">
        <v>0</v>
      </c>
      <c r="L1223" t="n">
        <v>0</v>
      </c>
      <c r="M1223" t="n">
        <v>0</v>
      </c>
      <c r="N1223" t="n">
        <v>0</v>
      </c>
      <c r="O1223" t="n">
        <v>0</v>
      </c>
      <c r="P1223" t="n">
        <v>0</v>
      </c>
      <c r="Q1223" t="n">
        <v>0</v>
      </c>
      <c r="R1223" s="2" t="inlineStr"/>
    </row>
    <row r="1224" ht="15" customHeight="1">
      <c r="A1224" t="inlineStr">
        <is>
          <t>A 21875-2020</t>
        </is>
      </c>
      <c r="B1224" s="1" t="n">
        <v>43958</v>
      </c>
      <c r="C1224" s="1" t="n">
        <v>45224</v>
      </c>
      <c r="D1224" t="inlineStr">
        <is>
          <t>STOCKHOLMS LÄN</t>
        </is>
      </c>
      <c r="E1224" t="inlineStr">
        <is>
          <t>NORRTÄLJE</t>
        </is>
      </c>
      <c r="G1224" t="n">
        <v>0.9</v>
      </c>
      <c r="H1224" t="n">
        <v>0</v>
      </c>
      <c r="I1224" t="n">
        <v>0</v>
      </c>
      <c r="J1224" t="n">
        <v>0</v>
      </c>
      <c r="K1224" t="n">
        <v>0</v>
      </c>
      <c r="L1224" t="n">
        <v>0</v>
      </c>
      <c r="M1224" t="n">
        <v>0</v>
      </c>
      <c r="N1224" t="n">
        <v>0</v>
      </c>
      <c r="O1224" t="n">
        <v>0</v>
      </c>
      <c r="P1224" t="n">
        <v>0</v>
      </c>
      <c r="Q1224" t="n">
        <v>0</v>
      </c>
      <c r="R1224" s="2" t="inlineStr"/>
    </row>
    <row r="1225" ht="15" customHeight="1">
      <c r="A1225" t="inlineStr">
        <is>
          <t>A 21849-2020</t>
        </is>
      </c>
      <c r="B1225" s="1" t="n">
        <v>43958</v>
      </c>
      <c r="C1225" s="1" t="n">
        <v>45224</v>
      </c>
      <c r="D1225" t="inlineStr">
        <is>
          <t>STOCKHOLMS LÄN</t>
        </is>
      </c>
      <c r="E1225" t="inlineStr">
        <is>
          <t>NORRTÄLJE</t>
        </is>
      </c>
      <c r="G1225" t="n">
        <v>2.1</v>
      </c>
      <c r="H1225" t="n">
        <v>0</v>
      </c>
      <c r="I1225" t="n">
        <v>0</v>
      </c>
      <c r="J1225" t="n">
        <v>0</v>
      </c>
      <c r="K1225" t="n">
        <v>0</v>
      </c>
      <c r="L1225" t="n">
        <v>0</v>
      </c>
      <c r="M1225" t="n">
        <v>0</v>
      </c>
      <c r="N1225" t="n">
        <v>0</v>
      </c>
      <c r="O1225" t="n">
        <v>0</v>
      </c>
      <c r="P1225" t="n">
        <v>0</v>
      </c>
      <c r="Q1225" t="n">
        <v>0</v>
      </c>
      <c r="R1225" s="2" t="inlineStr"/>
    </row>
    <row r="1226" ht="15" customHeight="1">
      <c r="A1226" t="inlineStr">
        <is>
          <t>A 23098-2020</t>
        </is>
      </c>
      <c r="B1226" s="1" t="n">
        <v>43965</v>
      </c>
      <c r="C1226" s="1" t="n">
        <v>45224</v>
      </c>
      <c r="D1226" t="inlineStr">
        <is>
          <t>STOCKHOLMS LÄN</t>
        </is>
      </c>
      <c r="E1226" t="inlineStr">
        <is>
          <t>SIGTUNA</t>
        </is>
      </c>
      <c r="G1226" t="n">
        <v>8.6</v>
      </c>
      <c r="H1226" t="n">
        <v>0</v>
      </c>
      <c r="I1226" t="n">
        <v>0</v>
      </c>
      <c r="J1226" t="n">
        <v>0</v>
      </c>
      <c r="K1226" t="n">
        <v>0</v>
      </c>
      <c r="L1226" t="n">
        <v>0</v>
      </c>
      <c r="M1226" t="n">
        <v>0</v>
      </c>
      <c r="N1226" t="n">
        <v>0</v>
      </c>
      <c r="O1226" t="n">
        <v>0</v>
      </c>
      <c r="P1226" t="n">
        <v>0</v>
      </c>
      <c r="Q1226" t="n">
        <v>0</v>
      </c>
      <c r="R1226" s="2" t="inlineStr"/>
    </row>
    <row r="1227" ht="15" customHeight="1">
      <c r="A1227" t="inlineStr">
        <is>
          <t>A 23363-2020</t>
        </is>
      </c>
      <c r="B1227" s="1" t="n">
        <v>43967</v>
      </c>
      <c r="C1227" s="1" t="n">
        <v>45224</v>
      </c>
      <c r="D1227" t="inlineStr">
        <is>
          <t>STOCKHOLMS LÄN</t>
        </is>
      </c>
      <c r="E1227" t="inlineStr">
        <is>
          <t>NYNÄSHAMN</t>
        </is>
      </c>
      <c r="F1227" t="inlineStr">
        <is>
          <t>Kommuner</t>
        </is>
      </c>
      <c r="G1227" t="n">
        <v>0.6</v>
      </c>
      <c r="H1227" t="n">
        <v>0</v>
      </c>
      <c r="I1227" t="n">
        <v>0</v>
      </c>
      <c r="J1227" t="n">
        <v>0</v>
      </c>
      <c r="K1227" t="n">
        <v>0</v>
      </c>
      <c r="L1227" t="n">
        <v>0</v>
      </c>
      <c r="M1227" t="n">
        <v>0</v>
      </c>
      <c r="N1227" t="n">
        <v>0</v>
      </c>
      <c r="O1227" t="n">
        <v>0</v>
      </c>
      <c r="P1227" t="n">
        <v>0</v>
      </c>
      <c r="Q1227" t="n">
        <v>0</v>
      </c>
      <c r="R1227" s="2" t="inlineStr"/>
    </row>
    <row r="1228" ht="15" customHeight="1">
      <c r="A1228" t="inlineStr">
        <is>
          <t>A 23364-2020</t>
        </is>
      </c>
      <c r="B1228" s="1" t="n">
        <v>43967</v>
      </c>
      <c r="C1228" s="1" t="n">
        <v>45224</v>
      </c>
      <c r="D1228" t="inlineStr">
        <is>
          <t>STOCKHOLMS LÄN</t>
        </is>
      </c>
      <c r="E1228" t="inlineStr">
        <is>
          <t>NYNÄSHAMN</t>
        </is>
      </c>
      <c r="F1228" t="inlineStr">
        <is>
          <t>Kommuner</t>
        </is>
      </c>
      <c r="G1228" t="n">
        <v>0.8</v>
      </c>
      <c r="H1228" t="n">
        <v>0</v>
      </c>
      <c r="I1228" t="n">
        <v>0</v>
      </c>
      <c r="J1228" t="n">
        <v>0</v>
      </c>
      <c r="K1228" t="n">
        <v>0</v>
      </c>
      <c r="L1228" t="n">
        <v>0</v>
      </c>
      <c r="M1228" t="n">
        <v>0</v>
      </c>
      <c r="N1228" t="n">
        <v>0</v>
      </c>
      <c r="O1228" t="n">
        <v>0</v>
      </c>
      <c r="P1228" t="n">
        <v>0</v>
      </c>
      <c r="Q1228" t="n">
        <v>0</v>
      </c>
      <c r="R1228" s="2" t="inlineStr"/>
    </row>
    <row r="1229" ht="15" customHeight="1">
      <c r="A1229" t="inlineStr">
        <is>
          <t>A 23426-2020</t>
        </is>
      </c>
      <c r="B1229" s="1" t="n">
        <v>43969</v>
      </c>
      <c r="C1229" s="1" t="n">
        <v>45224</v>
      </c>
      <c r="D1229" t="inlineStr">
        <is>
          <t>STOCKHOLMS LÄN</t>
        </is>
      </c>
      <c r="E1229" t="inlineStr">
        <is>
          <t>BOTKYRKA</t>
        </is>
      </c>
      <c r="G1229" t="n">
        <v>1</v>
      </c>
      <c r="H1229" t="n">
        <v>0</v>
      </c>
      <c r="I1229" t="n">
        <v>0</v>
      </c>
      <c r="J1229" t="n">
        <v>0</v>
      </c>
      <c r="K1229" t="n">
        <v>0</v>
      </c>
      <c r="L1229" t="n">
        <v>0</v>
      </c>
      <c r="M1229" t="n">
        <v>0</v>
      </c>
      <c r="N1229" t="n">
        <v>0</v>
      </c>
      <c r="O1229" t="n">
        <v>0</v>
      </c>
      <c r="P1229" t="n">
        <v>0</v>
      </c>
      <c r="Q1229" t="n">
        <v>0</v>
      </c>
      <c r="R1229" s="2" t="inlineStr"/>
    </row>
    <row r="1230" ht="15" customHeight="1">
      <c r="A1230" t="inlineStr">
        <is>
          <t>A 23442-2020</t>
        </is>
      </c>
      <c r="B1230" s="1" t="n">
        <v>43969</v>
      </c>
      <c r="C1230" s="1" t="n">
        <v>45224</v>
      </c>
      <c r="D1230" t="inlineStr">
        <is>
          <t>STOCKHOLMS LÄN</t>
        </is>
      </c>
      <c r="E1230" t="inlineStr">
        <is>
          <t>NYNÄSHAMN</t>
        </is>
      </c>
      <c r="F1230" t="inlineStr">
        <is>
          <t>Kommuner</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23447-2020</t>
        </is>
      </c>
      <c r="B1231" s="1" t="n">
        <v>43969</v>
      </c>
      <c r="C1231" s="1" t="n">
        <v>45224</v>
      </c>
      <c r="D1231" t="inlineStr">
        <is>
          <t>STOCKHOLMS LÄN</t>
        </is>
      </c>
      <c r="E1231" t="inlineStr">
        <is>
          <t>NYNÄSHAMN</t>
        </is>
      </c>
      <c r="F1231" t="inlineStr">
        <is>
          <t>Kommuner</t>
        </is>
      </c>
      <c r="G1231" t="n">
        <v>1</v>
      </c>
      <c r="H1231" t="n">
        <v>0</v>
      </c>
      <c r="I1231" t="n">
        <v>0</v>
      </c>
      <c r="J1231" t="n">
        <v>0</v>
      </c>
      <c r="K1231" t="n">
        <v>0</v>
      </c>
      <c r="L1231" t="n">
        <v>0</v>
      </c>
      <c r="M1231" t="n">
        <v>0</v>
      </c>
      <c r="N1231" t="n">
        <v>0</v>
      </c>
      <c r="O1231" t="n">
        <v>0</v>
      </c>
      <c r="P1231" t="n">
        <v>0</v>
      </c>
      <c r="Q1231" t="n">
        <v>0</v>
      </c>
      <c r="R1231" s="2" t="inlineStr"/>
    </row>
    <row r="1232" ht="15" customHeight="1">
      <c r="A1232" t="inlineStr">
        <is>
          <t>A 23751-2020</t>
        </is>
      </c>
      <c r="B1232" s="1" t="n">
        <v>43970</v>
      </c>
      <c r="C1232" s="1" t="n">
        <v>45224</v>
      </c>
      <c r="D1232" t="inlineStr">
        <is>
          <t>STOCKHOLMS LÄN</t>
        </is>
      </c>
      <c r="E1232" t="inlineStr">
        <is>
          <t>NORRTÄLJE</t>
        </is>
      </c>
      <c r="G1232" t="n">
        <v>5.6</v>
      </c>
      <c r="H1232" t="n">
        <v>0</v>
      </c>
      <c r="I1232" t="n">
        <v>0</v>
      </c>
      <c r="J1232" t="n">
        <v>0</v>
      </c>
      <c r="K1232" t="n">
        <v>0</v>
      </c>
      <c r="L1232" t="n">
        <v>0</v>
      </c>
      <c r="M1232" t="n">
        <v>0</v>
      </c>
      <c r="N1232" t="n">
        <v>0</v>
      </c>
      <c r="O1232" t="n">
        <v>0</v>
      </c>
      <c r="P1232" t="n">
        <v>0</v>
      </c>
      <c r="Q1232" t="n">
        <v>0</v>
      </c>
      <c r="R1232" s="2" t="inlineStr"/>
    </row>
    <row r="1233" ht="15" customHeight="1">
      <c r="A1233" t="inlineStr">
        <is>
          <t>A 24136-2020</t>
        </is>
      </c>
      <c r="B1233" s="1" t="n">
        <v>43973</v>
      </c>
      <c r="C1233" s="1" t="n">
        <v>45224</v>
      </c>
      <c r="D1233" t="inlineStr">
        <is>
          <t>STOCKHOLMS LÄN</t>
        </is>
      </c>
      <c r="E1233" t="inlineStr">
        <is>
          <t>NORRTÄLJE</t>
        </is>
      </c>
      <c r="G1233" t="n">
        <v>4.1</v>
      </c>
      <c r="H1233" t="n">
        <v>0</v>
      </c>
      <c r="I1233" t="n">
        <v>0</v>
      </c>
      <c r="J1233" t="n">
        <v>0</v>
      </c>
      <c r="K1233" t="n">
        <v>0</v>
      </c>
      <c r="L1233" t="n">
        <v>0</v>
      </c>
      <c r="M1233" t="n">
        <v>0</v>
      </c>
      <c r="N1233" t="n">
        <v>0</v>
      </c>
      <c r="O1233" t="n">
        <v>0</v>
      </c>
      <c r="P1233" t="n">
        <v>0</v>
      </c>
      <c r="Q1233" t="n">
        <v>0</v>
      </c>
      <c r="R1233" s="2" t="inlineStr"/>
    </row>
    <row r="1234" ht="15" customHeight="1">
      <c r="A1234" t="inlineStr">
        <is>
          <t>A 25575-2020</t>
        </is>
      </c>
      <c r="B1234" s="1" t="n">
        <v>43983</v>
      </c>
      <c r="C1234" s="1" t="n">
        <v>45224</v>
      </c>
      <c r="D1234" t="inlineStr">
        <is>
          <t>STOCKHOLMS LÄN</t>
        </is>
      </c>
      <c r="E1234" t="inlineStr">
        <is>
          <t>VALLENTUNA</t>
        </is>
      </c>
      <c r="G1234" t="n">
        <v>6</v>
      </c>
      <c r="H1234" t="n">
        <v>0</v>
      </c>
      <c r="I1234" t="n">
        <v>0</v>
      </c>
      <c r="J1234" t="n">
        <v>0</v>
      </c>
      <c r="K1234" t="n">
        <v>0</v>
      </c>
      <c r="L1234" t="n">
        <v>0</v>
      </c>
      <c r="M1234" t="n">
        <v>0</v>
      </c>
      <c r="N1234" t="n">
        <v>0</v>
      </c>
      <c r="O1234" t="n">
        <v>0</v>
      </c>
      <c r="P1234" t="n">
        <v>0</v>
      </c>
      <c r="Q1234" t="n">
        <v>0</v>
      </c>
      <c r="R1234" s="2" t="inlineStr"/>
    </row>
    <row r="1235" ht="15" customHeight="1">
      <c r="A1235" t="inlineStr">
        <is>
          <t>A 25589-2020</t>
        </is>
      </c>
      <c r="B1235" s="1" t="n">
        <v>43983</v>
      </c>
      <c r="C1235" s="1" t="n">
        <v>45224</v>
      </c>
      <c r="D1235" t="inlineStr">
        <is>
          <t>STOCKHOLMS LÄN</t>
        </is>
      </c>
      <c r="E1235" t="inlineStr">
        <is>
          <t>NORRTÄLJE</t>
        </is>
      </c>
      <c r="G1235" t="n">
        <v>1.1</v>
      </c>
      <c r="H1235" t="n">
        <v>0</v>
      </c>
      <c r="I1235" t="n">
        <v>0</v>
      </c>
      <c r="J1235" t="n">
        <v>0</v>
      </c>
      <c r="K1235" t="n">
        <v>0</v>
      </c>
      <c r="L1235" t="n">
        <v>0</v>
      </c>
      <c r="M1235" t="n">
        <v>0</v>
      </c>
      <c r="N1235" t="n">
        <v>0</v>
      </c>
      <c r="O1235" t="n">
        <v>0</v>
      </c>
      <c r="P1235" t="n">
        <v>0</v>
      </c>
      <c r="Q1235" t="n">
        <v>0</v>
      </c>
      <c r="R1235" s="2" t="inlineStr"/>
    </row>
    <row r="1236" ht="15" customHeight="1">
      <c r="A1236" t="inlineStr">
        <is>
          <t>A 25584-2020</t>
        </is>
      </c>
      <c r="B1236" s="1" t="n">
        <v>43983</v>
      </c>
      <c r="C1236" s="1" t="n">
        <v>45224</v>
      </c>
      <c r="D1236" t="inlineStr">
        <is>
          <t>STOCKHOLMS LÄN</t>
        </is>
      </c>
      <c r="E1236" t="inlineStr">
        <is>
          <t>NORRTÄLJE</t>
        </is>
      </c>
      <c r="G1236" t="n">
        <v>2</v>
      </c>
      <c r="H1236" t="n">
        <v>0</v>
      </c>
      <c r="I1236" t="n">
        <v>0</v>
      </c>
      <c r="J1236" t="n">
        <v>0</v>
      </c>
      <c r="K1236" t="n">
        <v>0</v>
      </c>
      <c r="L1236" t="n">
        <v>0</v>
      </c>
      <c r="M1236" t="n">
        <v>0</v>
      </c>
      <c r="N1236" t="n">
        <v>0</v>
      </c>
      <c r="O1236" t="n">
        <v>0</v>
      </c>
      <c r="P1236" t="n">
        <v>0</v>
      </c>
      <c r="Q1236" t="n">
        <v>0</v>
      </c>
      <c r="R1236" s="2" t="inlineStr"/>
    </row>
    <row r="1237" ht="15" customHeight="1">
      <c r="A1237" t="inlineStr">
        <is>
          <t>A 25897-2020</t>
        </is>
      </c>
      <c r="B1237" s="1" t="n">
        <v>43984</v>
      </c>
      <c r="C1237" s="1" t="n">
        <v>45224</v>
      </c>
      <c r="D1237" t="inlineStr">
        <is>
          <t>STOCKHOLMS LÄN</t>
        </is>
      </c>
      <c r="E1237" t="inlineStr">
        <is>
          <t>NORRTÄLJE</t>
        </is>
      </c>
      <c r="G1237" t="n">
        <v>1</v>
      </c>
      <c r="H1237" t="n">
        <v>0</v>
      </c>
      <c r="I1237" t="n">
        <v>0</v>
      </c>
      <c r="J1237" t="n">
        <v>0</v>
      </c>
      <c r="K1237" t="n">
        <v>0</v>
      </c>
      <c r="L1237" t="n">
        <v>0</v>
      </c>
      <c r="M1237" t="n">
        <v>0</v>
      </c>
      <c r="N1237" t="n">
        <v>0</v>
      </c>
      <c r="O1237" t="n">
        <v>0</v>
      </c>
      <c r="P1237" t="n">
        <v>0</v>
      </c>
      <c r="Q1237" t="n">
        <v>0</v>
      </c>
      <c r="R1237" s="2" t="inlineStr"/>
    </row>
    <row r="1238" ht="15" customHeight="1">
      <c r="A1238" t="inlineStr">
        <is>
          <t>A 25745-2020</t>
        </is>
      </c>
      <c r="B1238" s="1" t="n">
        <v>43984</v>
      </c>
      <c r="C1238" s="1" t="n">
        <v>45224</v>
      </c>
      <c r="D1238" t="inlineStr">
        <is>
          <t>STOCKHOLMS LÄN</t>
        </is>
      </c>
      <c r="E1238" t="inlineStr">
        <is>
          <t>SIGTUNA</t>
        </is>
      </c>
      <c r="G1238" t="n">
        <v>0.7</v>
      </c>
      <c r="H1238" t="n">
        <v>0</v>
      </c>
      <c r="I1238" t="n">
        <v>0</v>
      </c>
      <c r="J1238" t="n">
        <v>0</v>
      </c>
      <c r="K1238" t="n">
        <v>0</v>
      </c>
      <c r="L1238" t="n">
        <v>0</v>
      </c>
      <c r="M1238" t="n">
        <v>0</v>
      </c>
      <c r="N1238" t="n">
        <v>0</v>
      </c>
      <c r="O1238" t="n">
        <v>0</v>
      </c>
      <c r="P1238" t="n">
        <v>0</v>
      </c>
      <c r="Q1238" t="n">
        <v>0</v>
      </c>
      <c r="R1238" s="2" t="inlineStr"/>
    </row>
    <row r="1239" ht="15" customHeight="1">
      <c r="A1239" t="inlineStr">
        <is>
          <t>A 27278-2020</t>
        </is>
      </c>
      <c r="B1239" s="1" t="n">
        <v>43992</v>
      </c>
      <c r="C1239" s="1" t="n">
        <v>45224</v>
      </c>
      <c r="D1239" t="inlineStr">
        <is>
          <t>STOCKHOLMS LÄN</t>
        </is>
      </c>
      <c r="E1239" t="inlineStr">
        <is>
          <t>SÖDERTÄLJE</t>
        </is>
      </c>
      <c r="G1239" t="n">
        <v>1.5</v>
      </c>
      <c r="H1239" t="n">
        <v>0</v>
      </c>
      <c r="I1239" t="n">
        <v>0</v>
      </c>
      <c r="J1239" t="n">
        <v>0</v>
      </c>
      <c r="K1239" t="n">
        <v>0</v>
      </c>
      <c r="L1239" t="n">
        <v>0</v>
      </c>
      <c r="M1239" t="n">
        <v>0</v>
      </c>
      <c r="N1239" t="n">
        <v>0</v>
      </c>
      <c r="O1239" t="n">
        <v>0</v>
      </c>
      <c r="P1239" t="n">
        <v>0</v>
      </c>
      <c r="Q1239" t="n">
        <v>0</v>
      </c>
      <c r="R1239" s="2" t="inlineStr"/>
    </row>
    <row r="1240" ht="15" customHeight="1">
      <c r="A1240" t="inlineStr">
        <is>
          <t>A 27621-2020</t>
        </is>
      </c>
      <c r="B1240" s="1" t="n">
        <v>43993</v>
      </c>
      <c r="C1240" s="1" t="n">
        <v>45224</v>
      </c>
      <c r="D1240" t="inlineStr">
        <is>
          <t>STOCKHOLMS LÄN</t>
        </is>
      </c>
      <c r="E1240" t="inlineStr">
        <is>
          <t>NYKVARN</t>
        </is>
      </c>
      <c r="G1240" t="n">
        <v>35.8</v>
      </c>
      <c r="H1240" t="n">
        <v>0</v>
      </c>
      <c r="I1240" t="n">
        <v>0</v>
      </c>
      <c r="J1240" t="n">
        <v>0</v>
      </c>
      <c r="K1240" t="n">
        <v>0</v>
      </c>
      <c r="L1240" t="n">
        <v>0</v>
      </c>
      <c r="M1240" t="n">
        <v>0</v>
      </c>
      <c r="N1240" t="n">
        <v>0</v>
      </c>
      <c r="O1240" t="n">
        <v>0</v>
      </c>
      <c r="P1240" t="n">
        <v>0</v>
      </c>
      <c r="Q1240" t="n">
        <v>0</v>
      </c>
      <c r="R1240" s="2" t="inlineStr"/>
    </row>
    <row r="1241" ht="15" customHeight="1">
      <c r="A1241" t="inlineStr">
        <is>
          <t>A 27794-2020</t>
        </is>
      </c>
      <c r="B1241" s="1" t="n">
        <v>43994</v>
      </c>
      <c r="C1241" s="1" t="n">
        <v>45224</v>
      </c>
      <c r="D1241" t="inlineStr">
        <is>
          <t>STOCKHOLMS LÄN</t>
        </is>
      </c>
      <c r="E1241" t="inlineStr">
        <is>
          <t>NYNÄSHAMN</t>
        </is>
      </c>
      <c r="G1241" t="n">
        <v>0.6</v>
      </c>
      <c r="H1241" t="n">
        <v>0</v>
      </c>
      <c r="I1241" t="n">
        <v>0</v>
      </c>
      <c r="J1241" t="n">
        <v>0</v>
      </c>
      <c r="K1241" t="n">
        <v>0</v>
      </c>
      <c r="L1241" t="n">
        <v>0</v>
      </c>
      <c r="M1241" t="n">
        <v>0</v>
      </c>
      <c r="N1241" t="n">
        <v>0</v>
      </c>
      <c r="O1241" t="n">
        <v>0</v>
      </c>
      <c r="P1241" t="n">
        <v>0</v>
      </c>
      <c r="Q1241" t="n">
        <v>0</v>
      </c>
      <c r="R1241" s="2" t="inlineStr"/>
    </row>
    <row r="1242" ht="15" customHeight="1">
      <c r="A1242" t="inlineStr">
        <is>
          <t>A 28663-2020</t>
        </is>
      </c>
      <c r="B1242" s="1" t="n">
        <v>43999</v>
      </c>
      <c r="C1242" s="1" t="n">
        <v>45224</v>
      </c>
      <c r="D1242" t="inlineStr">
        <is>
          <t>STOCKHOLMS LÄN</t>
        </is>
      </c>
      <c r="E1242" t="inlineStr">
        <is>
          <t>SIGTUNA</t>
        </is>
      </c>
      <c r="G1242" t="n">
        <v>2.2</v>
      </c>
      <c r="H1242" t="n">
        <v>0</v>
      </c>
      <c r="I1242" t="n">
        <v>0</v>
      </c>
      <c r="J1242" t="n">
        <v>0</v>
      </c>
      <c r="K1242" t="n">
        <v>0</v>
      </c>
      <c r="L1242" t="n">
        <v>0</v>
      </c>
      <c r="M1242" t="n">
        <v>0</v>
      </c>
      <c r="N1242" t="n">
        <v>0</v>
      </c>
      <c r="O1242" t="n">
        <v>0</v>
      </c>
      <c r="P1242" t="n">
        <v>0</v>
      </c>
      <c r="Q1242" t="n">
        <v>0</v>
      </c>
      <c r="R1242" s="2" t="inlineStr"/>
    </row>
    <row r="1243" ht="15" customHeight="1">
      <c r="A1243" t="inlineStr">
        <is>
          <t>A 28923-2020</t>
        </is>
      </c>
      <c r="B1243" s="1" t="n">
        <v>44000</v>
      </c>
      <c r="C1243" s="1" t="n">
        <v>45224</v>
      </c>
      <c r="D1243" t="inlineStr">
        <is>
          <t>STOCKHOLMS LÄN</t>
        </is>
      </c>
      <c r="E1243" t="inlineStr">
        <is>
          <t>SIGTUNA</t>
        </is>
      </c>
      <c r="G1243" t="n">
        <v>0.4</v>
      </c>
      <c r="H1243" t="n">
        <v>0</v>
      </c>
      <c r="I1243" t="n">
        <v>0</v>
      </c>
      <c r="J1243" t="n">
        <v>0</v>
      </c>
      <c r="K1243" t="n">
        <v>0</v>
      </c>
      <c r="L1243" t="n">
        <v>0</v>
      </c>
      <c r="M1243" t="n">
        <v>0</v>
      </c>
      <c r="N1243" t="n">
        <v>0</v>
      </c>
      <c r="O1243" t="n">
        <v>0</v>
      </c>
      <c r="P1243" t="n">
        <v>0</v>
      </c>
      <c r="Q1243" t="n">
        <v>0</v>
      </c>
      <c r="R1243" s="2" t="inlineStr"/>
    </row>
    <row r="1244" ht="15" customHeight="1">
      <c r="A1244" t="inlineStr">
        <is>
          <t>A 29254-2020</t>
        </is>
      </c>
      <c r="B1244" s="1" t="n">
        <v>44000</v>
      </c>
      <c r="C1244" s="1" t="n">
        <v>45224</v>
      </c>
      <c r="D1244" t="inlineStr">
        <is>
          <t>STOCKHOLMS LÄN</t>
        </is>
      </c>
      <c r="E1244" t="inlineStr">
        <is>
          <t>NYKVARN</t>
        </is>
      </c>
      <c r="F1244" t="inlineStr">
        <is>
          <t>Allmännings- och besparingsskogar</t>
        </is>
      </c>
      <c r="G1244" t="n">
        <v>7.1</v>
      </c>
      <c r="H1244" t="n">
        <v>0</v>
      </c>
      <c r="I1244" t="n">
        <v>0</v>
      </c>
      <c r="J1244" t="n">
        <v>0</v>
      </c>
      <c r="K1244" t="n">
        <v>0</v>
      </c>
      <c r="L1244" t="n">
        <v>0</v>
      </c>
      <c r="M1244" t="n">
        <v>0</v>
      </c>
      <c r="N1244" t="n">
        <v>0</v>
      </c>
      <c r="O1244" t="n">
        <v>0</v>
      </c>
      <c r="P1244" t="n">
        <v>0</v>
      </c>
      <c r="Q1244" t="n">
        <v>0</v>
      </c>
      <c r="R1244" s="2" t="inlineStr"/>
    </row>
    <row r="1245" ht="15" customHeight="1">
      <c r="A1245" t="inlineStr">
        <is>
          <t>A 29113-2020</t>
        </is>
      </c>
      <c r="B1245" s="1" t="n">
        <v>44003</v>
      </c>
      <c r="C1245" s="1" t="n">
        <v>45224</v>
      </c>
      <c r="D1245" t="inlineStr">
        <is>
          <t>STOCKHOLMS LÄN</t>
        </is>
      </c>
      <c r="E1245" t="inlineStr">
        <is>
          <t>NYNÄSHAMN</t>
        </is>
      </c>
      <c r="G1245" t="n">
        <v>2.6</v>
      </c>
      <c r="H1245" t="n">
        <v>0</v>
      </c>
      <c r="I1245" t="n">
        <v>0</v>
      </c>
      <c r="J1245" t="n">
        <v>0</v>
      </c>
      <c r="K1245" t="n">
        <v>0</v>
      </c>
      <c r="L1245" t="n">
        <v>0</v>
      </c>
      <c r="M1245" t="n">
        <v>0</v>
      </c>
      <c r="N1245" t="n">
        <v>0</v>
      </c>
      <c r="O1245" t="n">
        <v>0</v>
      </c>
      <c r="P1245" t="n">
        <v>0</v>
      </c>
      <c r="Q1245" t="n">
        <v>0</v>
      </c>
      <c r="R1245" s="2" t="inlineStr"/>
    </row>
    <row r="1246" ht="15" customHeight="1">
      <c r="A1246" t="inlineStr">
        <is>
          <t>A 30600-2020</t>
        </is>
      </c>
      <c r="B1246" s="1" t="n">
        <v>44008</v>
      </c>
      <c r="C1246" s="1" t="n">
        <v>45224</v>
      </c>
      <c r="D1246" t="inlineStr">
        <is>
          <t>STOCKHOLMS LÄN</t>
        </is>
      </c>
      <c r="E1246" t="inlineStr">
        <is>
          <t>NORRTÄLJE</t>
        </is>
      </c>
      <c r="G1246" t="n">
        <v>3.3</v>
      </c>
      <c r="H1246" t="n">
        <v>0</v>
      </c>
      <c r="I1246" t="n">
        <v>0</v>
      </c>
      <c r="J1246" t="n">
        <v>0</v>
      </c>
      <c r="K1246" t="n">
        <v>0</v>
      </c>
      <c r="L1246" t="n">
        <v>0</v>
      </c>
      <c r="M1246" t="n">
        <v>0</v>
      </c>
      <c r="N1246" t="n">
        <v>0</v>
      </c>
      <c r="O1246" t="n">
        <v>0</v>
      </c>
      <c r="P1246" t="n">
        <v>0</v>
      </c>
      <c r="Q1246" t="n">
        <v>0</v>
      </c>
      <c r="R1246" s="2" t="inlineStr"/>
    </row>
    <row r="1247" ht="15" customHeight="1">
      <c r="A1247" t="inlineStr">
        <is>
          <t>A 31196-2020</t>
        </is>
      </c>
      <c r="B1247" s="1" t="n">
        <v>44012</v>
      </c>
      <c r="C1247" s="1" t="n">
        <v>45224</v>
      </c>
      <c r="D1247" t="inlineStr">
        <is>
          <t>STOCKHOLMS LÄN</t>
        </is>
      </c>
      <c r="E1247" t="inlineStr">
        <is>
          <t>UPPLANDS-BRO</t>
        </is>
      </c>
      <c r="G1247" t="n">
        <v>1.1</v>
      </c>
      <c r="H1247" t="n">
        <v>0</v>
      </c>
      <c r="I1247" t="n">
        <v>0</v>
      </c>
      <c r="J1247" t="n">
        <v>0</v>
      </c>
      <c r="K1247" t="n">
        <v>0</v>
      </c>
      <c r="L1247" t="n">
        <v>0</v>
      </c>
      <c r="M1247" t="n">
        <v>0</v>
      </c>
      <c r="N1247" t="n">
        <v>0</v>
      </c>
      <c r="O1247" t="n">
        <v>0</v>
      </c>
      <c r="P1247" t="n">
        <v>0</v>
      </c>
      <c r="Q1247" t="n">
        <v>0</v>
      </c>
      <c r="R1247" s="2" t="inlineStr"/>
    </row>
    <row r="1248" ht="15" customHeight="1">
      <c r="A1248" t="inlineStr">
        <is>
          <t>A 31783-2020</t>
        </is>
      </c>
      <c r="B1248" s="1" t="n">
        <v>44014</v>
      </c>
      <c r="C1248" s="1" t="n">
        <v>45224</v>
      </c>
      <c r="D1248" t="inlineStr">
        <is>
          <t>STOCKHOLMS LÄN</t>
        </is>
      </c>
      <c r="E1248" t="inlineStr">
        <is>
          <t>NORRTÄLJE</t>
        </is>
      </c>
      <c r="G1248" t="n">
        <v>4.8</v>
      </c>
      <c r="H1248" t="n">
        <v>0</v>
      </c>
      <c r="I1248" t="n">
        <v>0</v>
      </c>
      <c r="J1248" t="n">
        <v>0</v>
      </c>
      <c r="K1248" t="n">
        <v>0</v>
      </c>
      <c r="L1248" t="n">
        <v>0</v>
      </c>
      <c r="M1248" t="n">
        <v>0</v>
      </c>
      <c r="N1248" t="n">
        <v>0</v>
      </c>
      <c r="O1248" t="n">
        <v>0</v>
      </c>
      <c r="P1248" t="n">
        <v>0</v>
      </c>
      <c r="Q1248" t="n">
        <v>0</v>
      </c>
      <c r="R1248" s="2" t="inlineStr"/>
    </row>
    <row r="1249" ht="15" customHeight="1">
      <c r="A1249" t="inlineStr">
        <is>
          <t>A 33881-2020</t>
        </is>
      </c>
      <c r="B1249" s="1" t="n">
        <v>44025</v>
      </c>
      <c r="C1249" s="1" t="n">
        <v>45224</v>
      </c>
      <c r="D1249" t="inlineStr">
        <is>
          <t>STOCKHOLMS LÄN</t>
        </is>
      </c>
      <c r="E1249" t="inlineStr">
        <is>
          <t>BOTKYRKA</t>
        </is>
      </c>
      <c r="G1249" t="n">
        <v>5.9</v>
      </c>
      <c r="H1249" t="n">
        <v>0</v>
      </c>
      <c r="I1249" t="n">
        <v>0</v>
      </c>
      <c r="J1249" t="n">
        <v>0</v>
      </c>
      <c r="K1249" t="n">
        <v>0</v>
      </c>
      <c r="L1249" t="n">
        <v>0</v>
      </c>
      <c r="M1249" t="n">
        <v>0</v>
      </c>
      <c r="N1249" t="n">
        <v>0</v>
      </c>
      <c r="O1249" t="n">
        <v>0</v>
      </c>
      <c r="P1249" t="n">
        <v>0</v>
      </c>
      <c r="Q1249" t="n">
        <v>0</v>
      </c>
      <c r="R1249" s="2" t="inlineStr"/>
    </row>
    <row r="1250" ht="15" customHeight="1">
      <c r="A1250" t="inlineStr">
        <is>
          <t>A 33749-2020</t>
        </is>
      </c>
      <c r="B1250" s="1" t="n">
        <v>44026</v>
      </c>
      <c r="C1250" s="1" t="n">
        <v>45224</v>
      </c>
      <c r="D1250" t="inlineStr">
        <is>
          <t>STOCKHOLMS LÄN</t>
        </is>
      </c>
      <c r="E1250" t="inlineStr">
        <is>
          <t>NORRTÄLJE</t>
        </is>
      </c>
      <c r="F1250" t="inlineStr">
        <is>
          <t>Holmen skog AB</t>
        </is>
      </c>
      <c r="G1250" t="n">
        <v>0.5</v>
      </c>
      <c r="H1250" t="n">
        <v>0</v>
      </c>
      <c r="I1250" t="n">
        <v>0</v>
      </c>
      <c r="J1250" t="n">
        <v>0</v>
      </c>
      <c r="K1250" t="n">
        <v>0</v>
      </c>
      <c r="L1250" t="n">
        <v>0</v>
      </c>
      <c r="M1250" t="n">
        <v>0</v>
      </c>
      <c r="N1250" t="n">
        <v>0</v>
      </c>
      <c r="O1250" t="n">
        <v>0</v>
      </c>
      <c r="P1250" t="n">
        <v>0</v>
      </c>
      <c r="Q1250" t="n">
        <v>0</v>
      </c>
      <c r="R1250" s="2" t="inlineStr"/>
    </row>
    <row r="1251" ht="15" customHeight="1">
      <c r="A1251" t="inlineStr">
        <is>
          <t>A 34185-2020</t>
        </is>
      </c>
      <c r="B1251" s="1" t="n">
        <v>44029</v>
      </c>
      <c r="C1251" s="1" t="n">
        <v>45224</v>
      </c>
      <c r="D1251" t="inlineStr">
        <is>
          <t>STOCKHOLMS LÄN</t>
        </is>
      </c>
      <c r="E1251" t="inlineStr">
        <is>
          <t>EKERÖ</t>
        </is>
      </c>
      <c r="G1251" t="n">
        <v>7.3</v>
      </c>
      <c r="H1251" t="n">
        <v>0</v>
      </c>
      <c r="I1251" t="n">
        <v>0</v>
      </c>
      <c r="J1251" t="n">
        <v>0</v>
      </c>
      <c r="K1251" t="n">
        <v>0</v>
      </c>
      <c r="L1251" t="n">
        <v>0</v>
      </c>
      <c r="M1251" t="n">
        <v>0</v>
      </c>
      <c r="N1251" t="n">
        <v>0</v>
      </c>
      <c r="O1251" t="n">
        <v>0</v>
      </c>
      <c r="P1251" t="n">
        <v>0</v>
      </c>
      <c r="Q1251" t="n">
        <v>0</v>
      </c>
      <c r="R1251" s="2" t="inlineStr"/>
    </row>
    <row r="1252" ht="15" customHeight="1">
      <c r="A1252" t="inlineStr">
        <is>
          <t>A 34650-2020</t>
        </is>
      </c>
      <c r="B1252" s="1" t="n">
        <v>44034</v>
      </c>
      <c r="C1252" s="1" t="n">
        <v>45224</v>
      </c>
      <c r="D1252" t="inlineStr">
        <is>
          <t>STOCKHOLMS LÄN</t>
        </is>
      </c>
      <c r="E1252" t="inlineStr">
        <is>
          <t>NORRTÄLJE</t>
        </is>
      </c>
      <c r="G1252" t="n">
        <v>0.4</v>
      </c>
      <c r="H1252" t="n">
        <v>0</v>
      </c>
      <c r="I1252" t="n">
        <v>0</v>
      </c>
      <c r="J1252" t="n">
        <v>0</v>
      </c>
      <c r="K1252" t="n">
        <v>0</v>
      </c>
      <c r="L1252" t="n">
        <v>0</v>
      </c>
      <c r="M1252" t="n">
        <v>0</v>
      </c>
      <c r="N1252" t="n">
        <v>0</v>
      </c>
      <c r="O1252" t="n">
        <v>0</v>
      </c>
      <c r="P1252" t="n">
        <v>0</v>
      </c>
      <c r="Q1252" t="n">
        <v>0</v>
      </c>
      <c r="R1252" s="2" t="inlineStr"/>
    </row>
    <row r="1253" ht="15" customHeight="1">
      <c r="A1253" t="inlineStr">
        <is>
          <t>A 34651-2020</t>
        </is>
      </c>
      <c r="B1253" s="1" t="n">
        <v>44034</v>
      </c>
      <c r="C1253" s="1" t="n">
        <v>45224</v>
      </c>
      <c r="D1253" t="inlineStr">
        <is>
          <t>STOCKHOLMS LÄN</t>
        </is>
      </c>
      <c r="E1253" t="inlineStr">
        <is>
          <t>NORRTÄLJE</t>
        </is>
      </c>
      <c r="G1253" t="n">
        <v>0.9</v>
      </c>
      <c r="H1253" t="n">
        <v>0</v>
      </c>
      <c r="I1253" t="n">
        <v>0</v>
      </c>
      <c r="J1253" t="n">
        <v>0</v>
      </c>
      <c r="K1253" t="n">
        <v>0</v>
      </c>
      <c r="L1253" t="n">
        <v>0</v>
      </c>
      <c r="M1253" t="n">
        <v>0</v>
      </c>
      <c r="N1253" t="n">
        <v>0</v>
      </c>
      <c r="O1253" t="n">
        <v>0</v>
      </c>
      <c r="P1253" t="n">
        <v>0</v>
      </c>
      <c r="Q1253" t="n">
        <v>0</v>
      </c>
      <c r="R1253" s="2" t="inlineStr"/>
    </row>
    <row r="1254" ht="15" customHeight="1">
      <c r="A1254" t="inlineStr">
        <is>
          <t>A 35012-2020</t>
        </is>
      </c>
      <c r="B1254" s="1" t="n">
        <v>44039</v>
      </c>
      <c r="C1254" s="1" t="n">
        <v>45224</v>
      </c>
      <c r="D1254" t="inlineStr">
        <is>
          <t>STOCKHOLMS LÄN</t>
        </is>
      </c>
      <c r="E1254" t="inlineStr">
        <is>
          <t>EKERÖ</t>
        </is>
      </c>
      <c r="G1254" t="n">
        <v>1.7</v>
      </c>
      <c r="H1254" t="n">
        <v>0</v>
      </c>
      <c r="I1254" t="n">
        <v>0</v>
      </c>
      <c r="J1254" t="n">
        <v>0</v>
      </c>
      <c r="K1254" t="n">
        <v>0</v>
      </c>
      <c r="L1254" t="n">
        <v>0</v>
      </c>
      <c r="M1254" t="n">
        <v>0</v>
      </c>
      <c r="N1254" t="n">
        <v>0</v>
      </c>
      <c r="O1254" t="n">
        <v>0</v>
      </c>
      <c r="P1254" t="n">
        <v>0</v>
      </c>
      <c r="Q1254" t="n">
        <v>0</v>
      </c>
      <c r="R1254" s="2" t="inlineStr"/>
    </row>
    <row r="1255" ht="15" customHeight="1">
      <c r="A1255" t="inlineStr">
        <is>
          <t>A 36248-2020</t>
        </is>
      </c>
      <c r="B1255" s="1" t="n">
        <v>44049</v>
      </c>
      <c r="C1255" s="1" t="n">
        <v>45224</v>
      </c>
      <c r="D1255" t="inlineStr">
        <is>
          <t>STOCKHOLMS LÄN</t>
        </is>
      </c>
      <c r="E1255" t="inlineStr">
        <is>
          <t>UPPLANDS-BRO</t>
        </is>
      </c>
      <c r="G1255" t="n">
        <v>3.6</v>
      </c>
      <c r="H1255" t="n">
        <v>0</v>
      </c>
      <c r="I1255" t="n">
        <v>0</v>
      </c>
      <c r="J1255" t="n">
        <v>0</v>
      </c>
      <c r="K1255" t="n">
        <v>0</v>
      </c>
      <c r="L1255" t="n">
        <v>0</v>
      </c>
      <c r="M1255" t="n">
        <v>0</v>
      </c>
      <c r="N1255" t="n">
        <v>0</v>
      </c>
      <c r="O1255" t="n">
        <v>0</v>
      </c>
      <c r="P1255" t="n">
        <v>0</v>
      </c>
      <c r="Q1255" t="n">
        <v>0</v>
      </c>
      <c r="R1255" s="2" t="inlineStr"/>
    </row>
    <row r="1256" ht="15" customHeight="1">
      <c r="A1256" t="inlineStr">
        <is>
          <t>A 36314-2020</t>
        </is>
      </c>
      <c r="B1256" s="1" t="n">
        <v>44049</v>
      </c>
      <c r="C1256" s="1" t="n">
        <v>45224</v>
      </c>
      <c r="D1256" t="inlineStr">
        <is>
          <t>STOCKHOLMS LÄN</t>
        </is>
      </c>
      <c r="E1256" t="inlineStr">
        <is>
          <t>NORRTÄLJE</t>
        </is>
      </c>
      <c r="G1256" t="n">
        <v>5</v>
      </c>
      <c r="H1256" t="n">
        <v>0</v>
      </c>
      <c r="I1256" t="n">
        <v>0</v>
      </c>
      <c r="J1256" t="n">
        <v>0</v>
      </c>
      <c r="K1256" t="n">
        <v>0</v>
      </c>
      <c r="L1256" t="n">
        <v>0</v>
      </c>
      <c r="M1256" t="n">
        <v>0</v>
      </c>
      <c r="N1256" t="n">
        <v>0</v>
      </c>
      <c r="O1256" t="n">
        <v>0</v>
      </c>
      <c r="P1256" t="n">
        <v>0</v>
      </c>
      <c r="Q1256" t="n">
        <v>0</v>
      </c>
      <c r="R1256" s="2" t="inlineStr"/>
    </row>
    <row r="1257" ht="15" customHeight="1">
      <c r="A1257" t="inlineStr">
        <is>
          <t>A 36359-2020</t>
        </is>
      </c>
      <c r="B1257" s="1" t="n">
        <v>44049</v>
      </c>
      <c r="C1257" s="1" t="n">
        <v>45224</v>
      </c>
      <c r="D1257" t="inlineStr">
        <is>
          <t>STOCKHOLMS LÄN</t>
        </is>
      </c>
      <c r="E1257" t="inlineStr">
        <is>
          <t>NORRTÄLJE</t>
        </is>
      </c>
      <c r="G1257" t="n">
        <v>6.5</v>
      </c>
      <c r="H1257" t="n">
        <v>0</v>
      </c>
      <c r="I1257" t="n">
        <v>0</v>
      </c>
      <c r="J1257" t="n">
        <v>0</v>
      </c>
      <c r="K1257" t="n">
        <v>0</v>
      </c>
      <c r="L1257" t="n">
        <v>0</v>
      </c>
      <c r="M1257" t="n">
        <v>0</v>
      </c>
      <c r="N1257" t="n">
        <v>0</v>
      </c>
      <c r="O1257" t="n">
        <v>0</v>
      </c>
      <c r="P1257" t="n">
        <v>0</v>
      </c>
      <c r="Q1257" t="n">
        <v>0</v>
      </c>
      <c r="R1257" s="2" t="inlineStr"/>
    </row>
    <row r="1258" ht="15" customHeight="1">
      <c r="A1258" t="inlineStr">
        <is>
          <t>A 36865-2020</t>
        </is>
      </c>
      <c r="B1258" s="1" t="n">
        <v>44053</v>
      </c>
      <c r="C1258" s="1" t="n">
        <v>45224</v>
      </c>
      <c r="D1258" t="inlineStr">
        <is>
          <t>STOCKHOLMS LÄN</t>
        </is>
      </c>
      <c r="E1258" t="inlineStr">
        <is>
          <t>NYNÄSHAMN</t>
        </is>
      </c>
      <c r="G1258" t="n">
        <v>0.7</v>
      </c>
      <c r="H1258" t="n">
        <v>0</v>
      </c>
      <c r="I1258" t="n">
        <v>0</v>
      </c>
      <c r="J1258" t="n">
        <v>0</v>
      </c>
      <c r="K1258" t="n">
        <v>0</v>
      </c>
      <c r="L1258" t="n">
        <v>0</v>
      </c>
      <c r="M1258" t="n">
        <v>0</v>
      </c>
      <c r="N1258" t="n">
        <v>0</v>
      </c>
      <c r="O1258" t="n">
        <v>0</v>
      </c>
      <c r="P1258" t="n">
        <v>0</v>
      </c>
      <c r="Q1258" t="n">
        <v>0</v>
      </c>
      <c r="R1258" s="2" t="inlineStr"/>
    </row>
    <row r="1259" ht="15" customHeight="1">
      <c r="A1259" t="inlineStr">
        <is>
          <t>A 38010-2020</t>
        </is>
      </c>
      <c r="B1259" s="1" t="n">
        <v>44057</v>
      </c>
      <c r="C1259" s="1" t="n">
        <v>45224</v>
      </c>
      <c r="D1259" t="inlineStr">
        <is>
          <t>STOCKHOLMS LÄN</t>
        </is>
      </c>
      <c r="E1259" t="inlineStr">
        <is>
          <t>SÖDERTÄLJE</t>
        </is>
      </c>
      <c r="G1259" t="n">
        <v>2.1</v>
      </c>
      <c r="H1259" t="n">
        <v>0</v>
      </c>
      <c r="I1259" t="n">
        <v>0</v>
      </c>
      <c r="J1259" t="n">
        <v>0</v>
      </c>
      <c r="K1259" t="n">
        <v>0</v>
      </c>
      <c r="L1259" t="n">
        <v>0</v>
      </c>
      <c r="M1259" t="n">
        <v>0</v>
      </c>
      <c r="N1259" t="n">
        <v>0</v>
      </c>
      <c r="O1259" t="n">
        <v>0</v>
      </c>
      <c r="P1259" t="n">
        <v>0</v>
      </c>
      <c r="Q1259" t="n">
        <v>0</v>
      </c>
      <c r="R1259" s="2" t="inlineStr"/>
    </row>
    <row r="1260" ht="15" customHeight="1">
      <c r="A1260" t="inlineStr">
        <is>
          <t>A 39033-2020</t>
        </is>
      </c>
      <c r="B1260" s="1" t="n">
        <v>44062</v>
      </c>
      <c r="C1260" s="1" t="n">
        <v>45224</v>
      </c>
      <c r="D1260" t="inlineStr">
        <is>
          <t>STOCKHOLMS LÄN</t>
        </is>
      </c>
      <c r="E1260" t="inlineStr">
        <is>
          <t>VÄRMDÖ</t>
        </is>
      </c>
      <c r="G1260" t="n">
        <v>4.3</v>
      </c>
      <c r="H1260" t="n">
        <v>0</v>
      </c>
      <c r="I1260" t="n">
        <v>0</v>
      </c>
      <c r="J1260" t="n">
        <v>0</v>
      </c>
      <c r="K1260" t="n">
        <v>0</v>
      </c>
      <c r="L1260" t="n">
        <v>0</v>
      </c>
      <c r="M1260" t="n">
        <v>0</v>
      </c>
      <c r="N1260" t="n">
        <v>0</v>
      </c>
      <c r="O1260" t="n">
        <v>0</v>
      </c>
      <c r="P1260" t="n">
        <v>0</v>
      </c>
      <c r="Q1260" t="n">
        <v>0</v>
      </c>
      <c r="R1260" s="2" t="inlineStr"/>
    </row>
    <row r="1261" ht="15" customHeight="1">
      <c r="A1261" t="inlineStr">
        <is>
          <t>A 39531-2020</t>
        </is>
      </c>
      <c r="B1261" s="1" t="n">
        <v>44064</v>
      </c>
      <c r="C1261" s="1" t="n">
        <v>45224</v>
      </c>
      <c r="D1261" t="inlineStr">
        <is>
          <t>STOCKHOLMS LÄN</t>
        </is>
      </c>
      <c r="E1261" t="inlineStr">
        <is>
          <t>BOTKYRKA</t>
        </is>
      </c>
      <c r="G1261" t="n">
        <v>3.5</v>
      </c>
      <c r="H1261" t="n">
        <v>0</v>
      </c>
      <c r="I1261" t="n">
        <v>0</v>
      </c>
      <c r="J1261" t="n">
        <v>0</v>
      </c>
      <c r="K1261" t="n">
        <v>0</v>
      </c>
      <c r="L1261" t="n">
        <v>0</v>
      </c>
      <c r="M1261" t="n">
        <v>0</v>
      </c>
      <c r="N1261" t="n">
        <v>0</v>
      </c>
      <c r="O1261" t="n">
        <v>0</v>
      </c>
      <c r="P1261" t="n">
        <v>0</v>
      </c>
      <c r="Q1261" t="n">
        <v>0</v>
      </c>
      <c r="R1261" s="2" t="inlineStr"/>
    </row>
    <row r="1262" ht="15" customHeight="1">
      <c r="A1262" t="inlineStr">
        <is>
          <t>A 40037-2020</t>
        </is>
      </c>
      <c r="B1262" s="1" t="n">
        <v>44067</v>
      </c>
      <c r="C1262" s="1" t="n">
        <v>45224</v>
      </c>
      <c r="D1262" t="inlineStr">
        <is>
          <t>STOCKHOLMS LÄN</t>
        </is>
      </c>
      <c r="E1262" t="inlineStr">
        <is>
          <t>HANINGE</t>
        </is>
      </c>
      <c r="G1262" t="n">
        <v>0.8</v>
      </c>
      <c r="H1262" t="n">
        <v>0</v>
      </c>
      <c r="I1262" t="n">
        <v>0</v>
      </c>
      <c r="J1262" t="n">
        <v>0</v>
      </c>
      <c r="K1262" t="n">
        <v>0</v>
      </c>
      <c r="L1262" t="n">
        <v>0</v>
      </c>
      <c r="M1262" t="n">
        <v>0</v>
      </c>
      <c r="N1262" t="n">
        <v>0</v>
      </c>
      <c r="O1262" t="n">
        <v>0</v>
      </c>
      <c r="P1262" t="n">
        <v>0</v>
      </c>
      <c r="Q1262" t="n">
        <v>0</v>
      </c>
      <c r="R1262" s="2" t="inlineStr"/>
    </row>
    <row r="1263" ht="15" customHeight="1">
      <c r="A1263" t="inlineStr">
        <is>
          <t>A 40837-2020</t>
        </is>
      </c>
      <c r="B1263" s="1" t="n">
        <v>44067</v>
      </c>
      <c r="C1263" s="1" t="n">
        <v>45224</v>
      </c>
      <c r="D1263" t="inlineStr">
        <is>
          <t>STOCKHOLMS LÄN</t>
        </is>
      </c>
      <c r="E1263" t="inlineStr">
        <is>
          <t>NORRTÄLJE</t>
        </is>
      </c>
      <c r="G1263" t="n">
        <v>20.6</v>
      </c>
      <c r="H1263" t="n">
        <v>0</v>
      </c>
      <c r="I1263" t="n">
        <v>0</v>
      </c>
      <c r="J1263" t="n">
        <v>0</v>
      </c>
      <c r="K1263" t="n">
        <v>0</v>
      </c>
      <c r="L1263" t="n">
        <v>0</v>
      </c>
      <c r="M1263" t="n">
        <v>0</v>
      </c>
      <c r="N1263" t="n">
        <v>0</v>
      </c>
      <c r="O1263" t="n">
        <v>0</v>
      </c>
      <c r="P1263" t="n">
        <v>0</v>
      </c>
      <c r="Q1263" t="n">
        <v>0</v>
      </c>
      <c r="R1263" s="2" t="inlineStr"/>
    </row>
    <row r="1264" ht="15" customHeight="1">
      <c r="A1264" t="inlineStr">
        <is>
          <t>A 40661-2020</t>
        </is>
      </c>
      <c r="B1264" s="1" t="n">
        <v>44069</v>
      </c>
      <c r="C1264" s="1" t="n">
        <v>45224</v>
      </c>
      <c r="D1264" t="inlineStr">
        <is>
          <t>STOCKHOLMS LÄN</t>
        </is>
      </c>
      <c r="E1264" t="inlineStr">
        <is>
          <t>NORRTÄLJE</t>
        </is>
      </c>
      <c r="G1264" t="n">
        <v>1</v>
      </c>
      <c r="H1264" t="n">
        <v>0</v>
      </c>
      <c r="I1264" t="n">
        <v>0</v>
      </c>
      <c r="J1264" t="n">
        <v>0</v>
      </c>
      <c r="K1264" t="n">
        <v>0</v>
      </c>
      <c r="L1264" t="n">
        <v>0</v>
      </c>
      <c r="M1264" t="n">
        <v>0</v>
      </c>
      <c r="N1264" t="n">
        <v>0</v>
      </c>
      <c r="O1264" t="n">
        <v>0</v>
      </c>
      <c r="P1264" t="n">
        <v>0</v>
      </c>
      <c r="Q1264" t="n">
        <v>0</v>
      </c>
      <c r="R1264" s="2" t="inlineStr"/>
    </row>
    <row r="1265" ht="15" customHeight="1">
      <c r="A1265" t="inlineStr">
        <is>
          <t>A 41080-2020</t>
        </is>
      </c>
      <c r="B1265" s="1" t="n">
        <v>44069</v>
      </c>
      <c r="C1265" s="1" t="n">
        <v>45224</v>
      </c>
      <c r="D1265" t="inlineStr">
        <is>
          <t>STOCKHOLMS LÄN</t>
        </is>
      </c>
      <c r="E1265" t="inlineStr">
        <is>
          <t>SÖDERTÄLJE</t>
        </is>
      </c>
      <c r="G1265" t="n">
        <v>19</v>
      </c>
      <c r="H1265" t="n">
        <v>0</v>
      </c>
      <c r="I1265" t="n">
        <v>0</v>
      </c>
      <c r="J1265" t="n">
        <v>0</v>
      </c>
      <c r="K1265" t="n">
        <v>0</v>
      </c>
      <c r="L1265" t="n">
        <v>0</v>
      </c>
      <c r="M1265" t="n">
        <v>0</v>
      </c>
      <c r="N1265" t="n">
        <v>0</v>
      </c>
      <c r="O1265" t="n">
        <v>0</v>
      </c>
      <c r="P1265" t="n">
        <v>0</v>
      </c>
      <c r="Q1265" t="n">
        <v>0</v>
      </c>
      <c r="R1265" s="2" t="inlineStr"/>
    </row>
    <row r="1266" ht="15" customHeight="1">
      <c r="A1266" t="inlineStr">
        <is>
          <t>A 41718-2020</t>
        </is>
      </c>
      <c r="B1266" s="1" t="n">
        <v>44074</v>
      </c>
      <c r="C1266" s="1" t="n">
        <v>45224</v>
      </c>
      <c r="D1266" t="inlineStr">
        <is>
          <t>STOCKHOLMS LÄN</t>
        </is>
      </c>
      <c r="E1266" t="inlineStr">
        <is>
          <t>SALEM</t>
        </is>
      </c>
      <c r="F1266" t="inlineStr">
        <is>
          <t>Kommuner</t>
        </is>
      </c>
      <c r="G1266" t="n">
        <v>3.3</v>
      </c>
      <c r="H1266" t="n">
        <v>0</v>
      </c>
      <c r="I1266" t="n">
        <v>0</v>
      </c>
      <c r="J1266" t="n">
        <v>0</v>
      </c>
      <c r="K1266" t="n">
        <v>0</v>
      </c>
      <c r="L1266" t="n">
        <v>0</v>
      </c>
      <c r="M1266" t="n">
        <v>0</v>
      </c>
      <c r="N1266" t="n">
        <v>0</v>
      </c>
      <c r="O1266" t="n">
        <v>0</v>
      </c>
      <c r="P1266" t="n">
        <v>0</v>
      </c>
      <c r="Q1266" t="n">
        <v>0</v>
      </c>
      <c r="R1266" s="2" t="inlineStr"/>
    </row>
    <row r="1267" ht="15" customHeight="1">
      <c r="A1267" t="inlineStr">
        <is>
          <t>A 42247-2020</t>
        </is>
      </c>
      <c r="B1267" s="1" t="n">
        <v>44074</v>
      </c>
      <c r="C1267" s="1" t="n">
        <v>45224</v>
      </c>
      <c r="D1267" t="inlineStr">
        <is>
          <t>STOCKHOLMS LÄN</t>
        </is>
      </c>
      <c r="E1267" t="inlineStr">
        <is>
          <t>NORRTÄLJE</t>
        </is>
      </c>
      <c r="G1267" t="n">
        <v>1.4</v>
      </c>
      <c r="H1267" t="n">
        <v>0</v>
      </c>
      <c r="I1267" t="n">
        <v>0</v>
      </c>
      <c r="J1267" t="n">
        <v>0</v>
      </c>
      <c r="K1267" t="n">
        <v>0</v>
      </c>
      <c r="L1267" t="n">
        <v>0</v>
      </c>
      <c r="M1267" t="n">
        <v>0</v>
      </c>
      <c r="N1267" t="n">
        <v>0</v>
      </c>
      <c r="O1267" t="n">
        <v>0</v>
      </c>
      <c r="P1267" t="n">
        <v>0</v>
      </c>
      <c r="Q1267" t="n">
        <v>0</v>
      </c>
      <c r="R1267" s="2" t="inlineStr"/>
    </row>
    <row r="1268" ht="15" customHeight="1">
      <c r="A1268" t="inlineStr">
        <is>
          <t>A 41694-2020</t>
        </is>
      </c>
      <c r="B1268" s="1" t="n">
        <v>44074</v>
      </c>
      <c r="C1268" s="1" t="n">
        <v>45224</v>
      </c>
      <c r="D1268" t="inlineStr">
        <is>
          <t>STOCKHOLMS LÄN</t>
        </is>
      </c>
      <c r="E1268" t="inlineStr">
        <is>
          <t>NORRTÄLJE</t>
        </is>
      </c>
      <c r="G1268" t="n">
        <v>3</v>
      </c>
      <c r="H1268" t="n">
        <v>0</v>
      </c>
      <c r="I1268" t="n">
        <v>0</v>
      </c>
      <c r="J1268" t="n">
        <v>0</v>
      </c>
      <c r="K1268" t="n">
        <v>0</v>
      </c>
      <c r="L1268" t="n">
        <v>0</v>
      </c>
      <c r="M1268" t="n">
        <v>0</v>
      </c>
      <c r="N1268" t="n">
        <v>0</v>
      </c>
      <c r="O1268" t="n">
        <v>0</v>
      </c>
      <c r="P1268" t="n">
        <v>0</v>
      </c>
      <c r="Q1268" t="n">
        <v>0</v>
      </c>
      <c r="R1268" s="2" t="inlineStr"/>
    </row>
    <row r="1269" ht="15" customHeight="1">
      <c r="A1269" t="inlineStr">
        <is>
          <t>A 42256-2020</t>
        </is>
      </c>
      <c r="B1269" s="1" t="n">
        <v>44074</v>
      </c>
      <c r="C1269" s="1" t="n">
        <v>45224</v>
      </c>
      <c r="D1269" t="inlineStr">
        <is>
          <t>STOCKHOLMS LÄN</t>
        </is>
      </c>
      <c r="E1269" t="inlineStr">
        <is>
          <t>NORRTÄLJE</t>
        </is>
      </c>
      <c r="F1269" t="inlineStr">
        <is>
          <t>Övriga Aktiebolag</t>
        </is>
      </c>
      <c r="G1269" t="n">
        <v>0.8</v>
      </c>
      <c r="H1269" t="n">
        <v>0</v>
      </c>
      <c r="I1269" t="n">
        <v>0</v>
      </c>
      <c r="J1269" t="n">
        <v>0</v>
      </c>
      <c r="K1269" t="n">
        <v>0</v>
      </c>
      <c r="L1269" t="n">
        <v>0</v>
      </c>
      <c r="M1269" t="n">
        <v>0</v>
      </c>
      <c r="N1269" t="n">
        <v>0</v>
      </c>
      <c r="O1269" t="n">
        <v>0</v>
      </c>
      <c r="P1269" t="n">
        <v>0</v>
      </c>
      <c r="Q1269" t="n">
        <v>0</v>
      </c>
      <c r="R1269" s="2" t="inlineStr"/>
    </row>
    <row r="1270" ht="15" customHeight="1">
      <c r="A1270" t="inlineStr">
        <is>
          <t>A 41923-2020</t>
        </is>
      </c>
      <c r="B1270" s="1" t="n">
        <v>44075</v>
      </c>
      <c r="C1270" s="1" t="n">
        <v>45224</v>
      </c>
      <c r="D1270" t="inlineStr">
        <is>
          <t>STOCKHOLMS LÄN</t>
        </is>
      </c>
      <c r="E1270" t="inlineStr">
        <is>
          <t>SALEM</t>
        </is>
      </c>
      <c r="F1270" t="inlineStr">
        <is>
          <t>Kommuner</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42365-2020</t>
        </is>
      </c>
      <c r="B1271" s="1" t="n">
        <v>44076</v>
      </c>
      <c r="C1271" s="1" t="n">
        <v>45224</v>
      </c>
      <c r="D1271" t="inlineStr">
        <is>
          <t>STOCKHOLMS LÄN</t>
        </is>
      </c>
      <c r="E1271" t="inlineStr">
        <is>
          <t>NORRTÄLJE</t>
        </is>
      </c>
      <c r="G1271" t="n">
        <v>1.3</v>
      </c>
      <c r="H1271" t="n">
        <v>0</v>
      </c>
      <c r="I1271" t="n">
        <v>0</v>
      </c>
      <c r="J1271" t="n">
        <v>0</v>
      </c>
      <c r="K1271" t="n">
        <v>0</v>
      </c>
      <c r="L1271" t="n">
        <v>0</v>
      </c>
      <c r="M1271" t="n">
        <v>0</v>
      </c>
      <c r="N1271" t="n">
        <v>0</v>
      </c>
      <c r="O1271" t="n">
        <v>0</v>
      </c>
      <c r="P1271" t="n">
        <v>0</v>
      </c>
      <c r="Q1271" t="n">
        <v>0</v>
      </c>
      <c r="R1271" s="2" t="inlineStr"/>
    </row>
    <row r="1272" ht="15" customHeight="1">
      <c r="A1272" t="inlineStr">
        <is>
          <t>A 42361-2020</t>
        </is>
      </c>
      <c r="B1272" s="1" t="n">
        <v>44076</v>
      </c>
      <c r="C1272" s="1" t="n">
        <v>45224</v>
      </c>
      <c r="D1272" t="inlineStr">
        <is>
          <t>STOCKHOLMS LÄN</t>
        </is>
      </c>
      <c r="E1272" t="inlineStr">
        <is>
          <t>NORRTÄLJE</t>
        </is>
      </c>
      <c r="G1272" t="n">
        <v>2.1</v>
      </c>
      <c r="H1272" t="n">
        <v>0</v>
      </c>
      <c r="I1272" t="n">
        <v>0</v>
      </c>
      <c r="J1272" t="n">
        <v>0</v>
      </c>
      <c r="K1272" t="n">
        <v>0</v>
      </c>
      <c r="L1272" t="n">
        <v>0</v>
      </c>
      <c r="M1272" t="n">
        <v>0</v>
      </c>
      <c r="N1272" t="n">
        <v>0</v>
      </c>
      <c r="O1272" t="n">
        <v>0</v>
      </c>
      <c r="P1272" t="n">
        <v>0</v>
      </c>
      <c r="Q1272" t="n">
        <v>0</v>
      </c>
      <c r="R1272" s="2" t="inlineStr"/>
    </row>
    <row r="1273" ht="15" customHeight="1">
      <c r="A1273" t="inlineStr">
        <is>
          <t>A 42455-2020</t>
        </is>
      </c>
      <c r="B1273" s="1" t="n">
        <v>44076</v>
      </c>
      <c r="C1273" s="1" t="n">
        <v>45224</v>
      </c>
      <c r="D1273" t="inlineStr">
        <is>
          <t>STOCKHOLMS LÄN</t>
        </is>
      </c>
      <c r="E1273" t="inlineStr">
        <is>
          <t>NORRTÄLJE</t>
        </is>
      </c>
      <c r="G1273" t="n">
        <v>1.9</v>
      </c>
      <c r="H1273" t="n">
        <v>0</v>
      </c>
      <c r="I1273" t="n">
        <v>0</v>
      </c>
      <c r="J1273" t="n">
        <v>0</v>
      </c>
      <c r="K1273" t="n">
        <v>0</v>
      </c>
      <c r="L1273" t="n">
        <v>0</v>
      </c>
      <c r="M1273" t="n">
        <v>0</v>
      </c>
      <c r="N1273" t="n">
        <v>0</v>
      </c>
      <c r="O1273" t="n">
        <v>0</v>
      </c>
      <c r="P1273" t="n">
        <v>0</v>
      </c>
      <c r="Q1273" t="n">
        <v>0</v>
      </c>
      <c r="R1273" s="2" t="inlineStr"/>
    </row>
    <row r="1274" ht="15" customHeight="1">
      <c r="A1274" t="inlineStr">
        <is>
          <t>A 43237-2020</t>
        </is>
      </c>
      <c r="B1274" s="1" t="n">
        <v>44076</v>
      </c>
      <c r="C1274" s="1" t="n">
        <v>45224</v>
      </c>
      <c r="D1274" t="inlineStr">
        <is>
          <t>STOCKHOLMS LÄN</t>
        </is>
      </c>
      <c r="E1274" t="inlineStr">
        <is>
          <t>SÖDERTÄLJE</t>
        </is>
      </c>
      <c r="F1274" t="inlineStr">
        <is>
          <t>Kommuner</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42714-2020</t>
        </is>
      </c>
      <c r="B1275" s="1" t="n">
        <v>44077</v>
      </c>
      <c r="C1275" s="1" t="n">
        <v>45224</v>
      </c>
      <c r="D1275" t="inlineStr">
        <is>
          <t>STOCKHOLMS LÄN</t>
        </is>
      </c>
      <c r="E1275" t="inlineStr">
        <is>
          <t>SIGTUNA</t>
        </is>
      </c>
      <c r="G1275" t="n">
        <v>2.3</v>
      </c>
      <c r="H1275" t="n">
        <v>0</v>
      </c>
      <c r="I1275" t="n">
        <v>0</v>
      </c>
      <c r="J1275" t="n">
        <v>0</v>
      </c>
      <c r="K1275" t="n">
        <v>0</v>
      </c>
      <c r="L1275" t="n">
        <v>0</v>
      </c>
      <c r="M1275" t="n">
        <v>0</v>
      </c>
      <c r="N1275" t="n">
        <v>0</v>
      </c>
      <c r="O1275" t="n">
        <v>0</v>
      </c>
      <c r="P1275" t="n">
        <v>0</v>
      </c>
      <c r="Q1275" t="n">
        <v>0</v>
      </c>
      <c r="R1275" s="2" t="inlineStr"/>
    </row>
    <row r="1276" ht="15" customHeight="1">
      <c r="A1276" t="inlineStr">
        <is>
          <t>A 43751-2020</t>
        </is>
      </c>
      <c r="B1276" s="1" t="n">
        <v>44082</v>
      </c>
      <c r="C1276" s="1" t="n">
        <v>45224</v>
      </c>
      <c r="D1276" t="inlineStr">
        <is>
          <t>STOCKHOLMS LÄN</t>
        </is>
      </c>
      <c r="E1276" t="inlineStr">
        <is>
          <t>NORRTÄLJE</t>
        </is>
      </c>
      <c r="G1276" t="n">
        <v>8</v>
      </c>
      <c r="H1276" t="n">
        <v>0</v>
      </c>
      <c r="I1276" t="n">
        <v>0</v>
      </c>
      <c r="J1276" t="n">
        <v>0</v>
      </c>
      <c r="K1276" t="n">
        <v>0</v>
      </c>
      <c r="L1276" t="n">
        <v>0</v>
      </c>
      <c r="M1276" t="n">
        <v>0</v>
      </c>
      <c r="N1276" t="n">
        <v>0</v>
      </c>
      <c r="O1276" t="n">
        <v>0</v>
      </c>
      <c r="P1276" t="n">
        <v>0</v>
      </c>
      <c r="Q1276" t="n">
        <v>0</v>
      </c>
      <c r="R1276" s="2" t="inlineStr"/>
    </row>
    <row r="1277" ht="15" customHeight="1">
      <c r="A1277" t="inlineStr">
        <is>
          <t>A 44071-2020</t>
        </is>
      </c>
      <c r="B1277" s="1" t="n">
        <v>44083</v>
      </c>
      <c r="C1277" s="1" t="n">
        <v>45224</v>
      </c>
      <c r="D1277" t="inlineStr">
        <is>
          <t>STOCKHOLMS LÄN</t>
        </is>
      </c>
      <c r="E1277" t="inlineStr">
        <is>
          <t>NORRTÄLJE</t>
        </is>
      </c>
      <c r="G1277" t="n">
        <v>8.199999999999999</v>
      </c>
      <c r="H1277" t="n">
        <v>0</v>
      </c>
      <c r="I1277" t="n">
        <v>0</v>
      </c>
      <c r="J1277" t="n">
        <v>0</v>
      </c>
      <c r="K1277" t="n">
        <v>0</v>
      </c>
      <c r="L1277" t="n">
        <v>0</v>
      </c>
      <c r="M1277" t="n">
        <v>0</v>
      </c>
      <c r="N1277" t="n">
        <v>0</v>
      </c>
      <c r="O1277" t="n">
        <v>0</v>
      </c>
      <c r="P1277" t="n">
        <v>0</v>
      </c>
      <c r="Q1277" t="n">
        <v>0</v>
      </c>
      <c r="R1277" s="2" t="inlineStr"/>
    </row>
    <row r="1278" ht="15" customHeight="1">
      <c r="A1278" t="inlineStr">
        <is>
          <t>A 44096-2020</t>
        </is>
      </c>
      <c r="B1278" s="1" t="n">
        <v>44083</v>
      </c>
      <c r="C1278" s="1" t="n">
        <v>45224</v>
      </c>
      <c r="D1278" t="inlineStr">
        <is>
          <t>STOCKHOLMS LÄN</t>
        </is>
      </c>
      <c r="E1278" t="inlineStr">
        <is>
          <t>NORRTÄLJE</t>
        </is>
      </c>
      <c r="G1278" t="n">
        <v>2.6</v>
      </c>
      <c r="H1278" t="n">
        <v>0</v>
      </c>
      <c r="I1278" t="n">
        <v>0</v>
      </c>
      <c r="J1278" t="n">
        <v>0</v>
      </c>
      <c r="K1278" t="n">
        <v>0</v>
      </c>
      <c r="L1278" t="n">
        <v>0</v>
      </c>
      <c r="M1278" t="n">
        <v>0</v>
      </c>
      <c r="N1278" t="n">
        <v>0</v>
      </c>
      <c r="O1278" t="n">
        <v>0</v>
      </c>
      <c r="P1278" t="n">
        <v>0</v>
      </c>
      <c r="Q1278" t="n">
        <v>0</v>
      </c>
      <c r="R1278" s="2" t="inlineStr"/>
    </row>
    <row r="1279" ht="15" customHeight="1">
      <c r="A1279" t="inlineStr">
        <is>
          <t>A 44183-2020</t>
        </is>
      </c>
      <c r="B1279" s="1" t="n">
        <v>44083</v>
      </c>
      <c r="C1279" s="1" t="n">
        <v>45224</v>
      </c>
      <c r="D1279" t="inlineStr">
        <is>
          <t>STOCKHOLMS LÄN</t>
        </is>
      </c>
      <c r="E1279" t="inlineStr">
        <is>
          <t>NORRTÄLJE</t>
        </is>
      </c>
      <c r="G1279" t="n">
        <v>4.3</v>
      </c>
      <c r="H1279" t="n">
        <v>0</v>
      </c>
      <c r="I1279" t="n">
        <v>0</v>
      </c>
      <c r="J1279" t="n">
        <v>0</v>
      </c>
      <c r="K1279" t="n">
        <v>0</v>
      </c>
      <c r="L1279" t="n">
        <v>0</v>
      </c>
      <c r="M1279" t="n">
        <v>0</v>
      </c>
      <c r="N1279" t="n">
        <v>0</v>
      </c>
      <c r="O1279" t="n">
        <v>0</v>
      </c>
      <c r="P1279" t="n">
        <v>0</v>
      </c>
      <c r="Q1279" t="n">
        <v>0</v>
      </c>
      <c r="R1279" s="2" t="inlineStr"/>
    </row>
    <row r="1280" ht="15" customHeight="1">
      <c r="A1280" t="inlineStr">
        <is>
          <t>A 44577-2020</t>
        </is>
      </c>
      <c r="B1280" s="1" t="n">
        <v>44085</v>
      </c>
      <c r="C1280" s="1" t="n">
        <v>45224</v>
      </c>
      <c r="D1280" t="inlineStr">
        <is>
          <t>STOCKHOLMS LÄN</t>
        </is>
      </c>
      <c r="E1280" t="inlineStr">
        <is>
          <t>SÖDERTÄLJE</t>
        </is>
      </c>
      <c r="G1280" t="n">
        <v>0.6</v>
      </c>
      <c r="H1280" t="n">
        <v>0</v>
      </c>
      <c r="I1280" t="n">
        <v>0</v>
      </c>
      <c r="J1280" t="n">
        <v>0</v>
      </c>
      <c r="K1280" t="n">
        <v>0</v>
      </c>
      <c r="L1280" t="n">
        <v>0</v>
      </c>
      <c r="M1280" t="n">
        <v>0</v>
      </c>
      <c r="N1280" t="n">
        <v>0</v>
      </c>
      <c r="O1280" t="n">
        <v>0</v>
      </c>
      <c r="P1280" t="n">
        <v>0</v>
      </c>
      <c r="Q1280" t="n">
        <v>0</v>
      </c>
      <c r="R1280" s="2" t="inlineStr"/>
    </row>
    <row r="1281" ht="15" customHeight="1">
      <c r="A1281" t="inlineStr">
        <is>
          <t>A 44792-2020</t>
        </is>
      </c>
      <c r="B1281" s="1" t="n">
        <v>44085</v>
      </c>
      <c r="C1281" s="1" t="n">
        <v>45224</v>
      </c>
      <c r="D1281" t="inlineStr">
        <is>
          <t>STOCKHOLMS LÄN</t>
        </is>
      </c>
      <c r="E1281" t="inlineStr">
        <is>
          <t>NORRTÄLJE</t>
        </is>
      </c>
      <c r="G1281" t="n">
        <v>1.2</v>
      </c>
      <c r="H1281" t="n">
        <v>0</v>
      </c>
      <c r="I1281" t="n">
        <v>0</v>
      </c>
      <c r="J1281" t="n">
        <v>0</v>
      </c>
      <c r="K1281" t="n">
        <v>0</v>
      </c>
      <c r="L1281" t="n">
        <v>0</v>
      </c>
      <c r="M1281" t="n">
        <v>0</v>
      </c>
      <c r="N1281" t="n">
        <v>0</v>
      </c>
      <c r="O1281" t="n">
        <v>0</v>
      </c>
      <c r="P1281" t="n">
        <v>0</v>
      </c>
      <c r="Q1281" t="n">
        <v>0</v>
      </c>
      <c r="R1281" s="2" t="inlineStr"/>
    </row>
    <row r="1282" ht="15" customHeight="1">
      <c r="A1282" t="inlineStr">
        <is>
          <t>A 45158-2020</t>
        </is>
      </c>
      <c r="B1282" s="1" t="n">
        <v>44088</v>
      </c>
      <c r="C1282" s="1" t="n">
        <v>45224</v>
      </c>
      <c r="D1282" t="inlineStr">
        <is>
          <t>STOCKHOLMS LÄN</t>
        </is>
      </c>
      <c r="E1282" t="inlineStr">
        <is>
          <t>SALEM</t>
        </is>
      </c>
      <c r="F1282" t="inlineStr">
        <is>
          <t>Kommuner</t>
        </is>
      </c>
      <c r="G1282" t="n">
        <v>1.5</v>
      </c>
      <c r="H1282" t="n">
        <v>0</v>
      </c>
      <c r="I1282" t="n">
        <v>0</v>
      </c>
      <c r="J1282" t="n">
        <v>0</v>
      </c>
      <c r="K1282" t="n">
        <v>0</v>
      </c>
      <c r="L1282" t="n">
        <v>0</v>
      </c>
      <c r="M1282" t="n">
        <v>0</v>
      </c>
      <c r="N1282" t="n">
        <v>0</v>
      </c>
      <c r="O1282" t="n">
        <v>0</v>
      </c>
      <c r="P1282" t="n">
        <v>0</v>
      </c>
      <c r="Q1282" t="n">
        <v>0</v>
      </c>
      <c r="R1282" s="2" t="inlineStr"/>
    </row>
    <row r="1283" ht="15" customHeight="1">
      <c r="A1283" t="inlineStr">
        <is>
          <t>A 45732-2020</t>
        </is>
      </c>
      <c r="B1283" s="1" t="n">
        <v>44090</v>
      </c>
      <c r="C1283" s="1" t="n">
        <v>45224</v>
      </c>
      <c r="D1283" t="inlineStr">
        <is>
          <t>STOCKHOLMS LÄN</t>
        </is>
      </c>
      <c r="E1283" t="inlineStr">
        <is>
          <t>NYNÄSHAMN</t>
        </is>
      </c>
      <c r="G1283" t="n">
        <v>1</v>
      </c>
      <c r="H1283" t="n">
        <v>0</v>
      </c>
      <c r="I1283" t="n">
        <v>0</v>
      </c>
      <c r="J1283" t="n">
        <v>0</v>
      </c>
      <c r="K1283" t="n">
        <v>0</v>
      </c>
      <c r="L1283" t="n">
        <v>0</v>
      </c>
      <c r="M1283" t="n">
        <v>0</v>
      </c>
      <c r="N1283" t="n">
        <v>0</v>
      </c>
      <c r="O1283" t="n">
        <v>0</v>
      </c>
      <c r="P1283" t="n">
        <v>0</v>
      </c>
      <c r="Q1283" t="n">
        <v>0</v>
      </c>
      <c r="R1283" s="2" t="inlineStr"/>
    </row>
    <row r="1284" ht="15" customHeight="1">
      <c r="A1284" t="inlineStr">
        <is>
          <t>A 45859-2020</t>
        </is>
      </c>
      <c r="B1284" s="1" t="n">
        <v>44091</v>
      </c>
      <c r="C1284" s="1" t="n">
        <v>45224</v>
      </c>
      <c r="D1284" t="inlineStr">
        <is>
          <t>STOCKHOLMS LÄN</t>
        </is>
      </c>
      <c r="E1284" t="inlineStr">
        <is>
          <t>NYNÄSHAMN</t>
        </is>
      </c>
      <c r="G1284" t="n">
        <v>17.7</v>
      </c>
      <c r="H1284" t="n">
        <v>0</v>
      </c>
      <c r="I1284" t="n">
        <v>0</v>
      </c>
      <c r="J1284" t="n">
        <v>0</v>
      </c>
      <c r="K1284" t="n">
        <v>0</v>
      </c>
      <c r="L1284" t="n">
        <v>0</v>
      </c>
      <c r="M1284" t="n">
        <v>0</v>
      </c>
      <c r="N1284" t="n">
        <v>0</v>
      </c>
      <c r="O1284" t="n">
        <v>0</v>
      </c>
      <c r="P1284" t="n">
        <v>0</v>
      </c>
      <c r="Q1284" t="n">
        <v>0</v>
      </c>
      <c r="R1284" s="2" t="inlineStr"/>
    </row>
    <row r="1285" ht="15" customHeight="1">
      <c r="A1285" t="inlineStr">
        <is>
          <t>A 45988-2020</t>
        </is>
      </c>
      <c r="B1285" s="1" t="n">
        <v>44091</v>
      </c>
      <c r="C1285" s="1" t="n">
        <v>45224</v>
      </c>
      <c r="D1285" t="inlineStr">
        <is>
          <t>STOCKHOLMS LÄN</t>
        </is>
      </c>
      <c r="E1285" t="inlineStr">
        <is>
          <t>NORRTÄLJE</t>
        </is>
      </c>
      <c r="F1285" t="inlineStr">
        <is>
          <t>Holmen skog AB</t>
        </is>
      </c>
      <c r="G1285" t="n">
        <v>1.6</v>
      </c>
      <c r="H1285" t="n">
        <v>0</v>
      </c>
      <c r="I1285" t="n">
        <v>0</v>
      </c>
      <c r="J1285" t="n">
        <v>0</v>
      </c>
      <c r="K1285" t="n">
        <v>0</v>
      </c>
      <c r="L1285" t="n">
        <v>0</v>
      </c>
      <c r="M1285" t="n">
        <v>0</v>
      </c>
      <c r="N1285" t="n">
        <v>0</v>
      </c>
      <c r="O1285" t="n">
        <v>0</v>
      </c>
      <c r="P1285" t="n">
        <v>0</v>
      </c>
      <c r="Q1285" t="n">
        <v>0</v>
      </c>
      <c r="R1285" s="2" t="inlineStr"/>
    </row>
    <row r="1286" ht="15" customHeight="1">
      <c r="A1286" t="inlineStr">
        <is>
          <t>A 46556-2020</t>
        </is>
      </c>
      <c r="B1286" s="1" t="n">
        <v>44095</v>
      </c>
      <c r="C1286" s="1" t="n">
        <v>45224</v>
      </c>
      <c r="D1286" t="inlineStr">
        <is>
          <t>STOCKHOLMS LÄN</t>
        </is>
      </c>
      <c r="E1286" t="inlineStr">
        <is>
          <t>NORRTÄLJE</t>
        </is>
      </c>
      <c r="F1286" t="inlineStr">
        <is>
          <t>Holmen skog AB</t>
        </is>
      </c>
      <c r="G1286" t="n">
        <v>2.1</v>
      </c>
      <c r="H1286" t="n">
        <v>0</v>
      </c>
      <c r="I1286" t="n">
        <v>0</v>
      </c>
      <c r="J1286" t="n">
        <v>0</v>
      </c>
      <c r="K1286" t="n">
        <v>0</v>
      </c>
      <c r="L1286" t="n">
        <v>0</v>
      </c>
      <c r="M1286" t="n">
        <v>0</v>
      </c>
      <c r="N1286" t="n">
        <v>0</v>
      </c>
      <c r="O1286" t="n">
        <v>0</v>
      </c>
      <c r="P1286" t="n">
        <v>0</v>
      </c>
      <c r="Q1286" t="n">
        <v>0</v>
      </c>
      <c r="R1286" s="2" t="inlineStr"/>
    </row>
    <row r="1287" ht="15" customHeight="1">
      <c r="A1287" t="inlineStr">
        <is>
          <t>A 46661-2020</t>
        </is>
      </c>
      <c r="B1287" s="1" t="n">
        <v>44095</v>
      </c>
      <c r="C1287" s="1" t="n">
        <v>45224</v>
      </c>
      <c r="D1287" t="inlineStr">
        <is>
          <t>STOCKHOLMS LÄN</t>
        </is>
      </c>
      <c r="E1287" t="inlineStr">
        <is>
          <t>SÖDERTÄLJE</t>
        </is>
      </c>
      <c r="G1287" t="n">
        <v>3.4</v>
      </c>
      <c r="H1287" t="n">
        <v>0</v>
      </c>
      <c r="I1287" t="n">
        <v>0</v>
      </c>
      <c r="J1287" t="n">
        <v>0</v>
      </c>
      <c r="K1287" t="n">
        <v>0</v>
      </c>
      <c r="L1287" t="n">
        <v>0</v>
      </c>
      <c r="M1287" t="n">
        <v>0</v>
      </c>
      <c r="N1287" t="n">
        <v>0</v>
      </c>
      <c r="O1287" t="n">
        <v>0</v>
      </c>
      <c r="P1287" t="n">
        <v>0</v>
      </c>
      <c r="Q1287" t="n">
        <v>0</v>
      </c>
      <c r="R1287" s="2" t="inlineStr"/>
    </row>
    <row r="1288" ht="15" customHeight="1">
      <c r="A1288" t="inlineStr">
        <is>
          <t>A 46899-2020</t>
        </is>
      </c>
      <c r="B1288" s="1" t="n">
        <v>44096</v>
      </c>
      <c r="C1288" s="1" t="n">
        <v>45224</v>
      </c>
      <c r="D1288" t="inlineStr">
        <is>
          <t>STOCKHOLMS LÄN</t>
        </is>
      </c>
      <c r="E1288" t="inlineStr">
        <is>
          <t>SÖDERTÄLJE</t>
        </is>
      </c>
      <c r="G1288" t="n">
        <v>1.5</v>
      </c>
      <c r="H1288" t="n">
        <v>0</v>
      </c>
      <c r="I1288" t="n">
        <v>0</v>
      </c>
      <c r="J1288" t="n">
        <v>0</v>
      </c>
      <c r="K1288" t="n">
        <v>0</v>
      </c>
      <c r="L1288" t="n">
        <v>0</v>
      </c>
      <c r="M1288" t="n">
        <v>0</v>
      </c>
      <c r="N1288" t="n">
        <v>0</v>
      </c>
      <c r="O1288" t="n">
        <v>0</v>
      </c>
      <c r="P1288" t="n">
        <v>0</v>
      </c>
      <c r="Q1288" t="n">
        <v>0</v>
      </c>
      <c r="R1288" s="2" t="inlineStr"/>
    </row>
    <row r="1289" ht="15" customHeight="1">
      <c r="A1289" t="inlineStr">
        <is>
          <t>A 48392-2020</t>
        </is>
      </c>
      <c r="B1289" s="1" t="n">
        <v>44097</v>
      </c>
      <c r="C1289" s="1" t="n">
        <v>45224</v>
      </c>
      <c r="D1289" t="inlineStr">
        <is>
          <t>STOCKHOLMS LÄN</t>
        </is>
      </c>
      <c r="E1289" t="inlineStr">
        <is>
          <t>NORRTÄLJE</t>
        </is>
      </c>
      <c r="G1289" t="n">
        <v>12.5</v>
      </c>
      <c r="H1289" t="n">
        <v>0</v>
      </c>
      <c r="I1289" t="n">
        <v>0</v>
      </c>
      <c r="J1289" t="n">
        <v>0</v>
      </c>
      <c r="K1289" t="n">
        <v>0</v>
      </c>
      <c r="L1289" t="n">
        <v>0</v>
      </c>
      <c r="M1289" t="n">
        <v>0</v>
      </c>
      <c r="N1289" t="n">
        <v>0</v>
      </c>
      <c r="O1289" t="n">
        <v>0</v>
      </c>
      <c r="P1289" t="n">
        <v>0</v>
      </c>
      <c r="Q1289" t="n">
        <v>0</v>
      </c>
      <c r="R1289" s="2" t="inlineStr"/>
    </row>
    <row r="1290" ht="15" customHeight="1">
      <c r="A1290" t="inlineStr">
        <is>
          <t>A 47291-2020</t>
        </is>
      </c>
      <c r="B1290" s="1" t="n">
        <v>44097</v>
      </c>
      <c r="C1290" s="1" t="n">
        <v>45224</v>
      </c>
      <c r="D1290" t="inlineStr">
        <is>
          <t>STOCKHOLMS LÄN</t>
        </is>
      </c>
      <c r="E1290" t="inlineStr">
        <is>
          <t>NORRTÄLJE</t>
        </is>
      </c>
      <c r="F1290" t="inlineStr">
        <is>
          <t>Holmen skog AB</t>
        </is>
      </c>
      <c r="G1290" t="n">
        <v>0.8</v>
      </c>
      <c r="H1290" t="n">
        <v>0</v>
      </c>
      <c r="I1290" t="n">
        <v>0</v>
      </c>
      <c r="J1290" t="n">
        <v>0</v>
      </c>
      <c r="K1290" t="n">
        <v>0</v>
      </c>
      <c r="L1290" t="n">
        <v>0</v>
      </c>
      <c r="M1290" t="n">
        <v>0</v>
      </c>
      <c r="N1290" t="n">
        <v>0</v>
      </c>
      <c r="O1290" t="n">
        <v>0</v>
      </c>
      <c r="P1290" t="n">
        <v>0</v>
      </c>
      <c r="Q1290" t="n">
        <v>0</v>
      </c>
      <c r="R1290" s="2" t="inlineStr"/>
    </row>
    <row r="1291" ht="15" customHeight="1">
      <c r="A1291" t="inlineStr">
        <is>
          <t>A 47868-2020</t>
        </is>
      </c>
      <c r="B1291" s="1" t="n">
        <v>44098</v>
      </c>
      <c r="C1291" s="1" t="n">
        <v>45224</v>
      </c>
      <c r="D1291" t="inlineStr">
        <is>
          <t>STOCKHOLMS LÄN</t>
        </is>
      </c>
      <c r="E1291" t="inlineStr">
        <is>
          <t>NORRTÄLJE</t>
        </is>
      </c>
      <c r="G1291" t="n">
        <v>4.7</v>
      </c>
      <c r="H1291" t="n">
        <v>0</v>
      </c>
      <c r="I1291" t="n">
        <v>0</v>
      </c>
      <c r="J1291" t="n">
        <v>0</v>
      </c>
      <c r="K1291" t="n">
        <v>0</v>
      </c>
      <c r="L1291" t="n">
        <v>0</v>
      </c>
      <c r="M1291" t="n">
        <v>0</v>
      </c>
      <c r="N1291" t="n">
        <v>0</v>
      </c>
      <c r="O1291" t="n">
        <v>0</v>
      </c>
      <c r="P1291" t="n">
        <v>0</v>
      </c>
      <c r="Q1291" t="n">
        <v>0</v>
      </c>
      <c r="R1291" s="2" t="inlineStr"/>
    </row>
    <row r="1292" ht="15" customHeight="1">
      <c r="A1292" t="inlineStr">
        <is>
          <t>A 47869-2020</t>
        </is>
      </c>
      <c r="B1292" s="1" t="n">
        <v>44098</v>
      </c>
      <c r="C1292" s="1" t="n">
        <v>45224</v>
      </c>
      <c r="D1292" t="inlineStr">
        <is>
          <t>STOCKHOLMS LÄN</t>
        </is>
      </c>
      <c r="E1292" t="inlineStr">
        <is>
          <t>NORRTÄLJE</t>
        </is>
      </c>
      <c r="G1292" t="n">
        <v>0.7</v>
      </c>
      <c r="H1292" t="n">
        <v>0</v>
      </c>
      <c r="I1292" t="n">
        <v>0</v>
      </c>
      <c r="J1292" t="n">
        <v>0</v>
      </c>
      <c r="K1292" t="n">
        <v>0</v>
      </c>
      <c r="L1292" t="n">
        <v>0</v>
      </c>
      <c r="M1292" t="n">
        <v>0</v>
      </c>
      <c r="N1292" t="n">
        <v>0</v>
      </c>
      <c r="O1292" t="n">
        <v>0</v>
      </c>
      <c r="P1292" t="n">
        <v>0</v>
      </c>
      <c r="Q1292" t="n">
        <v>0</v>
      </c>
      <c r="R1292" s="2" t="inlineStr"/>
    </row>
    <row r="1293" ht="15" customHeight="1">
      <c r="A1293" t="inlineStr">
        <is>
          <t>A 48066-2020</t>
        </is>
      </c>
      <c r="B1293" s="1" t="n">
        <v>44100</v>
      </c>
      <c r="C1293" s="1" t="n">
        <v>45224</v>
      </c>
      <c r="D1293" t="inlineStr">
        <is>
          <t>STOCKHOLMS LÄN</t>
        </is>
      </c>
      <c r="E1293" t="inlineStr">
        <is>
          <t>NORRTÄLJE</t>
        </is>
      </c>
      <c r="G1293" t="n">
        <v>3.7</v>
      </c>
      <c r="H1293" t="n">
        <v>0</v>
      </c>
      <c r="I1293" t="n">
        <v>0</v>
      </c>
      <c r="J1293" t="n">
        <v>0</v>
      </c>
      <c r="K1293" t="n">
        <v>0</v>
      </c>
      <c r="L1293" t="n">
        <v>0</v>
      </c>
      <c r="M1293" t="n">
        <v>0</v>
      </c>
      <c r="N1293" t="n">
        <v>0</v>
      </c>
      <c r="O1293" t="n">
        <v>0</v>
      </c>
      <c r="P1293" t="n">
        <v>0</v>
      </c>
      <c r="Q1293" t="n">
        <v>0</v>
      </c>
      <c r="R1293" s="2" t="inlineStr"/>
    </row>
    <row r="1294" ht="15" customHeight="1">
      <c r="A1294" t="inlineStr">
        <is>
          <t>A 48071-2020</t>
        </is>
      </c>
      <c r="B1294" s="1" t="n">
        <v>44100</v>
      </c>
      <c r="C1294" s="1" t="n">
        <v>45224</v>
      </c>
      <c r="D1294" t="inlineStr">
        <is>
          <t>STOCKHOLMS LÄN</t>
        </is>
      </c>
      <c r="E1294" t="inlineStr">
        <is>
          <t>NORRTÄLJE</t>
        </is>
      </c>
      <c r="G1294" t="n">
        <v>6.8</v>
      </c>
      <c r="H1294" t="n">
        <v>0</v>
      </c>
      <c r="I1294" t="n">
        <v>0</v>
      </c>
      <c r="J1294" t="n">
        <v>0</v>
      </c>
      <c r="K1294" t="n">
        <v>0</v>
      </c>
      <c r="L1294" t="n">
        <v>0</v>
      </c>
      <c r="M1294" t="n">
        <v>0</v>
      </c>
      <c r="N1294" t="n">
        <v>0</v>
      </c>
      <c r="O1294" t="n">
        <v>0</v>
      </c>
      <c r="P1294" t="n">
        <v>0</v>
      </c>
      <c r="Q1294" t="n">
        <v>0</v>
      </c>
      <c r="R1294" s="2" t="inlineStr"/>
    </row>
    <row r="1295" ht="15" customHeight="1">
      <c r="A1295" t="inlineStr">
        <is>
          <t>A 48522-2020</t>
        </is>
      </c>
      <c r="B1295" s="1" t="n">
        <v>44103</v>
      </c>
      <c r="C1295" s="1" t="n">
        <v>45224</v>
      </c>
      <c r="D1295" t="inlineStr">
        <is>
          <t>STOCKHOLMS LÄN</t>
        </is>
      </c>
      <c r="E1295" t="inlineStr">
        <is>
          <t>NORRTÄLJE</t>
        </is>
      </c>
      <c r="F1295" t="inlineStr">
        <is>
          <t>Holmen skog AB</t>
        </is>
      </c>
      <c r="G1295" t="n">
        <v>1.3</v>
      </c>
      <c r="H1295" t="n">
        <v>0</v>
      </c>
      <c r="I1295" t="n">
        <v>0</v>
      </c>
      <c r="J1295" t="n">
        <v>0</v>
      </c>
      <c r="K1295" t="n">
        <v>0</v>
      </c>
      <c r="L1295" t="n">
        <v>0</v>
      </c>
      <c r="M1295" t="n">
        <v>0</v>
      </c>
      <c r="N1295" t="n">
        <v>0</v>
      </c>
      <c r="O1295" t="n">
        <v>0</v>
      </c>
      <c r="P1295" t="n">
        <v>0</v>
      </c>
      <c r="Q1295" t="n">
        <v>0</v>
      </c>
      <c r="R1295" s="2" t="inlineStr"/>
    </row>
    <row r="1296" ht="15" customHeight="1">
      <c r="A1296" t="inlineStr">
        <is>
          <t>A 48496-2020</t>
        </is>
      </c>
      <c r="B1296" s="1" t="n">
        <v>44103</v>
      </c>
      <c r="C1296" s="1" t="n">
        <v>45224</v>
      </c>
      <c r="D1296" t="inlineStr">
        <is>
          <t>STOCKHOLMS LÄN</t>
        </is>
      </c>
      <c r="E1296" t="inlineStr">
        <is>
          <t>NORRTÄLJE</t>
        </is>
      </c>
      <c r="F1296" t="inlineStr">
        <is>
          <t>Holmen skog AB</t>
        </is>
      </c>
      <c r="G1296" t="n">
        <v>1.5</v>
      </c>
      <c r="H1296" t="n">
        <v>0</v>
      </c>
      <c r="I1296" t="n">
        <v>0</v>
      </c>
      <c r="J1296" t="n">
        <v>0</v>
      </c>
      <c r="K1296" t="n">
        <v>0</v>
      </c>
      <c r="L1296" t="n">
        <v>0</v>
      </c>
      <c r="M1296" t="n">
        <v>0</v>
      </c>
      <c r="N1296" t="n">
        <v>0</v>
      </c>
      <c r="O1296" t="n">
        <v>0</v>
      </c>
      <c r="P1296" t="n">
        <v>0</v>
      </c>
      <c r="Q1296" t="n">
        <v>0</v>
      </c>
      <c r="R1296" s="2" t="inlineStr"/>
    </row>
    <row r="1297" ht="15" customHeight="1">
      <c r="A1297" t="inlineStr">
        <is>
          <t>A 48985-2020</t>
        </is>
      </c>
      <c r="B1297" s="1" t="n">
        <v>44104</v>
      </c>
      <c r="C1297" s="1" t="n">
        <v>45224</v>
      </c>
      <c r="D1297" t="inlineStr">
        <is>
          <t>STOCKHOLMS LÄN</t>
        </is>
      </c>
      <c r="E1297" t="inlineStr">
        <is>
          <t>NYKVARN</t>
        </is>
      </c>
      <c r="G1297" t="n">
        <v>2</v>
      </c>
      <c r="H1297" t="n">
        <v>0</v>
      </c>
      <c r="I1297" t="n">
        <v>0</v>
      </c>
      <c r="J1297" t="n">
        <v>0</v>
      </c>
      <c r="K1297" t="n">
        <v>0</v>
      </c>
      <c r="L1297" t="n">
        <v>0</v>
      </c>
      <c r="M1297" t="n">
        <v>0</v>
      </c>
      <c r="N1297" t="n">
        <v>0</v>
      </c>
      <c r="O1297" t="n">
        <v>0</v>
      </c>
      <c r="P1297" t="n">
        <v>0</v>
      </c>
      <c r="Q1297" t="n">
        <v>0</v>
      </c>
      <c r="R1297" s="2" t="inlineStr"/>
    </row>
    <row r="1298" ht="15" customHeight="1">
      <c r="A1298" t="inlineStr">
        <is>
          <t>A 49269-2020</t>
        </is>
      </c>
      <c r="B1298" s="1" t="n">
        <v>44105</v>
      </c>
      <c r="C1298" s="1" t="n">
        <v>45224</v>
      </c>
      <c r="D1298" t="inlineStr">
        <is>
          <t>STOCKHOLMS LÄN</t>
        </is>
      </c>
      <c r="E1298" t="inlineStr">
        <is>
          <t>SIGTUNA</t>
        </is>
      </c>
      <c r="G1298" t="n">
        <v>12.9</v>
      </c>
      <c r="H1298" t="n">
        <v>0</v>
      </c>
      <c r="I1298" t="n">
        <v>0</v>
      </c>
      <c r="J1298" t="n">
        <v>0</v>
      </c>
      <c r="K1298" t="n">
        <v>0</v>
      </c>
      <c r="L1298" t="n">
        <v>0</v>
      </c>
      <c r="M1298" t="n">
        <v>0</v>
      </c>
      <c r="N1298" t="n">
        <v>0</v>
      </c>
      <c r="O1298" t="n">
        <v>0</v>
      </c>
      <c r="P1298" t="n">
        <v>0</v>
      </c>
      <c r="Q1298" t="n">
        <v>0</v>
      </c>
      <c r="R1298" s="2" t="inlineStr"/>
    </row>
    <row r="1299" ht="15" customHeight="1">
      <c r="A1299" t="inlineStr">
        <is>
          <t>A 49327-2020</t>
        </is>
      </c>
      <c r="B1299" s="1" t="n">
        <v>44105</v>
      </c>
      <c r="C1299" s="1" t="n">
        <v>45224</v>
      </c>
      <c r="D1299" t="inlineStr">
        <is>
          <t>STOCKHOLMS LÄN</t>
        </is>
      </c>
      <c r="E1299" t="inlineStr">
        <is>
          <t>NORRTÄLJE</t>
        </is>
      </c>
      <c r="G1299" t="n">
        <v>0.8</v>
      </c>
      <c r="H1299" t="n">
        <v>0</v>
      </c>
      <c r="I1299" t="n">
        <v>0</v>
      </c>
      <c r="J1299" t="n">
        <v>0</v>
      </c>
      <c r="K1299" t="n">
        <v>0</v>
      </c>
      <c r="L1299" t="n">
        <v>0</v>
      </c>
      <c r="M1299" t="n">
        <v>0</v>
      </c>
      <c r="N1299" t="n">
        <v>0</v>
      </c>
      <c r="O1299" t="n">
        <v>0</v>
      </c>
      <c r="P1299" t="n">
        <v>0</v>
      </c>
      <c r="Q1299" t="n">
        <v>0</v>
      </c>
      <c r="R1299" s="2" t="inlineStr"/>
    </row>
    <row r="1300" ht="15" customHeight="1">
      <c r="A1300" t="inlineStr">
        <is>
          <t>A 49334-2020</t>
        </is>
      </c>
      <c r="B1300" s="1" t="n">
        <v>44105</v>
      </c>
      <c r="C1300" s="1" t="n">
        <v>45224</v>
      </c>
      <c r="D1300" t="inlineStr">
        <is>
          <t>STOCKHOLMS LÄN</t>
        </is>
      </c>
      <c r="E1300" t="inlineStr">
        <is>
          <t>NORRTÄLJE</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49686-2020</t>
        </is>
      </c>
      <c r="B1301" s="1" t="n">
        <v>44106</v>
      </c>
      <c r="C1301" s="1" t="n">
        <v>45224</v>
      </c>
      <c r="D1301" t="inlineStr">
        <is>
          <t>STOCKHOLMS LÄN</t>
        </is>
      </c>
      <c r="E1301" t="inlineStr">
        <is>
          <t>UPPLANDS-BRO</t>
        </is>
      </c>
      <c r="G1301" t="n">
        <v>1.5</v>
      </c>
      <c r="H1301" t="n">
        <v>0</v>
      </c>
      <c r="I1301" t="n">
        <v>0</v>
      </c>
      <c r="J1301" t="n">
        <v>0</v>
      </c>
      <c r="K1301" t="n">
        <v>0</v>
      </c>
      <c r="L1301" t="n">
        <v>0</v>
      </c>
      <c r="M1301" t="n">
        <v>0</v>
      </c>
      <c r="N1301" t="n">
        <v>0</v>
      </c>
      <c r="O1301" t="n">
        <v>0</v>
      </c>
      <c r="P1301" t="n">
        <v>0</v>
      </c>
      <c r="Q1301" t="n">
        <v>0</v>
      </c>
      <c r="R1301" s="2" t="inlineStr"/>
    </row>
    <row r="1302" ht="15" customHeight="1">
      <c r="A1302" t="inlineStr">
        <is>
          <t>A 49898-2020</t>
        </is>
      </c>
      <c r="B1302" s="1" t="n">
        <v>44108</v>
      </c>
      <c r="C1302" s="1" t="n">
        <v>45224</v>
      </c>
      <c r="D1302" t="inlineStr">
        <is>
          <t>STOCKHOLMS LÄN</t>
        </is>
      </c>
      <c r="E1302" t="inlineStr">
        <is>
          <t>NORRTÄLJE</t>
        </is>
      </c>
      <c r="G1302" t="n">
        <v>1.2</v>
      </c>
      <c r="H1302" t="n">
        <v>0</v>
      </c>
      <c r="I1302" t="n">
        <v>0</v>
      </c>
      <c r="J1302" t="n">
        <v>0</v>
      </c>
      <c r="K1302" t="n">
        <v>0</v>
      </c>
      <c r="L1302" t="n">
        <v>0</v>
      </c>
      <c r="M1302" t="n">
        <v>0</v>
      </c>
      <c r="N1302" t="n">
        <v>0</v>
      </c>
      <c r="O1302" t="n">
        <v>0</v>
      </c>
      <c r="P1302" t="n">
        <v>0</v>
      </c>
      <c r="Q1302" t="n">
        <v>0</v>
      </c>
      <c r="R1302" s="2" t="inlineStr"/>
    </row>
    <row r="1303" ht="15" customHeight="1">
      <c r="A1303" t="inlineStr">
        <is>
          <t>A 49938-2020</t>
        </is>
      </c>
      <c r="B1303" s="1" t="n">
        <v>44109</v>
      </c>
      <c r="C1303" s="1" t="n">
        <v>45224</v>
      </c>
      <c r="D1303" t="inlineStr">
        <is>
          <t>STOCKHOLMS LÄN</t>
        </is>
      </c>
      <c r="E1303" t="inlineStr">
        <is>
          <t>SÖDERTÄLJE</t>
        </is>
      </c>
      <c r="F1303" t="inlineStr">
        <is>
          <t>Kommuner</t>
        </is>
      </c>
      <c r="G1303" t="n">
        <v>2.7</v>
      </c>
      <c r="H1303" t="n">
        <v>0</v>
      </c>
      <c r="I1303" t="n">
        <v>0</v>
      </c>
      <c r="J1303" t="n">
        <v>0</v>
      </c>
      <c r="K1303" t="n">
        <v>0</v>
      </c>
      <c r="L1303" t="n">
        <v>0</v>
      </c>
      <c r="M1303" t="n">
        <v>0</v>
      </c>
      <c r="N1303" t="n">
        <v>0</v>
      </c>
      <c r="O1303" t="n">
        <v>0</v>
      </c>
      <c r="P1303" t="n">
        <v>0</v>
      </c>
      <c r="Q1303" t="n">
        <v>0</v>
      </c>
      <c r="R1303" s="2" t="inlineStr"/>
    </row>
    <row r="1304" ht="15" customHeight="1">
      <c r="A1304" t="inlineStr">
        <is>
          <t>A 50497-2020</t>
        </is>
      </c>
      <c r="B1304" s="1" t="n">
        <v>44110</v>
      </c>
      <c r="C1304" s="1" t="n">
        <v>45224</v>
      </c>
      <c r="D1304" t="inlineStr">
        <is>
          <t>STOCKHOLMS LÄN</t>
        </is>
      </c>
      <c r="E1304" t="inlineStr">
        <is>
          <t>NORRTÄLJE</t>
        </is>
      </c>
      <c r="F1304" t="inlineStr">
        <is>
          <t>Holmen skog AB</t>
        </is>
      </c>
      <c r="G1304" t="n">
        <v>4.3</v>
      </c>
      <c r="H1304" t="n">
        <v>0</v>
      </c>
      <c r="I1304" t="n">
        <v>0</v>
      </c>
      <c r="J1304" t="n">
        <v>0</v>
      </c>
      <c r="K1304" t="n">
        <v>0</v>
      </c>
      <c r="L1304" t="n">
        <v>0</v>
      </c>
      <c r="M1304" t="n">
        <v>0</v>
      </c>
      <c r="N1304" t="n">
        <v>0</v>
      </c>
      <c r="O1304" t="n">
        <v>0</v>
      </c>
      <c r="P1304" t="n">
        <v>0</v>
      </c>
      <c r="Q1304" t="n">
        <v>0</v>
      </c>
      <c r="R1304" s="2" t="inlineStr"/>
    </row>
    <row r="1305" ht="15" customHeight="1">
      <c r="A1305" t="inlineStr">
        <is>
          <t>A 50585-2020</t>
        </is>
      </c>
      <c r="B1305" s="1" t="n">
        <v>44110</v>
      </c>
      <c r="C1305" s="1" t="n">
        <v>45224</v>
      </c>
      <c r="D1305" t="inlineStr">
        <is>
          <t>STOCKHOLMS LÄN</t>
        </is>
      </c>
      <c r="E1305" t="inlineStr">
        <is>
          <t>SIGTUNA</t>
        </is>
      </c>
      <c r="G1305" t="n">
        <v>5</v>
      </c>
      <c r="H1305" t="n">
        <v>0</v>
      </c>
      <c r="I1305" t="n">
        <v>0</v>
      </c>
      <c r="J1305" t="n">
        <v>0</v>
      </c>
      <c r="K1305" t="n">
        <v>0</v>
      </c>
      <c r="L1305" t="n">
        <v>0</v>
      </c>
      <c r="M1305" t="n">
        <v>0</v>
      </c>
      <c r="N1305" t="n">
        <v>0</v>
      </c>
      <c r="O1305" t="n">
        <v>0</v>
      </c>
      <c r="P1305" t="n">
        <v>0</v>
      </c>
      <c r="Q1305" t="n">
        <v>0</v>
      </c>
      <c r="R1305" s="2" t="inlineStr"/>
    </row>
    <row r="1306" ht="15" customHeight="1">
      <c r="A1306" t="inlineStr">
        <is>
          <t>A 50523-2020</t>
        </is>
      </c>
      <c r="B1306" s="1" t="n">
        <v>44110</v>
      </c>
      <c r="C1306" s="1" t="n">
        <v>45224</v>
      </c>
      <c r="D1306" t="inlineStr">
        <is>
          <t>STOCKHOLMS LÄN</t>
        </is>
      </c>
      <c r="E1306" t="inlineStr">
        <is>
          <t>SÖDERTÄLJE</t>
        </is>
      </c>
      <c r="G1306" t="n">
        <v>1.4</v>
      </c>
      <c r="H1306" t="n">
        <v>0</v>
      </c>
      <c r="I1306" t="n">
        <v>0</v>
      </c>
      <c r="J1306" t="n">
        <v>0</v>
      </c>
      <c r="K1306" t="n">
        <v>0</v>
      </c>
      <c r="L1306" t="n">
        <v>0</v>
      </c>
      <c r="M1306" t="n">
        <v>0</v>
      </c>
      <c r="N1306" t="n">
        <v>0</v>
      </c>
      <c r="O1306" t="n">
        <v>0</v>
      </c>
      <c r="P1306" t="n">
        <v>0</v>
      </c>
      <c r="Q1306" t="n">
        <v>0</v>
      </c>
      <c r="R1306" s="2" t="inlineStr"/>
    </row>
    <row r="1307" ht="15" customHeight="1">
      <c r="A1307" t="inlineStr">
        <is>
          <t>A 50529-2020</t>
        </is>
      </c>
      <c r="B1307" s="1" t="n">
        <v>44110</v>
      </c>
      <c r="C1307" s="1" t="n">
        <v>45224</v>
      </c>
      <c r="D1307" t="inlineStr">
        <is>
          <t>STOCKHOLMS LÄN</t>
        </is>
      </c>
      <c r="E1307" t="inlineStr">
        <is>
          <t>SÖDERTÄLJE</t>
        </is>
      </c>
      <c r="G1307" t="n">
        <v>2.3</v>
      </c>
      <c r="H1307" t="n">
        <v>0</v>
      </c>
      <c r="I1307" t="n">
        <v>0</v>
      </c>
      <c r="J1307" t="n">
        <v>0</v>
      </c>
      <c r="K1307" t="n">
        <v>0</v>
      </c>
      <c r="L1307" t="n">
        <v>0</v>
      </c>
      <c r="M1307" t="n">
        <v>0</v>
      </c>
      <c r="N1307" t="n">
        <v>0</v>
      </c>
      <c r="O1307" t="n">
        <v>0</v>
      </c>
      <c r="P1307" t="n">
        <v>0</v>
      </c>
      <c r="Q1307" t="n">
        <v>0</v>
      </c>
      <c r="R1307" s="2" t="inlineStr"/>
    </row>
    <row r="1308" ht="15" customHeight="1">
      <c r="A1308" t="inlineStr">
        <is>
          <t>A 50524-2020</t>
        </is>
      </c>
      <c r="B1308" s="1" t="n">
        <v>44110</v>
      </c>
      <c r="C1308" s="1" t="n">
        <v>45224</v>
      </c>
      <c r="D1308" t="inlineStr">
        <is>
          <t>STOCKHOLMS LÄN</t>
        </is>
      </c>
      <c r="E1308" t="inlineStr">
        <is>
          <t>SÖDERTÄLJE</t>
        </is>
      </c>
      <c r="G1308" t="n">
        <v>3.2</v>
      </c>
      <c r="H1308" t="n">
        <v>0</v>
      </c>
      <c r="I1308" t="n">
        <v>0</v>
      </c>
      <c r="J1308" t="n">
        <v>0</v>
      </c>
      <c r="K1308" t="n">
        <v>0</v>
      </c>
      <c r="L1308" t="n">
        <v>0</v>
      </c>
      <c r="M1308" t="n">
        <v>0</v>
      </c>
      <c r="N1308" t="n">
        <v>0</v>
      </c>
      <c r="O1308" t="n">
        <v>0</v>
      </c>
      <c r="P1308" t="n">
        <v>0</v>
      </c>
      <c r="Q1308" t="n">
        <v>0</v>
      </c>
      <c r="R1308" s="2" t="inlineStr"/>
    </row>
    <row r="1309" ht="15" customHeight="1">
      <c r="A1309" t="inlineStr">
        <is>
          <t>A 50520-2020</t>
        </is>
      </c>
      <c r="B1309" s="1" t="n">
        <v>44110</v>
      </c>
      <c r="C1309" s="1" t="n">
        <v>45224</v>
      </c>
      <c r="D1309" t="inlineStr">
        <is>
          <t>STOCKHOLMS LÄN</t>
        </is>
      </c>
      <c r="E1309" t="inlineStr">
        <is>
          <t>SÖDERTÄLJE</t>
        </is>
      </c>
      <c r="G1309" t="n">
        <v>6</v>
      </c>
      <c r="H1309" t="n">
        <v>0</v>
      </c>
      <c r="I1309" t="n">
        <v>0</v>
      </c>
      <c r="J1309" t="n">
        <v>0</v>
      </c>
      <c r="K1309" t="n">
        <v>0</v>
      </c>
      <c r="L1309" t="n">
        <v>0</v>
      </c>
      <c r="M1309" t="n">
        <v>0</v>
      </c>
      <c r="N1309" t="n">
        <v>0</v>
      </c>
      <c r="O1309" t="n">
        <v>0</v>
      </c>
      <c r="P1309" t="n">
        <v>0</v>
      </c>
      <c r="Q1309" t="n">
        <v>0</v>
      </c>
      <c r="R1309" s="2" t="inlineStr"/>
    </row>
    <row r="1310" ht="15" customHeight="1">
      <c r="A1310" t="inlineStr">
        <is>
          <t>A 50527-2020</t>
        </is>
      </c>
      <c r="B1310" s="1" t="n">
        <v>44110</v>
      </c>
      <c r="C1310" s="1" t="n">
        <v>45224</v>
      </c>
      <c r="D1310" t="inlineStr">
        <is>
          <t>STOCKHOLMS LÄN</t>
        </is>
      </c>
      <c r="E1310" t="inlineStr">
        <is>
          <t>SÖDERTÄLJE</t>
        </is>
      </c>
      <c r="G1310" t="n">
        <v>3.3</v>
      </c>
      <c r="H1310" t="n">
        <v>0</v>
      </c>
      <c r="I1310" t="n">
        <v>0</v>
      </c>
      <c r="J1310" t="n">
        <v>0</v>
      </c>
      <c r="K1310" t="n">
        <v>0</v>
      </c>
      <c r="L1310" t="n">
        <v>0</v>
      </c>
      <c r="M1310" t="n">
        <v>0</v>
      </c>
      <c r="N1310" t="n">
        <v>0</v>
      </c>
      <c r="O1310" t="n">
        <v>0</v>
      </c>
      <c r="P1310" t="n">
        <v>0</v>
      </c>
      <c r="Q1310" t="n">
        <v>0</v>
      </c>
      <c r="R1310" s="2" t="inlineStr"/>
    </row>
    <row r="1311" ht="15" customHeight="1">
      <c r="A1311" t="inlineStr">
        <is>
          <t>A 50698-2020</t>
        </is>
      </c>
      <c r="B1311" s="1" t="n">
        <v>44111</v>
      </c>
      <c r="C1311" s="1" t="n">
        <v>45224</v>
      </c>
      <c r="D1311" t="inlineStr">
        <is>
          <t>STOCKHOLMS LÄN</t>
        </is>
      </c>
      <c r="E1311" t="inlineStr">
        <is>
          <t>UPPLANDS-BRO</t>
        </is>
      </c>
      <c r="F1311" t="inlineStr">
        <is>
          <t>Övriga statliga verk och myndigheter</t>
        </is>
      </c>
      <c r="G1311" t="n">
        <v>2.2</v>
      </c>
      <c r="H1311" t="n">
        <v>0</v>
      </c>
      <c r="I1311" t="n">
        <v>0</v>
      </c>
      <c r="J1311" t="n">
        <v>0</v>
      </c>
      <c r="K1311" t="n">
        <v>0</v>
      </c>
      <c r="L1311" t="n">
        <v>0</v>
      </c>
      <c r="M1311" t="n">
        <v>0</v>
      </c>
      <c r="N1311" t="n">
        <v>0</v>
      </c>
      <c r="O1311" t="n">
        <v>0</v>
      </c>
      <c r="P1311" t="n">
        <v>0</v>
      </c>
      <c r="Q1311" t="n">
        <v>0</v>
      </c>
      <c r="R1311" s="2" t="inlineStr"/>
    </row>
    <row r="1312" ht="15" customHeight="1">
      <c r="A1312" t="inlineStr">
        <is>
          <t>A 50746-2020</t>
        </is>
      </c>
      <c r="B1312" s="1" t="n">
        <v>44111</v>
      </c>
      <c r="C1312" s="1" t="n">
        <v>45224</v>
      </c>
      <c r="D1312" t="inlineStr">
        <is>
          <t>STOCKHOLMS LÄN</t>
        </is>
      </c>
      <c r="E1312" t="inlineStr">
        <is>
          <t>NORRTÄLJE</t>
        </is>
      </c>
      <c r="G1312" t="n">
        <v>4.9</v>
      </c>
      <c r="H1312" t="n">
        <v>0</v>
      </c>
      <c r="I1312" t="n">
        <v>0</v>
      </c>
      <c r="J1312" t="n">
        <v>0</v>
      </c>
      <c r="K1312" t="n">
        <v>0</v>
      </c>
      <c r="L1312" t="n">
        <v>0</v>
      </c>
      <c r="M1312" t="n">
        <v>0</v>
      </c>
      <c r="N1312" t="n">
        <v>0</v>
      </c>
      <c r="O1312" t="n">
        <v>0</v>
      </c>
      <c r="P1312" t="n">
        <v>0</v>
      </c>
      <c r="Q1312" t="n">
        <v>0</v>
      </c>
      <c r="R1312" s="2" t="inlineStr"/>
    </row>
    <row r="1313" ht="15" customHeight="1">
      <c r="A1313" t="inlineStr">
        <is>
          <t>A 51203-2020</t>
        </is>
      </c>
      <c r="B1313" s="1" t="n">
        <v>44112</v>
      </c>
      <c r="C1313" s="1" t="n">
        <v>45224</v>
      </c>
      <c r="D1313" t="inlineStr">
        <is>
          <t>STOCKHOLMS LÄN</t>
        </is>
      </c>
      <c r="E1313" t="inlineStr">
        <is>
          <t>SÖDERTÄLJE</t>
        </is>
      </c>
      <c r="G1313" t="n">
        <v>5.7</v>
      </c>
      <c r="H1313" t="n">
        <v>0</v>
      </c>
      <c r="I1313" t="n">
        <v>0</v>
      </c>
      <c r="J1313" t="n">
        <v>0</v>
      </c>
      <c r="K1313" t="n">
        <v>0</v>
      </c>
      <c r="L1313" t="n">
        <v>0</v>
      </c>
      <c r="M1313" t="n">
        <v>0</v>
      </c>
      <c r="N1313" t="n">
        <v>0</v>
      </c>
      <c r="O1313" t="n">
        <v>0</v>
      </c>
      <c r="P1313" t="n">
        <v>0</v>
      </c>
      <c r="Q1313" t="n">
        <v>0</v>
      </c>
      <c r="R1313" s="2" t="inlineStr"/>
    </row>
    <row r="1314" ht="15" customHeight="1">
      <c r="A1314" t="inlineStr">
        <is>
          <t>A 51098-2020</t>
        </is>
      </c>
      <c r="B1314" s="1" t="n">
        <v>44112</v>
      </c>
      <c r="C1314" s="1" t="n">
        <v>45224</v>
      </c>
      <c r="D1314" t="inlineStr">
        <is>
          <t>STOCKHOLMS LÄN</t>
        </is>
      </c>
      <c r="E1314" t="inlineStr">
        <is>
          <t>NACKA</t>
        </is>
      </c>
      <c r="G1314" t="n">
        <v>1</v>
      </c>
      <c r="H1314" t="n">
        <v>0</v>
      </c>
      <c r="I1314" t="n">
        <v>0</v>
      </c>
      <c r="J1314" t="n">
        <v>0</v>
      </c>
      <c r="K1314" t="n">
        <v>0</v>
      </c>
      <c r="L1314" t="n">
        <v>0</v>
      </c>
      <c r="M1314" t="n">
        <v>0</v>
      </c>
      <c r="N1314" t="n">
        <v>0</v>
      </c>
      <c r="O1314" t="n">
        <v>0</v>
      </c>
      <c r="P1314" t="n">
        <v>0</v>
      </c>
      <c r="Q1314" t="n">
        <v>0</v>
      </c>
      <c r="R1314" s="2" t="inlineStr"/>
    </row>
    <row r="1315" ht="15" customHeight="1">
      <c r="A1315" t="inlineStr">
        <is>
          <t>A 51720-2020</t>
        </is>
      </c>
      <c r="B1315" s="1" t="n">
        <v>44113</v>
      </c>
      <c r="C1315" s="1" t="n">
        <v>45224</v>
      </c>
      <c r="D1315" t="inlineStr">
        <is>
          <t>STOCKHOLMS LÄN</t>
        </is>
      </c>
      <c r="E1315" t="inlineStr">
        <is>
          <t>NORRTÄLJE</t>
        </is>
      </c>
      <c r="G1315" t="n">
        <v>8.300000000000001</v>
      </c>
      <c r="H1315" t="n">
        <v>0</v>
      </c>
      <c r="I1315" t="n">
        <v>0</v>
      </c>
      <c r="J1315" t="n">
        <v>0</v>
      </c>
      <c r="K1315" t="n">
        <v>0</v>
      </c>
      <c r="L1315" t="n">
        <v>0</v>
      </c>
      <c r="M1315" t="n">
        <v>0</v>
      </c>
      <c r="N1315" t="n">
        <v>0</v>
      </c>
      <c r="O1315" t="n">
        <v>0</v>
      </c>
      <c r="P1315" t="n">
        <v>0</v>
      </c>
      <c r="Q1315" t="n">
        <v>0</v>
      </c>
      <c r="R1315" s="2" t="inlineStr"/>
    </row>
    <row r="1316" ht="15" customHeight="1">
      <c r="A1316" t="inlineStr">
        <is>
          <t>A 51798-2020</t>
        </is>
      </c>
      <c r="B1316" s="1" t="n">
        <v>44116</v>
      </c>
      <c r="C1316" s="1" t="n">
        <v>45224</v>
      </c>
      <c r="D1316" t="inlineStr">
        <is>
          <t>STOCKHOLMS LÄN</t>
        </is>
      </c>
      <c r="E1316" t="inlineStr">
        <is>
          <t>NORRTÄLJE</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51787-2020</t>
        </is>
      </c>
      <c r="B1317" s="1" t="n">
        <v>44116</v>
      </c>
      <c r="C1317" s="1" t="n">
        <v>45224</v>
      </c>
      <c r="D1317" t="inlineStr">
        <is>
          <t>STOCKHOLMS LÄN</t>
        </is>
      </c>
      <c r="E1317" t="inlineStr">
        <is>
          <t>NORRTÄLJE</t>
        </is>
      </c>
      <c r="G1317" t="n">
        <v>2.1</v>
      </c>
      <c r="H1317" t="n">
        <v>0</v>
      </c>
      <c r="I1317" t="n">
        <v>0</v>
      </c>
      <c r="J1317" t="n">
        <v>0</v>
      </c>
      <c r="K1317" t="n">
        <v>0</v>
      </c>
      <c r="L1317" t="n">
        <v>0</v>
      </c>
      <c r="M1317" t="n">
        <v>0</v>
      </c>
      <c r="N1317" t="n">
        <v>0</v>
      </c>
      <c r="O1317" t="n">
        <v>0</v>
      </c>
      <c r="P1317" t="n">
        <v>0</v>
      </c>
      <c r="Q1317" t="n">
        <v>0</v>
      </c>
      <c r="R1317" s="2" t="inlineStr"/>
    </row>
    <row r="1318" ht="15" customHeight="1">
      <c r="A1318" t="inlineStr">
        <is>
          <t>A 52727-2020</t>
        </is>
      </c>
      <c r="B1318" s="1" t="n">
        <v>44117</v>
      </c>
      <c r="C1318" s="1" t="n">
        <v>45224</v>
      </c>
      <c r="D1318" t="inlineStr">
        <is>
          <t>STOCKHOLMS LÄN</t>
        </is>
      </c>
      <c r="E1318" t="inlineStr">
        <is>
          <t>STOCKHOLM</t>
        </is>
      </c>
      <c r="F1318" t="inlineStr">
        <is>
          <t>Kommuner</t>
        </is>
      </c>
      <c r="G1318" t="n">
        <v>0.7</v>
      </c>
      <c r="H1318" t="n">
        <v>0</v>
      </c>
      <c r="I1318" t="n">
        <v>0</v>
      </c>
      <c r="J1318" t="n">
        <v>0</v>
      </c>
      <c r="K1318" t="n">
        <v>0</v>
      </c>
      <c r="L1318" t="n">
        <v>0</v>
      </c>
      <c r="M1318" t="n">
        <v>0</v>
      </c>
      <c r="N1318" t="n">
        <v>0</v>
      </c>
      <c r="O1318" t="n">
        <v>0</v>
      </c>
      <c r="P1318" t="n">
        <v>0</v>
      </c>
      <c r="Q1318" t="n">
        <v>0</v>
      </c>
      <c r="R1318" s="2" t="inlineStr"/>
    </row>
    <row r="1319" ht="15" customHeight="1">
      <c r="A1319" t="inlineStr">
        <is>
          <t>A 52806-2020</t>
        </is>
      </c>
      <c r="B1319" s="1" t="n">
        <v>44119</v>
      </c>
      <c r="C1319" s="1" t="n">
        <v>45224</v>
      </c>
      <c r="D1319" t="inlineStr">
        <is>
          <t>STOCKHOLMS LÄN</t>
        </is>
      </c>
      <c r="E1319" t="inlineStr">
        <is>
          <t>NYNÄSHAMN</t>
        </is>
      </c>
      <c r="G1319" t="n">
        <v>5.9</v>
      </c>
      <c r="H1319" t="n">
        <v>0</v>
      </c>
      <c r="I1319" t="n">
        <v>0</v>
      </c>
      <c r="J1319" t="n">
        <v>0</v>
      </c>
      <c r="K1319" t="n">
        <v>0</v>
      </c>
      <c r="L1319" t="n">
        <v>0</v>
      </c>
      <c r="M1319" t="n">
        <v>0</v>
      </c>
      <c r="N1319" t="n">
        <v>0</v>
      </c>
      <c r="O1319" t="n">
        <v>0</v>
      </c>
      <c r="P1319" t="n">
        <v>0</v>
      </c>
      <c r="Q1319" t="n">
        <v>0</v>
      </c>
      <c r="R1319" s="2" t="inlineStr"/>
    </row>
    <row r="1320" ht="15" customHeight="1">
      <c r="A1320" t="inlineStr">
        <is>
          <t>A 53768-2020</t>
        </is>
      </c>
      <c r="B1320" s="1" t="n">
        <v>44123</v>
      </c>
      <c r="C1320" s="1" t="n">
        <v>45224</v>
      </c>
      <c r="D1320" t="inlineStr">
        <is>
          <t>STOCKHOLMS LÄN</t>
        </is>
      </c>
      <c r="E1320" t="inlineStr">
        <is>
          <t>NORRTÄLJE</t>
        </is>
      </c>
      <c r="F1320" t="inlineStr">
        <is>
          <t>Kommuner</t>
        </is>
      </c>
      <c r="G1320" t="n">
        <v>2.1</v>
      </c>
      <c r="H1320" t="n">
        <v>0</v>
      </c>
      <c r="I1320" t="n">
        <v>0</v>
      </c>
      <c r="J1320" t="n">
        <v>0</v>
      </c>
      <c r="K1320" t="n">
        <v>0</v>
      </c>
      <c r="L1320" t="n">
        <v>0</v>
      </c>
      <c r="M1320" t="n">
        <v>0</v>
      </c>
      <c r="N1320" t="n">
        <v>0</v>
      </c>
      <c r="O1320" t="n">
        <v>0</v>
      </c>
      <c r="P1320" t="n">
        <v>0</v>
      </c>
      <c r="Q1320" t="n">
        <v>0</v>
      </c>
      <c r="R1320" s="2" t="inlineStr"/>
    </row>
    <row r="1321" ht="15" customHeight="1">
      <c r="A1321" t="inlineStr">
        <is>
          <t>A 53607-2020</t>
        </is>
      </c>
      <c r="B1321" s="1" t="n">
        <v>44124</v>
      </c>
      <c r="C1321" s="1" t="n">
        <v>45224</v>
      </c>
      <c r="D1321" t="inlineStr">
        <is>
          <t>STOCKHOLMS LÄN</t>
        </is>
      </c>
      <c r="E1321" t="inlineStr">
        <is>
          <t>NORRTÄLJE</t>
        </is>
      </c>
      <c r="F1321" t="inlineStr">
        <is>
          <t>Holmen skog AB</t>
        </is>
      </c>
      <c r="G1321" t="n">
        <v>1.9</v>
      </c>
      <c r="H1321" t="n">
        <v>0</v>
      </c>
      <c r="I1321" t="n">
        <v>0</v>
      </c>
      <c r="J1321" t="n">
        <v>0</v>
      </c>
      <c r="K1321" t="n">
        <v>0</v>
      </c>
      <c r="L1321" t="n">
        <v>0</v>
      </c>
      <c r="M1321" t="n">
        <v>0</v>
      </c>
      <c r="N1321" t="n">
        <v>0</v>
      </c>
      <c r="O1321" t="n">
        <v>0</v>
      </c>
      <c r="P1321" t="n">
        <v>0</v>
      </c>
      <c r="Q1321" t="n">
        <v>0</v>
      </c>
      <c r="R1321" s="2" t="inlineStr"/>
    </row>
    <row r="1322" ht="15" customHeight="1">
      <c r="A1322" t="inlineStr">
        <is>
          <t>A 53750-2020</t>
        </is>
      </c>
      <c r="B1322" s="1" t="n">
        <v>44124</v>
      </c>
      <c r="C1322" s="1" t="n">
        <v>45224</v>
      </c>
      <c r="D1322" t="inlineStr">
        <is>
          <t>STOCKHOLMS LÄN</t>
        </is>
      </c>
      <c r="E1322" t="inlineStr">
        <is>
          <t>SÖDERTÄLJE</t>
        </is>
      </c>
      <c r="G1322" t="n">
        <v>4.8</v>
      </c>
      <c r="H1322" t="n">
        <v>0</v>
      </c>
      <c r="I1322" t="n">
        <v>0</v>
      </c>
      <c r="J1322" t="n">
        <v>0</v>
      </c>
      <c r="K1322" t="n">
        <v>0</v>
      </c>
      <c r="L1322" t="n">
        <v>0</v>
      </c>
      <c r="M1322" t="n">
        <v>0</v>
      </c>
      <c r="N1322" t="n">
        <v>0</v>
      </c>
      <c r="O1322" t="n">
        <v>0</v>
      </c>
      <c r="P1322" t="n">
        <v>0</v>
      </c>
      <c r="Q1322" t="n">
        <v>0</v>
      </c>
      <c r="R1322" s="2" t="inlineStr"/>
    </row>
    <row r="1323" ht="15" customHeight="1">
      <c r="A1323" t="inlineStr">
        <is>
          <t>A 53690-2020</t>
        </is>
      </c>
      <c r="B1323" s="1" t="n">
        <v>44124</v>
      </c>
      <c r="C1323" s="1" t="n">
        <v>45224</v>
      </c>
      <c r="D1323" t="inlineStr">
        <is>
          <t>STOCKHOLMS LÄN</t>
        </is>
      </c>
      <c r="E1323" t="inlineStr">
        <is>
          <t>NORRTÄLJE</t>
        </is>
      </c>
      <c r="G1323" t="n">
        <v>0.5</v>
      </c>
      <c r="H1323" t="n">
        <v>0</v>
      </c>
      <c r="I1323" t="n">
        <v>0</v>
      </c>
      <c r="J1323" t="n">
        <v>0</v>
      </c>
      <c r="K1323" t="n">
        <v>0</v>
      </c>
      <c r="L1323" t="n">
        <v>0</v>
      </c>
      <c r="M1323" t="n">
        <v>0</v>
      </c>
      <c r="N1323" t="n">
        <v>0</v>
      </c>
      <c r="O1323" t="n">
        <v>0</v>
      </c>
      <c r="P1323" t="n">
        <v>0</v>
      </c>
      <c r="Q1323" t="n">
        <v>0</v>
      </c>
      <c r="R1323" s="2" t="inlineStr"/>
    </row>
    <row r="1324" ht="15" customHeight="1">
      <c r="A1324" t="inlineStr">
        <is>
          <t>A 53652-2020</t>
        </is>
      </c>
      <c r="B1324" s="1" t="n">
        <v>44124</v>
      </c>
      <c r="C1324" s="1" t="n">
        <v>45224</v>
      </c>
      <c r="D1324" t="inlineStr">
        <is>
          <t>STOCKHOLMS LÄN</t>
        </is>
      </c>
      <c r="E1324" t="inlineStr">
        <is>
          <t>NORRTÄLJE</t>
        </is>
      </c>
      <c r="G1324" t="n">
        <v>2</v>
      </c>
      <c r="H1324" t="n">
        <v>0</v>
      </c>
      <c r="I1324" t="n">
        <v>0</v>
      </c>
      <c r="J1324" t="n">
        <v>0</v>
      </c>
      <c r="K1324" t="n">
        <v>0</v>
      </c>
      <c r="L1324" t="n">
        <v>0</v>
      </c>
      <c r="M1324" t="n">
        <v>0</v>
      </c>
      <c r="N1324" t="n">
        <v>0</v>
      </c>
      <c r="O1324" t="n">
        <v>0</v>
      </c>
      <c r="P1324" t="n">
        <v>0</v>
      </c>
      <c r="Q1324" t="n">
        <v>0</v>
      </c>
      <c r="R1324" s="2" t="inlineStr"/>
    </row>
    <row r="1325" ht="15" customHeight="1">
      <c r="A1325" t="inlineStr">
        <is>
          <t>A 54002-2020</t>
        </is>
      </c>
      <c r="B1325" s="1" t="n">
        <v>44125</v>
      </c>
      <c r="C1325" s="1" t="n">
        <v>45224</v>
      </c>
      <c r="D1325" t="inlineStr">
        <is>
          <t>STOCKHOLMS LÄN</t>
        </is>
      </c>
      <c r="E1325" t="inlineStr">
        <is>
          <t>BOTKYRKA</t>
        </is>
      </c>
      <c r="F1325" t="inlineStr">
        <is>
          <t>Övriga Aktiebolag</t>
        </is>
      </c>
      <c r="G1325" t="n">
        <v>9</v>
      </c>
      <c r="H1325" t="n">
        <v>0</v>
      </c>
      <c r="I1325" t="n">
        <v>0</v>
      </c>
      <c r="J1325" t="n">
        <v>0</v>
      </c>
      <c r="K1325" t="n">
        <v>0</v>
      </c>
      <c r="L1325" t="n">
        <v>0</v>
      </c>
      <c r="M1325" t="n">
        <v>0</v>
      </c>
      <c r="N1325" t="n">
        <v>0</v>
      </c>
      <c r="O1325" t="n">
        <v>0</v>
      </c>
      <c r="P1325" t="n">
        <v>0</v>
      </c>
      <c r="Q1325" t="n">
        <v>0</v>
      </c>
      <c r="R1325" s="2" t="inlineStr"/>
    </row>
    <row r="1326" ht="15" customHeight="1">
      <c r="A1326" t="inlineStr">
        <is>
          <t>A 53979-2020</t>
        </is>
      </c>
      <c r="B1326" s="1" t="n">
        <v>44125</v>
      </c>
      <c r="C1326" s="1" t="n">
        <v>45224</v>
      </c>
      <c r="D1326" t="inlineStr">
        <is>
          <t>STOCKHOLMS LÄN</t>
        </is>
      </c>
      <c r="E1326" t="inlineStr">
        <is>
          <t>BOTKYRKA</t>
        </is>
      </c>
      <c r="F1326" t="inlineStr">
        <is>
          <t>Övriga Aktiebolag</t>
        </is>
      </c>
      <c r="G1326" t="n">
        <v>6.3</v>
      </c>
      <c r="H1326" t="n">
        <v>0</v>
      </c>
      <c r="I1326" t="n">
        <v>0</v>
      </c>
      <c r="J1326" t="n">
        <v>0</v>
      </c>
      <c r="K1326" t="n">
        <v>0</v>
      </c>
      <c r="L1326" t="n">
        <v>0</v>
      </c>
      <c r="M1326" t="n">
        <v>0</v>
      </c>
      <c r="N1326" t="n">
        <v>0</v>
      </c>
      <c r="O1326" t="n">
        <v>0</v>
      </c>
      <c r="P1326" t="n">
        <v>0</v>
      </c>
      <c r="Q1326" t="n">
        <v>0</v>
      </c>
      <c r="R1326" s="2" t="inlineStr"/>
    </row>
    <row r="1327" ht="15" customHeight="1">
      <c r="A1327" t="inlineStr">
        <is>
          <t>A 55200-2020</t>
        </is>
      </c>
      <c r="B1327" s="1" t="n">
        <v>44130</v>
      </c>
      <c r="C1327" s="1" t="n">
        <v>45224</v>
      </c>
      <c r="D1327" t="inlineStr">
        <is>
          <t>STOCKHOLMS LÄN</t>
        </is>
      </c>
      <c r="E1327" t="inlineStr">
        <is>
          <t>BOTKYRKA</t>
        </is>
      </c>
      <c r="G1327" t="n">
        <v>5.4</v>
      </c>
      <c r="H1327" t="n">
        <v>0</v>
      </c>
      <c r="I1327" t="n">
        <v>0</v>
      </c>
      <c r="J1327" t="n">
        <v>0</v>
      </c>
      <c r="K1327" t="n">
        <v>0</v>
      </c>
      <c r="L1327" t="n">
        <v>0</v>
      </c>
      <c r="M1327" t="n">
        <v>0</v>
      </c>
      <c r="N1327" t="n">
        <v>0</v>
      </c>
      <c r="O1327" t="n">
        <v>0</v>
      </c>
      <c r="P1327" t="n">
        <v>0</v>
      </c>
      <c r="Q1327" t="n">
        <v>0</v>
      </c>
      <c r="R1327" s="2" t="inlineStr"/>
    </row>
    <row r="1328" ht="15" customHeight="1">
      <c r="A1328" t="inlineStr">
        <is>
          <t>A 55464-2020</t>
        </is>
      </c>
      <c r="B1328" s="1" t="n">
        <v>44130</v>
      </c>
      <c r="C1328" s="1" t="n">
        <v>45224</v>
      </c>
      <c r="D1328" t="inlineStr">
        <is>
          <t>STOCKHOLMS LÄN</t>
        </is>
      </c>
      <c r="E1328" t="inlineStr">
        <is>
          <t>SÖDERTÄLJE</t>
        </is>
      </c>
      <c r="G1328" t="n">
        <v>5</v>
      </c>
      <c r="H1328" t="n">
        <v>0</v>
      </c>
      <c r="I1328" t="n">
        <v>0</v>
      </c>
      <c r="J1328" t="n">
        <v>0</v>
      </c>
      <c r="K1328" t="n">
        <v>0</v>
      </c>
      <c r="L1328" t="n">
        <v>0</v>
      </c>
      <c r="M1328" t="n">
        <v>0</v>
      </c>
      <c r="N1328" t="n">
        <v>0</v>
      </c>
      <c r="O1328" t="n">
        <v>0</v>
      </c>
      <c r="P1328" t="n">
        <v>0</v>
      </c>
      <c r="Q1328" t="n">
        <v>0</v>
      </c>
      <c r="R1328" s="2" t="inlineStr"/>
    </row>
    <row r="1329" ht="15" customHeight="1">
      <c r="A1329" t="inlineStr">
        <is>
          <t>A 55466-2020</t>
        </is>
      </c>
      <c r="B1329" s="1" t="n">
        <v>44130</v>
      </c>
      <c r="C1329" s="1" t="n">
        <v>45224</v>
      </c>
      <c r="D1329" t="inlineStr">
        <is>
          <t>STOCKHOLMS LÄN</t>
        </is>
      </c>
      <c r="E1329" t="inlineStr">
        <is>
          <t>SÖDERTÄLJE</t>
        </is>
      </c>
      <c r="G1329" t="n">
        <v>6.3</v>
      </c>
      <c r="H1329" t="n">
        <v>0</v>
      </c>
      <c r="I1329" t="n">
        <v>0</v>
      </c>
      <c r="J1329" t="n">
        <v>0</v>
      </c>
      <c r="K1329" t="n">
        <v>0</v>
      </c>
      <c r="L1329" t="n">
        <v>0</v>
      </c>
      <c r="M1329" t="n">
        <v>0</v>
      </c>
      <c r="N1329" t="n">
        <v>0</v>
      </c>
      <c r="O1329" t="n">
        <v>0</v>
      </c>
      <c r="P1329" t="n">
        <v>0</v>
      </c>
      <c r="Q1329" t="n">
        <v>0</v>
      </c>
      <c r="R1329" s="2" t="inlineStr"/>
    </row>
    <row r="1330" ht="15" customHeight="1">
      <c r="A1330" t="inlineStr">
        <is>
          <t>A 55089-2020</t>
        </is>
      </c>
      <c r="B1330" s="1" t="n">
        <v>44130</v>
      </c>
      <c r="C1330" s="1" t="n">
        <v>45224</v>
      </c>
      <c r="D1330" t="inlineStr">
        <is>
          <t>STOCKHOLMS LÄN</t>
        </is>
      </c>
      <c r="E1330" t="inlineStr">
        <is>
          <t>NORRTÄLJE</t>
        </is>
      </c>
      <c r="G1330" t="n">
        <v>1</v>
      </c>
      <c r="H1330" t="n">
        <v>0</v>
      </c>
      <c r="I1330" t="n">
        <v>0</v>
      </c>
      <c r="J1330" t="n">
        <v>0</v>
      </c>
      <c r="K1330" t="n">
        <v>0</v>
      </c>
      <c r="L1330" t="n">
        <v>0</v>
      </c>
      <c r="M1330" t="n">
        <v>0</v>
      </c>
      <c r="N1330" t="n">
        <v>0</v>
      </c>
      <c r="O1330" t="n">
        <v>0</v>
      </c>
      <c r="P1330" t="n">
        <v>0</v>
      </c>
      <c r="Q1330" t="n">
        <v>0</v>
      </c>
      <c r="R1330" s="2" t="inlineStr"/>
    </row>
    <row r="1331" ht="15" customHeight="1">
      <c r="A1331" t="inlineStr">
        <is>
          <t>A 55541-2020</t>
        </is>
      </c>
      <c r="B1331" s="1" t="n">
        <v>44131</v>
      </c>
      <c r="C1331" s="1" t="n">
        <v>45224</v>
      </c>
      <c r="D1331" t="inlineStr">
        <is>
          <t>STOCKHOLMS LÄN</t>
        </is>
      </c>
      <c r="E1331" t="inlineStr">
        <is>
          <t>UPPLANDS-BRO</t>
        </is>
      </c>
      <c r="G1331" t="n">
        <v>2.3</v>
      </c>
      <c r="H1331" t="n">
        <v>0</v>
      </c>
      <c r="I1331" t="n">
        <v>0</v>
      </c>
      <c r="J1331" t="n">
        <v>0</v>
      </c>
      <c r="K1331" t="n">
        <v>0</v>
      </c>
      <c r="L1331" t="n">
        <v>0</v>
      </c>
      <c r="M1331" t="n">
        <v>0</v>
      </c>
      <c r="N1331" t="n">
        <v>0</v>
      </c>
      <c r="O1331" t="n">
        <v>0</v>
      </c>
      <c r="P1331" t="n">
        <v>0</v>
      </c>
      <c r="Q1331" t="n">
        <v>0</v>
      </c>
      <c r="R1331" s="2" t="inlineStr"/>
    </row>
    <row r="1332" ht="15" customHeight="1">
      <c r="A1332" t="inlineStr">
        <is>
          <t>A 55895-2020</t>
        </is>
      </c>
      <c r="B1332" s="1" t="n">
        <v>44132</v>
      </c>
      <c r="C1332" s="1" t="n">
        <v>45224</v>
      </c>
      <c r="D1332" t="inlineStr">
        <is>
          <t>STOCKHOLMS LÄN</t>
        </is>
      </c>
      <c r="E1332" t="inlineStr">
        <is>
          <t>NORRTÄLJE</t>
        </is>
      </c>
      <c r="G1332" t="n">
        <v>0.8</v>
      </c>
      <c r="H1332" t="n">
        <v>0</v>
      </c>
      <c r="I1332" t="n">
        <v>0</v>
      </c>
      <c r="J1332" t="n">
        <v>0</v>
      </c>
      <c r="K1332" t="n">
        <v>0</v>
      </c>
      <c r="L1332" t="n">
        <v>0</v>
      </c>
      <c r="M1332" t="n">
        <v>0</v>
      </c>
      <c r="N1332" t="n">
        <v>0</v>
      </c>
      <c r="O1332" t="n">
        <v>0</v>
      </c>
      <c r="P1332" t="n">
        <v>0</v>
      </c>
      <c r="Q1332" t="n">
        <v>0</v>
      </c>
      <c r="R1332" s="2" t="inlineStr"/>
    </row>
    <row r="1333" ht="15" customHeight="1">
      <c r="A1333" t="inlineStr">
        <is>
          <t>A 55982-2020</t>
        </is>
      </c>
      <c r="B1333" s="1" t="n">
        <v>44132</v>
      </c>
      <c r="C1333" s="1" t="n">
        <v>45224</v>
      </c>
      <c r="D1333" t="inlineStr">
        <is>
          <t>STOCKHOLMS LÄN</t>
        </is>
      </c>
      <c r="E1333" t="inlineStr">
        <is>
          <t>NORRTÄLJE</t>
        </is>
      </c>
      <c r="G1333" t="n">
        <v>11.3</v>
      </c>
      <c r="H1333" t="n">
        <v>0</v>
      </c>
      <c r="I1333" t="n">
        <v>0</v>
      </c>
      <c r="J1333" t="n">
        <v>0</v>
      </c>
      <c r="K1333" t="n">
        <v>0</v>
      </c>
      <c r="L1333" t="n">
        <v>0</v>
      </c>
      <c r="M1333" t="n">
        <v>0</v>
      </c>
      <c r="N1333" t="n">
        <v>0</v>
      </c>
      <c r="O1333" t="n">
        <v>0</v>
      </c>
      <c r="P1333" t="n">
        <v>0</v>
      </c>
      <c r="Q1333" t="n">
        <v>0</v>
      </c>
      <c r="R1333" s="2" t="inlineStr"/>
    </row>
    <row r="1334" ht="15" customHeight="1">
      <c r="A1334" t="inlineStr">
        <is>
          <t>A 55890-2020</t>
        </is>
      </c>
      <c r="B1334" s="1" t="n">
        <v>44132</v>
      </c>
      <c r="C1334" s="1" t="n">
        <v>45224</v>
      </c>
      <c r="D1334" t="inlineStr">
        <is>
          <t>STOCKHOLMS LÄN</t>
        </is>
      </c>
      <c r="E1334" t="inlineStr">
        <is>
          <t>NORRTÄLJE</t>
        </is>
      </c>
      <c r="G1334" t="n">
        <v>1.2</v>
      </c>
      <c r="H1334" t="n">
        <v>0</v>
      </c>
      <c r="I1334" t="n">
        <v>0</v>
      </c>
      <c r="J1334" t="n">
        <v>0</v>
      </c>
      <c r="K1334" t="n">
        <v>0</v>
      </c>
      <c r="L1334" t="n">
        <v>0</v>
      </c>
      <c r="M1334" t="n">
        <v>0</v>
      </c>
      <c r="N1334" t="n">
        <v>0</v>
      </c>
      <c r="O1334" t="n">
        <v>0</v>
      </c>
      <c r="P1334" t="n">
        <v>0</v>
      </c>
      <c r="Q1334" t="n">
        <v>0</v>
      </c>
      <c r="R1334" s="2" t="inlineStr"/>
    </row>
    <row r="1335" ht="15" customHeight="1">
      <c r="A1335" t="inlineStr">
        <is>
          <t>A 56166-2020</t>
        </is>
      </c>
      <c r="B1335" s="1" t="n">
        <v>44133</v>
      </c>
      <c r="C1335" s="1" t="n">
        <v>45224</v>
      </c>
      <c r="D1335" t="inlineStr">
        <is>
          <t>STOCKHOLMS LÄN</t>
        </is>
      </c>
      <c r="E1335" t="inlineStr">
        <is>
          <t>NORRTÄLJE</t>
        </is>
      </c>
      <c r="G1335" t="n">
        <v>4.4</v>
      </c>
      <c r="H1335" t="n">
        <v>0</v>
      </c>
      <c r="I1335" t="n">
        <v>0</v>
      </c>
      <c r="J1335" t="n">
        <v>0</v>
      </c>
      <c r="K1335" t="n">
        <v>0</v>
      </c>
      <c r="L1335" t="n">
        <v>0</v>
      </c>
      <c r="M1335" t="n">
        <v>0</v>
      </c>
      <c r="N1335" t="n">
        <v>0</v>
      </c>
      <c r="O1335" t="n">
        <v>0</v>
      </c>
      <c r="P1335" t="n">
        <v>0</v>
      </c>
      <c r="Q1335" t="n">
        <v>0</v>
      </c>
      <c r="R1335" s="2" t="inlineStr"/>
    </row>
    <row r="1336" ht="15" customHeight="1">
      <c r="A1336" t="inlineStr">
        <is>
          <t>A 56608-2020</t>
        </is>
      </c>
      <c r="B1336" s="1" t="n">
        <v>44133</v>
      </c>
      <c r="C1336" s="1" t="n">
        <v>45224</v>
      </c>
      <c r="D1336" t="inlineStr">
        <is>
          <t>STOCKHOLMS LÄN</t>
        </is>
      </c>
      <c r="E1336" t="inlineStr">
        <is>
          <t>NYNÄSHAMN</t>
        </is>
      </c>
      <c r="G1336" t="n">
        <v>3.9</v>
      </c>
      <c r="H1336" t="n">
        <v>0</v>
      </c>
      <c r="I1336" t="n">
        <v>0</v>
      </c>
      <c r="J1336" t="n">
        <v>0</v>
      </c>
      <c r="K1336" t="n">
        <v>0</v>
      </c>
      <c r="L1336" t="n">
        <v>0</v>
      </c>
      <c r="M1336" t="n">
        <v>0</v>
      </c>
      <c r="N1336" t="n">
        <v>0</v>
      </c>
      <c r="O1336" t="n">
        <v>0</v>
      </c>
      <c r="P1336" t="n">
        <v>0</v>
      </c>
      <c r="Q1336" t="n">
        <v>0</v>
      </c>
      <c r="R1336" s="2" t="inlineStr"/>
    </row>
    <row r="1337" ht="15" customHeight="1">
      <c r="A1337" t="inlineStr">
        <is>
          <t>A 56323-2020</t>
        </is>
      </c>
      <c r="B1337" s="1" t="n">
        <v>44134</v>
      </c>
      <c r="C1337" s="1" t="n">
        <v>45224</v>
      </c>
      <c r="D1337" t="inlineStr">
        <is>
          <t>STOCKHOLMS LÄN</t>
        </is>
      </c>
      <c r="E1337" t="inlineStr">
        <is>
          <t>NORRTÄLJE</t>
        </is>
      </c>
      <c r="G1337" t="n">
        <v>2.4</v>
      </c>
      <c r="H1337" t="n">
        <v>0</v>
      </c>
      <c r="I1337" t="n">
        <v>0</v>
      </c>
      <c r="J1337" t="n">
        <v>0</v>
      </c>
      <c r="K1337" t="n">
        <v>0</v>
      </c>
      <c r="L1337" t="n">
        <v>0</v>
      </c>
      <c r="M1337" t="n">
        <v>0</v>
      </c>
      <c r="N1337" t="n">
        <v>0</v>
      </c>
      <c r="O1337" t="n">
        <v>0</v>
      </c>
      <c r="P1337" t="n">
        <v>0</v>
      </c>
      <c r="Q1337" t="n">
        <v>0</v>
      </c>
      <c r="R1337" s="2" t="inlineStr"/>
    </row>
    <row r="1338" ht="15" customHeight="1">
      <c r="A1338" t="inlineStr">
        <is>
          <t>A 57552-2020</t>
        </is>
      </c>
      <c r="B1338" s="1" t="n">
        <v>44140</v>
      </c>
      <c r="C1338" s="1" t="n">
        <v>45224</v>
      </c>
      <c r="D1338" t="inlineStr">
        <is>
          <t>STOCKHOLMS LÄN</t>
        </is>
      </c>
      <c r="E1338" t="inlineStr">
        <is>
          <t>SIGTUNA</t>
        </is>
      </c>
      <c r="G1338" t="n">
        <v>17.9</v>
      </c>
      <c r="H1338" t="n">
        <v>0</v>
      </c>
      <c r="I1338" t="n">
        <v>0</v>
      </c>
      <c r="J1338" t="n">
        <v>0</v>
      </c>
      <c r="K1338" t="n">
        <v>0</v>
      </c>
      <c r="L1338" t="n">
        <v>0</v>
      </c>
      <c r="M1338" t="n">
        <v>0</v>
      </c>
      <c r="N1338" t="n">
        <v>0</v>
      </c>
      <c r="O1338" t="n">
        <v>0</v>
      </c>
      <c r="P1338" t="n">
        <v>0</v>
      </c>
      <c r="Q1338" t="n">
        <v>0</v>
      </c>
      <c r="R1338" s="2" t="inlineStr"/>
    </row>
    <row r="1339" ht="15" customHeight="1">
      <c r="A1339" t="inlineStr">
        <is>
          <t>A 57809-2020</t>
        </is>
      </c>
      <c r="B1339" s="1" t="n">
        <v>44141</v>
      </c>
      <c r="C1339" s="1" t="n">
        <v>45224</v>
      </c>
      <c r="D1339" t="inlineStr">
        <is>
          <t>STOCKHOLMS LÄN</t>
        </is>
      </c>
      <c r="E1339" t="inlineStr">
        <is>
          <t>BOTKYRKA</t>
        </is>
      </c>
      <c r="G1339" t="n">
        <v>1.4</v>
      </c>
      <c r="H1339" t="n">
        <v>0</v>
      </c>
      <c r="I1339" t="n">
        <v>0</v>
      </c>
      <c r="J1339" t="n">
        <v>0</v>
      </c>
      <c r="K1339" t="n">
        <v>0</v>
      </c>
      <c r="L1339" t="n">
        <v>0</v>
      </c>
      <c r="M1339" t="n">
        <v>0</v>
      </c>
      <c r="N1339" t="n">
        <v>0</v>
      </c>
      <c r="O1339" t="n">
        <v>0</v>
      </c>
      <c r="P1339" t="n">
        <v>0</v>
      </c>
      <c r="Q1339" t="n">
        <v>0</v>
      </c>
      <c r="R1339" s="2" t="inlineStr"/>
    </row>
    <row r="1340" ht="15" customHeight="1">
      <c r="A1340" t="inlineStr">
        <is>
          <t>A 57992-2020</t>
        </is>
      </c>
      <c r="B1340" s="1" t="n">
        <v>44143</v>
      </c>
      <c r="C1340" s="1" t="n">
        <v>45224</v>
      </c>
      <c r="D1340" t="inlineStr">
        <is>
          <t>STOCKHOLMS LÄN</t>
        </is>
      </c>
      <c r="E1340" t="inlineStr">
        <is>
          <t>SÖDERTÄLJE</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57957-2020</t>
        </is>
      </c>
      <c r="B1341" s="1" t="n">
        <v>44143</v>
      </c>
      <c r="C1341" s="1" t="n">
        <v>45224</v>
      </c>
      <c r="D1341" t="inlineStr">
        <is>
          <t>STOCKHOLMS LÄN</t>
        </is>
      </c>
      <c r="E1341" t="inlineStr">
        <is>
          <t>NORRTÄLJE</t>
        </is>
      </c>
      <c r="G1341" t="n">
        <v>0.6</v>
      </c>
      <c r="H1341" t="n">
        <v>0</v>
      </c>
      <c r="I1341" t="n">
        <v>0</v>
      </c>
      <c r="J1341" t="n">
        <v>0</v>
      </c>
      <c r="K1341" t="n">
        <v>0</v>
      </c>
      <c r="L1341" t="n">
        <v>0</v>
      </c>
      <c r="M1341" t="n">
        <v>0</v>
      </c>
      <c r="N1341" t="n">
        <v>0</v>
      </c>
      <c r="O1341" t="n">
        <v>0</v>
      </c>
      <c r="P1341" t="n">
        <v>0</v>
      </c>
      <c r="Q1341" t="n">
        <v>0</v>
      </c>
      <c r="R1341" s="2" t="inlineStr"/>
    </row>
    <row r="1342" ht="15" customHeight="1">
      <c r="A1342" t="inlineStr">
        <is>
          <t>A 57987-2020</t>
        </is>
      </c>
      <c r="B1342" s="1" t="n">
        <v>44143</v>
      </c>
      <c r="C1342" s="1" t="n">
        <v>45224</v>
      </c>
      <c r="D1342" t="inlineStr">
        <is>
          <t>STOCKHOLMS LÄN</t>
        </is>
      </c>
      <c r="E1342" t="inlineStr">
        <is>
          <t>NORRTÄLJE</t>
        </is>
      </c>
      <c r="G1342" t="n">
        <v>1.3</v>
      </c>
      <c r="H1342" t="n">
        <v>0</v>
      </c>
      <c r="I1342" t="n">
        <v>0</v>
      </c>
      <c r="J1342" t="n">
        <v>0</v>
      </c>
      <c r="K1342" t="n">
        <v>0</v>
      </c>
      <c r="L1342" t="n">
        <v>0</v>
      </c>
      <c r="M1342" t="n">
        <v>0</v>
      </c>
      <c r="N1342" t="n">
        <v>0</v>
      </c>
      <c r="O1342" t="n">
        <v>0</v>
      </c>
      <c r="P1342" t="n">
        <v>0</v>
      </c>
      <c r="Q1342" t="n">
        <v>0</v>
      </c>
      <c r="R1342" s="2" t="inlineStr"/>
    </row>
    <row r="1343" ht="15" customHeight="1">
      <c r="A1343" t="inlineStr">
        <is>
          <t>A 58260-2020</t>
        </is>
      </c>
      <c r="B1343" s="1" t="n">
        <v>44144</v>
      </c>
      <c r="C1343" s="1" t="n">
        <v>45224</v>
      </c>
      <c r="D1343" t="inlineStr">
        <is>
          <t>STOCKHOLMS LÄN</t>
        </is>
      </c>
      <c r="E1343" t="inlineStr">
        <is>
          <t>HUDDINGE</t>
        </is>
      </c>
      <c r="F1343" t="inlineStr">
        <is>
          <t>Kommuner</t>
        </is>
      </c>
      <c r="G1343" t="n">
        <v>1.5</v>
      </c>
      <c r="H1343" t="n">
        <v>0</v>
      </c>
      <c r="I1343" t="n">
        <v>0</v>
      </c>
      <c r="J1343" t="n">
        <v>0</v>
      </c>
      <c r="K1343" t="n">
        <v>0</v>
      </c>
      <c r="L1343" t="n">
        <v>0</v>
      </c>
      <c r="M1343" t="n">
        <v>0</v>
      </c>
      <c r="N1343" t="n">
        <v>0</v>
      </c>
      <c r="O1343" t="n">
        <v>0</v>
      </c>
      <c r="P1343" t="n">
        <v>0</v>
      </c>
      <c r="Q1343" t="n">
        <v>0</v>
      </c>
      <c r="R1343" s="2" t="inlineStr"/>
    </row>
    <row r="1344" ht="15" customHeight="1">
      <c r="A1344" t="inlineStr">
        <is>
          <t>A 58661-2020</t>
        </is>
      </c>
      <c r="B1344" s="1" t="n">
        <v>44145</v>
      </c>
      <c r="C1344" s="1" t="n">
        <v>45224</v>
      </c>
      <c r="D1344" t="inlineStr">
        <is>
          <t>STOCKHOLMS LÄN</t>
        </is>
      </c>
      <c r="E1344" t="inlineStr">
        <is>
          <t>NORRTÄLJE</t>
        </is>
      </c>
      <c r="G1344" t="n">
        <v>1.1</v>
      </c>
      <c r="H1344" t="n">
        <v>0</v>
      </c>
      <c r="I1344" t="n">
        <v>0</v>
      </c>
      <c r="J1344" t="n">
        <v>0</v>
      </c>
      <c r="K1344" t="n">
        <v>0</v>
      </c>
      <c r="L1344" t="n">
        <v>0</v>
      </c>
      <c r="M1344" t="n">
        <v>0</v>
      </c>
      <c r="N1344" t="n">
        <v>0</v>
      </c>
      <c r="O1344" t="n">
        <v>0</v>
      </c>
      <c r="P1344" t="n">
        <v>0</v>
      </c>
      <c r="Q1344" t="n">
        <v>0</v>
      </c>
      <c r="R1344" s="2" t="inlineStr"/>
    </row>
    <row r="1345" ht="15" customHeight="1">
      <c r="A1345" t="inlineStr">
        <is>
          <t>A 58531-2020</t>
        </is>
      </c>
      <c r="B1345" s="1" t="n">
        <v>44145</v>
      </c>
      <c r="C1345" s="1" t="n">
        <v>45224</v>
      </c>
      <c r="D1345" t="inlineStr">
        <is>
          <t>STOCKHOLMS LÄN</t>
        </is>
      </c>
      <c r="E1345" t="inlineStr">
        <is>
          <t>BOTKYRKA</t>
        </is>
      </c>
      <c r="G1345" t="n">
        <v>3</v>
      </c>
      <c r="H1345" t="n">
        <v>0</v>
      </c>
      <c r="I1345" t="n">
        <v>0</v>
      </c>
      <c r="J1345" t="n">
        <v>0</v>
      </c>
      <c r="K1345" t="n">
        <v>0</v>
      </c>
      <c r="L1345" t="n">
        <v>0</v>
      </c>
      <c r="M1345" t="n">
        <v>0</v>
      </c>
      <c r="N1345" t="n">
        <v>0</v>
      </c>
      <c r="O1345" t="n">
        <v>0</v>
      </c>
      <c r="P1345" t="n">
        <v>0</v>
      </c>
      <c r="Q1345" t="n">
        <v>0</v>
      </c>
      <c r="R1345" s="2" t="inlineStr"/>
    </row>
    <row r="1346" ht="15" customHeight="1">
      <c r="A1346" t="inlineStr">
        <is>
          <t>A 58665-2020</t>
        </is>
      </c>
      <c r="B1346" s="1" t="n">
        <v>44145</v>
      </c>
      <c r="C1346" s="1" t="n">
        <v>45224</v>
      </c>
      <c r="D1346" t="inlineStr">
        <is>
          <t>STOCKHOLMS LÄN</t>
        </is>
      </c>
      <c r="E1346" t="inlineStr">
        <is>
          <t>NORRTÄLJE</t>
        </is>
      </c>
      <c r="G1346" t="n">
        <v>5.2</v>
      </c>
      <c r="H1346" t="n">
        <v>0</v>
      </c>
      <c r="I1346" t="n">
        <v>0</v>
      </c>
      <c r="J1346" t="n">
        <v>0</v>
      </c>
      <c r="K1346" t="n">
        <v>0</v>
      </c>
      <c r="L1346" t="n">
        <v>0</v>
      </c>
      <c r="M1346" t="n">
        <v>0</v>
      </c>
      <c r="N1346" t="n">
        <v>0</v>
      </c>
      <c r="O1346" t="n">
        <v>0</v>
      </c>
      <c r="P1346" t="n">
        <v>0</v>
      </c>
      <c r="Q1346" t="n">
        <v>0</v>
      </c>
      <c r="R1346" s="2" t="inlineStr"/>
    </row>
    <row r="1347" ht="15" customHeight="1">
      <c r="A1347" t="inlineStr">
        <is>
          <t>A 58493-2020</t>
        </is>
      </c>
      <c r="B1347" s="1" t="n">
        <v>44145</v>
      </c>
      <c r="C1347" s="1" t="n">
        <v>45224</v>
      </c>
      <c r="D1347" t="inlineStr">
        <is>
          <t>STOCKHOLMS LÄN</t>
        </is>
      </c>
      <c r="E1347" t="inlineStr">
        <is>
          <t>NORRTÄLJE</t>
        </is>
      </c>
      <c r="G1347" t="n">
        <v>2.8</v>
      </c>
      <c r="H1347" t="n">
        <v>0</v>
      </c>
      <c r="I1347" t="n">
        <v>0</v>
      </c>
      <c r="J1347" t="n">
        <v>0</v>
      </c>
      <c r="K1347" t="n">
        <v>0</v>
      </c>
      <c r="L1347" t="n">
        <v>0</v>
      </c>
      <c r="M1347" t="n">
        <v>0</v>
      </c>
      <c r="N1347" t="n">
        <v>0</v>
      </c>
      <c r="O1347" t="n">
        <v>0</v>
      </c>
      <c r="P1347" t="n">
        <v>0</v>
      </c>
      <c r="Q1347" t="n">
        <v>0</v>
      </c>
      <c r="R1347" s="2" t="inlineStr"/>
    </row>
    <row r="1348" ht="15" customHeight="1">
      <c r="A1348" t="inlineStr">
        <is>
          <t>A 58517-2020</t>
        </is>
      </c>
      <c r="B1348" s="1" t="n">
        <v>44145</v>
      </c>
      <c r="C1348" s="1" t="n">
        <v>45224</v>
      </c>
      <c r="D1348" t="inlineStr">
        <is>
          <t>STOCKHOLMS LÄN</t>
        </is>
      </c>
      <c r="E1348" t="inlineStr">
        <is>
          <t>BOTKYRKA</t>
        </is>
      </c>
      <c r="G1348" t="n">
        <v>1.8</v>
      </c>
      <c r="H1348" t="n">
        <v>0</v>
      </c>
      <c r="I1348" t="n">
        <v>0</v>
      </c>
      <c r="J1348" t="n">
        <v>0</v>
      </c>
      <c r="K1348" t="n">
        <v>0</v>
      </c>
      <c r="L1348" t="n">
        <v>0</v>
      </c>
      <c r="M1348" t="n">
        <v>0</v>
      </c>
      <c r="N1348" t="n">
        <v>0</v>
      </c>
      <c r="O1348" t="n">
        <v>0</v>
      </c>
      <c r="P1348" t="n">
        <v>0</v>
      </c>
      <c r="Q1348" t="n">
        <v>0</v>
      </c>
      <c r="R1348" s="2" t="inlineStr"/>
    </row>
    <row r="1349" ht="15" customHeight="1">
      <c r="A1349" t="inlineStr">
        <is>
          <t>A 58888-2020</t>
        </is>
      </c>
      <c r="B1349" s="1" t="n">
        <v>44146</v>
      </c>
      <c r="C1349" s="1" t="n">
        <v>45224</v>
      </c>
      <c r="D1349" t="inlineStr">
        <is>
          <t>STOCKHOLMS LÄN</t>
        </is>
      </c>
      <c r="E1349" t="inlineStr">
        <is>
          <t>NORRTÄLJE</t>
        </is>
      </c>
      <c r="G1349" t="n">
        <v>1.9</v>
      </c>
      <c r="H1349" t="n">
        <v>0</v>
      </c>
      <c r="I1349" t="n">
        <v>0</v>
      </c>
      <c r="J1349" t="n">
        <v>0</v>
      </c>
      <c r="K1349" t="n">
        <v>0</v>
      </c>
      <c r="L1349" t="n">
        <v>0</v>
      </c>
      <c r="M1349" t="n">
        <v>0</v>
      </c>
      <c r="N1349" t="n">
        <v>0</v>
      </c>
      <c r="O1349" t="n">
        <v>0</v>
      </c>
      <c r="P1349" t="n">
        <v>0</v>
      </c>
      <c r="Q1349" t="n">
        <v>0</v>
      </c>
      <c r="R1349" s="2" t="inlineStr"/>
    </row>
    <row r="1350" ht="15" customHeight="1">
      <c r="A1350" t="inlineStr">
        <is>
          <t>A 59570-2020</t>
        </is>
      </c>
      <c r="B1350" s="1" t="n">
        <v>44148</v>
      </c>
      <c r="C1350" s="1" t="n">
        <v>45224</v>
      </c>
      <c r="D1350" t="inlineStr">
        <is>
          <t>STOCKHOLMS LÄN</t>
        </is>
      </c>
      <c r="E1350" t="inlineStr">
        <is>
          <t>NYKVARN</t>
        </is>
      </c>
      <c r="G1350" t="n">
        <v>2</v>
      </c>
      <c r="H1350" t="n">
        <v>0</v>
      </c>
      <c r="I1350" t="n">
        <v>0</v>
      </c>
      <c r="J1350" t="n">
        <v>0</v>
      </c>
      <c r="K1350" t="n">
        <v>0</v>
      </c>
      <c r="L1350" t="n">
        <v>0</v>
      </c>
      <c r="M1350" t="n">
        <v>0</v>
      </c>
      <c r="N1350" t="n">
        <v>0</v>
      </c>
      <c r="O1350" t="n">
        <v>0</v>
      </c>
      <c r="P1350" t="n">
        <v>0</v>
      </c>
      <c r="Q1350" t="n">
        <v>0</v>
      </c>
      <c r="R1350" s="2" t="inlineStr"/>
    </row>
    <row r="1351" ht="15" customHeight="1">
      <c r="A1351" t="inlineStr">
        <is>
          <t>A 60321-2020</t>
        </is>
      </c>
      <c r="B1351" s="1" t="n">
        <v>44152</v>
      </c>
      <c r="C1351" s="1" t="n">
        <v>45224</v>
      </c>
      <c r="D1351" t="inlineStr">
        <is>
          <t>STOCKHOLMS LÄN</t>
        </is>
      </c>
      <c r="E1351" t="inlineStr">
        <is>
          <t>NORRTÄLJE</t>
        </is>
      </c>
      <c r="F1351" t="inlineStr">
        <is>
          <t>Holmen skog AB</t>
        </is>
      </c>
      <c r="G1351" t="n">
        <v>3.4</v>
      </c>
      <c r="H1351" t="n">
        <v>0</v>
      </c>
      <c r="I1351" t="n">
        <v>0</v>
      </c>
      <c r="J1351" t="n">
        <v>0</v>
      </c>
      <c r="K1351" t="n">
        <v>0</v>
      </c>
      <c r="L1351" t="n">
        <v>0</v>
      </c>
      <c r="M1351" t="n">
        <v>0</v>
      </c>
      <c r="N1351" t="n">
        <v>0</v>
      </c>
      <c r="O1351" t="n">
        <v>0</v>
      </c>
      <c r="P1351" t="n">
        <v>0</v>
      </c>
      <c r="Q1351" t="n">
        <v>0</v>
      </c>
      <c r="R1351" s="2" t="inlineStr"/>
    </row>
    <row r="1352" ht="15" customHeight="1">
      <c r="A1352" t="inlineStr">
        <is>
          <t>A 61048-2020</t>
        </is>
      </c>
      <c r="B1352" s="1" t="n">
        <v>44153</v>
      </c>
      <c r="C1352" s="1" t="n">
        <v>45224</v>
      </c>
      <c r="D1352" t="inlineStr">
        <is>
          <t>STOCKHOLMS LÄN</t>
        </is>
      </c>
      <c r="E1352" t="inlineStr">
        <is>
          <t>VÄRMDÖ</t>
        </is>
      </c>
      <c r="G1352" t="n">
        <v>1.7</v>
      </c>
      <c r="H1352" t="n">
        <v>0</v>
      </c>
      <c r="I1352" t="n">
        <v>0</v>
      </c>
      <c r="J1352" t="n">
        <v>0</v>
      </c>
      <c r="K1352" t="n">
        <v>0</v>
      </c>
      <c r="L1352" t="n">
        <v>0</v>
      </c>
      <c r="M1352" t="n">
        <v>0</v>
      </c>
      <c r="N1352" t="n">
        <v>0</v>
      </c>
      <c r="O1352" t="n">
        <v>0</v>
      </c>
      <c r="P1352" t="n">
        <v>0</v>
      </c>
      <c r="Q1352" t="n">
        <v>0</v>
      </c>
      <c r="R1352" s="2" t="inlineStr"/>
    </row>
    <row r="1353" ht="15" customHeight="1">
      <c r="A1353" t="inlineStr">
        <is>
          <t>A 60542-2020</t>
        </is>
      </c>
      <c r="B1353" s="1" t="n">
        <v>44153</v>
      </c>
      <c r="C1353" s="1" t="n">
        <v>45224</v>
      </c>
      <c r="D1353" t="inlineStr">
        <is>
          <t>STOCKHOLMS LÄN</t>
        </is>
      </c>
      <c r="E1353" t="inlineStr">
        <is>
          <t>NORRTÄLJE</t>
        </is>
      </c>
      <c r="G1353" t="n">
        <v>0.5</v>
      </c>
      <c r="H1353" t="n">
        <v>0</v>
      </c>
      <c r="I1353" t="n">
        <v>0</v>
      </c>
      <c r="J1353" t="n">
        <v>0</v>
      </c>
      <c r="K1353" t="n">
        <v>0</v>
      </c>
      <c r="L1353" t="n">
        <v>0</v>
      </c>
      <c r="M1353" t="n">
        <v>0</v>
      </c>
      <c r="N1353" t="n">
        <v>0</v>
      </c>
      <c r="O1353" t="n">
        <v>0</v>
      </c>
      <c r="P1353" t="n">
        <v>0</v>
      </c>
      <c r="Q1353" t="n">
        <v>0</v>
      </c>
      <c r="R1353" s="2" t="inlineStr"/>
    </row>
    <row r="1354" ht="15" customHeight="1">
      <c r="A1354" t="inlineStr">
        <is>
          <t>A 60891-2020</t>
        </is>
      </c>
      <c r="B1354" s="1" t="n">
        <v>44154</v>
      </c>
      <c r="C1354" s="1" t="n">
        <v>45224</v>
      </c>
      <c r="D1354" t="inlineStr">
        <is>
          <t>STOCKHOLMS LÄN</t>
        </is>
      </c>
      <c r="E1354" t="inlineStr">
        <is>
          <t>NORRTÄLJE</t>
        </is>
      </c>
      <c r="G1354" t="n">
        <v>1.8</v>
      </c>
      <c r="H1354" t="n">
        <v>0</v>
      </c>
      <c r="I1354" t="n">
        <v>0</v>
      </c>
      <c r="J1354" t="n">
        <v>0</v>
      </c>
      <c r="K1354" t="n">
        <v>0</v>
      </c>
      <c r="L1354" t="n">
        <v>0</v>
      </c>
      <c r="M1354" t="n">
        <v>0</v>
      </c>
      <c r="N1354" t="n">
        <v>0</v>
      </c>
      <c r="O1354" t="n">
        <v>0</v>
      </c>
      <c r="P1354" t="n">
        <v>0</v>
      </c>
      <c r="Q1354" t="n">
        <v>0</v>
      </c>
      <c r="R1354" s="2" t="inlineStr"/>
    </row>
    <row r="1355" ht="15" customHeight="1">
      <c r="A1355" t="inlineStr">
        <is>
          <t>A 60961-2020</t>
        </is>
      </c>
      <c r="B1355" s="1" t="n">
        <v>44154</v>
      </c>
      <c r="C1355" s="1" t="n">
        <v>45224</v>
      </c>
      <c r="D1355" t="inlineStr">
        <is>
          <t>STOCKHOLMS LÄN</t>
        </is>
      </c>
      <c r="E1355" t="inlineStr">
        <is>
          <t>NORRTÄLJE</t>
        </is>
      </c>
      <c r="F1355" t="inlineStr">
        <is>
          <t>Holmen skog AB</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60977-2020</t>
        </is>
      </c>
      <c r="B1356" s="1" t="n">
        <v>44154</v>
      </c>
      <c r="C1356" s="1" t="n">
        <v>45224</v>
      </c>
      <c r="D1356" t="inlineStr">
        <is>
          <t>STOCKHOLMS LÄN</t>
        </is>
      </c>
      <c r="E1356" t="inlineStr">
        <is>
          <t>NORRTÄLJE</t>
        </is>
      </c>
      <c r="F1356" t="inlineStr">
        <is>
          <t>Holmen skog AB</t>
        </is>
      </c>
      <c r="G1356" t="n">
        <v>0.8</v>
      </c>
      <c r="H1356" t="n">
        <v>0</v>
      </c>
      <c r="I1356" t="n">
        <v>0</v>
      </c>
      <c r="J1356" t="n">
        <v>0</v>
      </c>
      <c r="K1356" t="n">
        <v>0</v>
      </c>
      <c r="L1356" t="n">
        <v>0</v>
      </c>
      <c r="M1356" t="n">
        <v>0</v>
      </c>
      <c r="N1356" t="n">
        <v>0</v>
      </c>
      <c r="O1356" t="n">
        <v>0</v>
      </c>
      <c r="P1356" t="n">
        <v>0</v>
      </c>
      <c r="Q1356" t="n">
        <v>0</v>
      </c>
      <c r="R1356" s="2" t="inlineStr"/>
    </row>
    <row r="1357" ht="15" customHeight="1">
      <c r="A1357" t="inlineStr">
        <is>
          <t>A 61192-2020</t>
        </is>
      </c>
      <c r="B1357" s="1" t="n">
        <v>44155</v>
      </c>
      <c r="C1357" s="1" t="n">
        <v>45224</v>
      </c>
      <c r="D1357" t="inlineStr">
        <is>
          <t>STOCKHOLMS LÄN</t>
        </is>
      </c>
      <c r="E1357" t="inlineStr">
        <is>
          <t>NORRTÄLJE</t>
        </is>
      </c>
      <c r="G1357" t="n">
        <v>2.1</v>
      </c>
      <c r="H1357" t="n">
        <v>0</v>
      </c>
      <c r="I1357" t="n">
        <v>0</v>
      </c>
      <c r="J1357" t="n">
        <v>0</v>
      </c>
      <c r="K1357" t="n">
        <v>0</v>
      </c>
      <c r="L1357" t="n">
        <v>0</v>
      </c>
      <c r="M1357" t="n">
        <v>0</v>
      </c>
      <c r="N1357" t="n">
        <v>0</v>
      </c>
      <c r="O1357" t="n">
        <v>0</v>
      </c>
      <c r="P1357" t="n">
        <v>0</v>
      </c>
      <c r="Q1357" t="n">
        <v>0</v>
      </c>
      <c r="R1357" s="2" t="inlineStr"/>
    </row>
    <row r="1358" ht="15" customHeight="1">
      <c r="A1358" t="inlineStr">
        <is>
          <t>A 61195-2020</t>
        </is>
      </c>
      <c r="B1358" s="1" t="n">
        <v>44155</v>
      </c>
      <c r="C1358" s="1" t="n">
        <v>45224</v>
      </c>
      <c r="D1358" t="inlineStr">
        <is>
          <t>STOCKHOLMS LÄN</t>
        </is>
      </c>
      <c r="E1358" t="inlineStr">
        <is>
          <t>NORRTÄLJE</t>
        </is>
      </c>
      <c r="G1358" t="n">
        <v>7.8</v>
      </c>
      <c r="H1358" t="n">
        <v>0</v>
      </c>
      <c r="I1358" t="n">
        <v>0</v>
      </c>
      <c r="J1358" t="n">
        <v>0</v>
      </c>
      <c r="K1358" t="n">
        <v>0</v>
      </c>
      <c r="L1358" t="n">
        <v>0</v>
      </c>
      <c r="M1358" t="n">
        <v>0</v>
      </c>
      <c r="N1358" t="n">
        <v>0</v>
      </c>
      <c r="O1358" t="n">
        <v>0</v>
      </c>
      <c r="P1358" t="n">
        <v>0</v>
      </c>
      <c r="Q1358" t="n">
        <v>0</v>
      </c>
      <c r="R1358" s="2" t="inlineStr"/>
    </row>
    <row r="1359" ht="15" customHeight="1">
      <c r="A1359" t="inlineStr">
        <is>
          <t>A 61221-2020</t>
        </is>
      </c>
      <c r="B1359" s="1" t="n">
        <v>44155</v>
      </c>
      <c r="C1359" s="1" t="n">
        <v>45224</v>
      </c>
      <c r="D1359" t="inlineStr">
        <is>
          <t>STOCKHOLMS LÄN</t>
        </is>
      </c>
      <c r="E1359" t="inlineStr">
        <is>
          <t>NORRTÄLJE</t>
        </is>
      </c>
      <c r="G1359" t="n">
        <v>2.8</v>
      </c>
      <c r="H1359" t="n">
        <v>0</v>
      </c>
      <c r="I1359" t="n">
        <v>0</v>
      </c>
      <c r="J1359" t="n">
        <v>0</v>
      </c>
      <c r="K1359" t="n">
        <v>0</v>
      </c>
      <c r="L1359" t="n">
        <v>0</v>
      </c>
      <c r="M1359" t="n">
        <v>0</v>
      </c>
      <c r="N1359" t="n">
        <v>0</v>
      </c>
      <c r="O1359" t="n">
        <v>0</v>
      </c>
      <c r="P1359" t="n">
        <v>0</v>
      </c>
      <c r="Q1359" t="n">
        <v>0</v>
      </c>
      <c r="R1359" s="2" t="inlineStr"/>
    </row>
    <row r="1360" ht="15" customHeight="1">
      <c r="A1360" t="inlineStr">
        <is>
          <t>A 61469-2020</t>
        </is>
      </c>
      <c r="B1360" s="1" t="n">
        <v>44155</v>
      </c>
      <c r="C1360" s="1" t="n">
        <v>45224</v>
      </c>
      <c r="D1360" t="inlineStr">
        <is>
          <t>STOCKHOLMS LÄN</t>
        </is>
      </c>
      <c r="E1360" t="inlineStr">
        <is>
          <t>NORRTÄLJE</t>
        </is>
      </c>
      <c r="F1360" t="inlineStr">
        <is>
          <t>Övriga Aktiebolag</t>
        </is>
      </c>
      <c r="G1360" t="n">
        <v>2.6</v>
      </c>
      <c r="H1360" t="n">
        <v>0</v>
      </c>
      <c r="I1360" t="n">
        <v>0</v>
      </c>
      <c r="J1360" t="n">
        <v>0</v>
      </c>
      <c r="K1360" t="n">
        <v>0</v>
      </c>
      <c r="L1360" t="n">
        <v>0</v>
      </c>
      <c r="M1360" t="n">
        <v>0</v>
      </c>
      <c r="N1360" t="n">
        <v>0</v>
      </c>
      <c r="O1360" t="n">
        <v>0</v>
      </c>
      <c r="P1360" t="n">
        <v>0</v>
      </c>
      <c r="Q1360" t="n">
        <v>0</v>
      </c>
      <c r="R1360" s="2" t="inlineStr"/>
    </row>
    <row r="1361" ht="15" customHeight="1">
      <c r="A1361" t="inlineStr">
        <is>
          <t>A 61655-2020</t>
        </is>
      </c>
      <c r="B1361" s="1" t="n">
        <v>44158</v>
      </c>
      <c r="C1361" s="1" t="n">
        <v>45224</v>
      </c>
      <c r="D1361" t="inlineStr">
        <is>
          <t>STOCKHOLMS LÄN</t>
        </is>
      </c>
      <c r="E1361" t="inlineStr">
        <is>
          <t>VALLENTUNA</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62460-2020</t>
        </is>
      </c>
      <c r="B1362" s="1" t="n">
        <v>44160</v>
      </c>
      <c r="C1362" s="1" t="n">
        <v>45224</v>
      </c>
      <c r="D1362" t="inlineStr">
        <is>
          <t>STOCKHOLMS LÄN</t>
        </is>
      </c>
      <c r="E1362" t="inlineStr">
        <is>
          <t>NORRTÄLJE</t>
        </is>
      </c>
      <c r="G1362" t="n">
        <v>0.8</v>
      </c>
      <c r="H1362" t="n">
        <v>0</v>
      </c>
      <c r="I1362" t="n">
        <v>0</v>
      </c>
      <c r="J1362" t="n">
        <v>0</v>
      </c>
      <c r="K1362" t="n">
        <v>0</v>
      </c>
      <c r="L1362" t="n">
        <v>0</v>
      </c>
      <c r="M1362" t="n">
        <v>0</v>
      </c>
      <c r="N1362" t="n">
        <v>0</v>
      </c>
      <c r="O1362" t="n">
        <v>0</v>
      </c>
      <c r="P1362" t="n">
        <v>0</v>
      </c>
      <c r="Q1362" t="n">
        <v>0</v>
      </c>
      <c r="R1362" s="2" t="inlineStr"/>
    </row>
    <row r="1363" ht="15" customHeight="1">
      <c r="A1363" t="inlineStr">
        <is>
          <t>A 62854-2020</t>
        </is>
      </c>
      <c r="B1363" s="1" t="n">
        <v>44161</v>
      </c>
      <c r="C1363" s="1" t="n">
        <v>45224</v>
      </c>
      <c r="D1363" t="inlineStr">
        <is>
          <t>STOCKHOLMS LÄN</t>
        </is>
      </c>
      <c r="E1363" t="inlineStr">
        <is>
          <t>NORRTÄLJE</t>
        </is>
      </c>
      <c r="G1363" t="n">
        <v>4.7</v>
      </c>
      <c r="H1363" t="n">
        <v>0</v>
      </c>
      <c r="I1363" t="n">
        <v>0</v>
      </c>
      <c r="J1363" t="n">
        <v>0</v>
      </c>
      <c r="K1363" t="n">
        <v>0</v>
      </c>
      <c r="L1363" t="n">
        <v>0</v>
      </c>
      <c r="M1363" t="n">
        <v>0</v>
      </c>
      <c r="N1363" t="n">
        <v>0</v>
      </c>
      <c r="O1363" t="n">
        <v>0</v>
      </c>
      <c r="P1363" t="n">
        <v>0</v>
      </c>
      <c r="Q1363" t="n">
        <v>0</v>
      </c>
      <c r="R1363" s="2" t="inlineStr"/>
    </row>
    <row r="1364" ht="15" customHeight="1">
      <c r="A1364" t="inlineStr">
        <is>
          <t>A 63492-2020</t>
        </is>
      </c>
      <c r="B1364" s="1" t="n">
        <v>44161</v>
      </c>
      <c r="C1364" s="1" t="n">
        <v>45224</v>
      </c>
      <c r="D1364" t="inlineStr">
        <is>
          <t>STOCKHOLMS LÄN</t>
        </is>
      </c>
      <c r="E1364" t="inlineStr">
        <is>
          <t>VÄRMDÖ</t>
        </is>
      </c>
      <c r="G1364" t="n">
        <v>3.1</v>
      </c>
      <c r="H1364" t="n">
        <v>0</v>
      </c>
      <c r="I1364" t="n">
        <v>0</v>
      </c>
      <c r="J1364" t="n">
        <v>0</v>
      </c>
      <c r="K1364" t="n">
        <v>0</v>
      </c>
      <c r="L1364" t="n">
        <v>0</v>
      </c>
      <c r="M1364" t="n">
        <v>0</v>
      </c>
      <c r="N1364" t="n">
        <v>0</v>
      </c>
      <c r="O1364" t="n">
        <v>0</v>
      </c>
      <c r="P1364" t="n">
        <v>0</v>
      </c>
      <c r="Q1364" t="n">
        <v>0</v>
      </c>
      <c r="R1364" s="2" t="inlineStr"/>
    </row>
    <row r="1365" ht="15" customHeight="1">
      <c r="A1365" t="inlineStr">
        <is>
          <t>A 63824-2020</t>
        </is>
      </c>
      <c r="B1365" s="1" t="n">
        <v>44162</v>
      </c>
      <c r="C1365" s="1" t="n">
        <v>45224</v>
      </c>
      <c r="D1365" t="inlineStr">
        <is>
          <t>STOCKHOLMS LÄN</t>
        </is>
      </c>
      <c r="E1365" t="inlineStr">
        <is>
          <t>NORRTÄLJE</t>
        </is>
      </c>
      <c r="F1365" t="inlineStr">
        <is>
          <t>Övriga Aktiebolag</t>
        </is>
      </c>
      <c r="G1365" t="n">
        <v>1.9</v>
      </c>
      <c r="H1365" t="n">
        <v>0</v>
      </c>
      <c r="I1365" t="n">
        <v>0</v>
      </c>
      <c r="J1365" t="n">
        <v>0</v>
      </c>
      <c r="K1365" t="n">
        <v>0</v>
      </c>
      <c r="L1365" t="n">
        <v>0</v>
      </c>
      <c r="M1365" t="n">
        <v>0</v>
      </c>
      <c r="N1365" t="n">
        <v>0</v>
      </c>
      <c r="O1365" t="n">
        <v>0</v>
      </c>
      <c r="P1365" t="n">
        <v>0</v>
      </c>
      <c r="Q1365" t="n">
        <v>0</v>
      </c>
      <c r="R1365" s="2" t="inlineStr"/>
    </row>
    <row r="1366" ht="15" customHeight="1">
      <c r="A1366" t="inlineStr">
        <is>
          <t>A 63894-2020</t>
        </is>
      </c>
      <c r="B1366" s="1" t="n">
        <v>44166</v>
      </c>
      <c r="C1366" s="1" t="n">
        <v>45224</v>
      </c>
      <c r="D1366" t="inlineStr">
        <is>
          <t>STOCKHOLMS LÄN</t>
        </is>
      </c>
      <c r="E1366" t="inlineStr">
        <is>
          <t>VALLENTUNA</t>
        </is>
      </c>
      <c r="G1366" t="n">
        <v>14.8</v>
      </c>
      <c r="H1366" t="n">
        <v>0</v>
      </c>
      <c r="I1366" t="n">
        <v>0</v>
      </c>
      <c r="J1366" t="n">
        <v>0</v>
      </c>
      <c r="K1366" t="n">
        <v>0</v>
      </c>
      <c r="L1366" t="n">
        <v>0</v>
      </c>
      <c r="M1366" t="n">
        <v>0</v>
      </c>
      <c r="N1366" t="n">
        <v>0</v>
      </c>
      <c r="O1366" t="n">
        <v>0</v>
      </c>
      <c r="P1366" t="n">
        <v>0</v>
      </c>
      <c r="Q1366" t="n">
        <v>0</v>
      </c>
      <c r="R1366" s="2" t="inlineStr"/>
    </row>
    <row r="1367" ht="15" customHeight="1">
      <c r="A1367" t="inlineStr">
        <is>
          <t>A 64548-2020</t>
        </is>
      </c>
      <c r="B1367" s="1" t="n">
        <v>44166</v>
      </c>
      <c r="C1367" s="1" t="n">
        <v>45224</v>
      </c>
      <c r="D1367" t="inlineStr">
        <is>
          <t>STOCKHOLMS LÄN</t>
        </is>
      </c>
      <c r="E1367" t="inlineStr">
        <is>
          <t>HANINGE</t>
        </is>
      </c>
      <c r="G1367" t="n">
        <v>7.2</v>
      </c>
      <c r="H1367" t="n">
        <v>0</v>
      </c>
      <c r="I1367" t="n">
        <v>0</v>
      </c>
      <c r="J1367" t="n">
        <v>0</v>
      </c>
      <c r="K1367" t="n">
        <v>0</v>
      </c>
      <c r="L1367" t="n">
        <v>0</v>
      </c>
      <c r="M1367" t="n">
        <v>0</v>
      </c>
      <c r="N1367" t="n">
        <v>0</v>
      </c>
      <c r="O1367" t="n">
        <v>0</v>
      </c>
      <c r="P1367" t="n">
        <v>0</v>
      </c>
      <c r="Q1367" t="n">
        <v>0</v>
      </c>
      <c r="R1367" s="2" t="inlineStr"/>
    </row>
    <row r="1368" ht="15" customHeight="1">
      <c r="A1368" t="inlineStr">
        <is>
          <t>A 64015-2020</t>
        </is>
      </c>
      <c r="B1368" s="1" t="n">
        <v>44167</v>
      </c>
      <c r="C1368" s="1" t="n">
        <v>45224</v>
      </c>
      <c r="D1368" t="inlineStr">
        <is>
          <t>STOCKHOLMS LÄN</t>
        </is>
      </c>
      <c r="E1368" t="inlineStr">
        <is>
          <t>UPPLANDS-BRO</t>
        </is>
      </c>
      <c r="F1368" t="inlineStr">
        <is>
          <t>Övriga statliga verk och myndigheter</t>
        </is>
      </c>
      <c r="G1368" t="n">
        <v>8.1</v>
      </c>
      <c r="H1368" t="n">
        <v>0</v>
      </c>
      <c r="I1368" t="n">
        <v>0</v>
      </c>
      <c r="J1368" t="n">
        <v>0</v>
      </c>
      <c r="K1368" t="n">
        <v>0</v>
      </c>
      <c r="L1368" t="n">
        <v>0</v>
      </c>
      <c r="M1368" t="n">
        <v>0</v>
      </c>
      <c r="N1368" t="n">
        <v>0</v>
      </c>
      <c r="O1368" t="n">
        <v>0</v>
      </c>
      <c r="P1368" t="n">
        <v>0</v>
      </c>
      <c r="Q1368" t="n">
        <v>0</v>
      </c>
      <c r="R1368" s="2" t="inlineStr"/>
    </row>
    <row r="1369" ht="15" customHeight="1">
      <c r="A1369" t="inlineStr">
        <is>
          <t>A 64372-2020</t>
        </is>
      </c>
      <c r="B1369" s="1" t="n">
        <v>44168</v>
      </c>
      <c r="C1369" s="1" t="n">
        <v>45224</v>
      </c>
      <c r="D1369" t="inlineStr">
        <is>
          <t>STOCKHOLMS LÄN</t>
        </is>
      </c>
      <c r="E1369" t="inlineStr">
        <is>
          <t>SIGTUNA</t>
        </is>
      </c>
      <c r="G1369" t="n">
        <v>5.8</v>
      </c>
      <c r="H1369" t="n">
        <v>0</v>
      </c>
      <c r="I1369" t="n">
        <v>0</v>
      </c>
      <c r="J1369" t="n">
        <v>0</v>
      </c>
      <c r="K1369" t="n">
        <v>0</v>
      </c>
      <c r="L1369" t="n">
        <v>0</v>
      </c>
      <c r="M1369" t="n">
        <v>0</v>
      </c>
      <c r="N1369" t="n">
        <v>0</v>
      </c>
      <c r="O1369" t="n">
        <v>0</v>
      </c>
      <c r="P1369" t="n">
        <v>0</v>
      </c>
      <c r="Q1369" t="n">
        <v>0</v>
      </c>
      <c r="R1369" s="2" t="inlineStr"/>
    </row>
    <row r="1370" ht="15" customHeight="1">
      <c r="A1370" t="inlineStr">
        <is>
          <t>A 64395-2020</t>
        </is>
      </c>
      <c r="B1370" s="1" t="n">
        <v>44168</v>
      </c>
      <c r="C1370" s="1" t="n">
        <v>45224</v>
      </c>
      <c r="D1370" t="inlineStr">
        <is>
          <t>STOCKHOLMS LÄN</t>
        </is>
      </c>
      <c r="E1370" t="inlineStr">
        <is>
          <t>HANINGE</t>
        </is>
      </c>
      <c r="G1370" t="n">
        <v>3.9</v>
      </c>
      <c r="H1370" t="n">
        <v>0</v>
      </c>
      <c r="I1370" t="n">
        <v>0</v>
      </c>
      <c r="J1370" t="n">
        <v>0</v>
      </c>
      <c r="K1370" t="n">
        <v>0</v>
      </c>
      <c r="L1370" t="n">
        <v>0</v>
      </c>
      <c r="M1370" t="n">
        <v>0</v>
      </c>
      <c r="N1370" t="n">
        <v>0</v>
      </c>
      <c r="O1370" t="n">
        <v>0</v>
      </c>
      <c r="P1370" t="n">
        <v>0</v>
      </c>
      <c r="Q1370" t="n">
        <v>0</v>
      </c>
      <c r="R1370" s="2" t="inlineStr"/>
    </row>
    <row r="1371" ht="15" customHeight="1">
      <c r="A1371" t="inlineStr">
        <is>
          <t>A 64981-2020</t>
        </is>
      </c>
      <c r="B1371" s="1" t="n">
        <v>44172</v>
      </c>
      <c r="C1371" s="1" t="n">
        <v>45224</v>
      </c>
      <c r="D1371" t="inlineStr">
        <is>
          <t>STOCKHOLMS LÄN</t>
        </is>
      </c>
      <c r="E1371" t="inlineStr">
        <is>
          <t>SIGTUNA</t>
        </is>
      </c>
      <c r="G1371" t="n">
        <v>0.7</v>
      </c>
      <c r="H1371" t="n">
        <v>0</v>
      </c>
      <c r="I1371" t="n">
        <v>0</v>
      </c>
      <c r="J1371" t="n">
        <v>0</v>
      </c>
      <c r="K1371" t="n">
        <v>0</v>
      </c>
      <c r="L1371" t="n">
        <v>0</v>
      </c>
      <c r="M1371" t="n">
        <v>0</v>
      </c>
      <c r="N1371" t="n">
        <v>0</v>
      </c>
      <c r="O1371" t="n">
        <v>0</v>
      </c>
      <c r="P1371" t="n">
        <v>0</v>
      </c>
      <c r="Q1371" t="n">
        <v>0</v>
      </c>
      <c r="R1371" s="2" t="inlineStr"/>
    </row>
    <row r="1372" ht="15" customHeight="1">
      <c r="A1372" t="inlineStr">
        <is>
          <t>A 65118-2020</t>
        </is>
      </c>
      <c r="B1372" s="1" t="n">
        <v>44172</v>
      </c>
      <c r="C1372" s="1" t="n">
        <v>45224</v>
      </c>
      <c r="D1372" t="inlineStr">
        <is>
          <t>STOCKHOLMS LÄN</t>
        </is>
      </c>
      <c r="E1372" t="inlineStr">
        <is>
          <t>NYNÄSHAMN</t>
        </is>
      </c>
      <c r="G1372" t="n">
        <v>0.5</v>
      </c>
      <c r="H1372" t="n">
        <v>0</v>
      </c>
      <c r="I1372" t="n">
        <v>0</v>
      </c>
      <c r="J1372" t="n">
        <v>0</v>
      </c>
      <c r="K1372" t="n">
        <v>0</v>
      </c>
      <c r="L1372" t="n">
        <v>0</v>
      </c>
      <c r="M1372" t="n">
        <v>0</v>
      </c>
      <c r="N1372" t="n">
        <v>0</v>
      </c>
      <c r="O1372" t="n">
        <v>0</v>
      </c>
      <c r="P1372" t="n">
        <v>0</v>
      </c>
      <c r="Q1372" t="n">
        <v>0</v>
      </c>
      <c r="R1372" s="2" t="inlineStr"/>
    </row>
    <row r="1373" ht="15" customHeight="1">
      <c r="A1373" t="inlineStr">
        <is>
          <t>A 65804-2020</t>
        </is>
      </c>
      <c r="B1373" s="1" t="n">
        <v>44172</v>
      </c>
      <c r="C1373" s="1" t="n">
        <v>45224</v>
      </c>
      <c r="D1373" t="inlineStr">
        <is>
          <t>STOCKHOLMS LÄN</t>
        </is>
      </c>
      <c r="E1373" t="inlineStr">
        <is>
          <t>VALLENTUNA</t>
        </is>
      </c>
      <c r="G1373" t="n">
        <v>2.9</v>
      </c>
      <c r="H1373" t="n">
        <v>0</v>
      </c>
      <c r="I1373" t="n">
        <v>0</v>
      </c>
      <c r="J1373" t="n">
        <v>0</v>
      </c>
      <c r="K1373" t="n">
        <v>0</v>
      </c>
      <c r="L1373" t="n">
        <v>0</v>
      </c>
      <c r="M1373" t="n">
        <v>0</v>
      </c>
      <c r="N1373" t="n">
        <v>0</v>
      </c>
      <c r="O1373" t="n">
        <v>0</v>
      </c>
      <c r="P1373" t="n">
        <v>0</v>
      </c>
      <c r="Q1373" t="n">
        <v>0</v>
      </c>
      <c r="R1373" s="2" t="inlineStr"/>
    </row>
    <row r="1374" ht="15" customHeight="1">
      <c r="A1374" t="inlineStr">
        <is>
          <t>A 65916-2020</t>
        </is>
      </c>
      <c r="B1374" s="1" t="n">
        <v>44175</v>
      </c>
      <c r="C1374" s="1" t="n">
        <v>45224</v>
      </c>
      <c r="D1374" t="inlineStr">
        <is>
          <t>STOCKHOLMS LÄN</t>
        </is>
      </c>
      <c r="E1374" t="inlineStr">
        <is>
          <t>SALEM</t>
        </is>
      </c>
      <c r="G1374" t="n">
        <v>1.7</v>
      </c>
      <c r="H1374" t="n">
        <v>0</v>
      </c>
      <c r="I1374" t="n">
        <v>0</v>
      </c>
      <c r="J1374" t="n">
        <v>0</v>
      </c>
      <c r="K1374" t="n">
        <v>0</v>
      </c>
      <c r="L1374" t="n">
        <v>0</v>
      </c>
      <c r="M1374" t="n">
        <v>0</v>
      </c>
      <c r="N1374" t="n">
        <v>0</v>
      </c>
      <c r="O1374" t="n">
        <v>0</v>
      </c>
      <c r="P1374" t="n">
        <v>0</v>
      </c>
      <c r="Q1374" t="n">
        <v>0</v>
      </c>
      <c r="R1374" s="2" t="inlineStr"/>
    </row>
    <row r="1375" ht="15" customHeight="1">
      <c r="A1375" t="inlineStr">
        <is>
          <t>A 65954-2020</t>
        </is>
      </c>
      <c r="B1375" s="1" t="n">
        <v>44175</v>
      </c>
      <c r="C1375" s="1" t="n">
        <v>45224</v>
      </c>
      <c r="D1375" t="inlineStr">
        <is>
          <t>STOCKHOLMS LÄN</t>
        </is>
      </c>
      <c r="E1375" t="inlineStr">
        <is>
          <t>UPPLANDS-BRO</t>
        </is>
      </c>
      <c r="G1375" t="n">
        <v>0.6</v>
      </c>
      <c r="H1375" t="n">
        <v>0</v>
      </c>
      <c r="I1375" t="n">
        <v>0</v>
      </c>
      <c r="J1375" t="n">
        <v>0</v>
      </c>
      <c r="K1375" t="n">
        <v>0</v>
      </c>
      <c r="L1375" t="n">
        <v>0</v>
      </c>
      <c r="M1375" t="n">
        <v>0</v>
      </c>
      <c r="N1375" t="n">
        <v>0</v>
      </c>
      <c r="O1375" t="n">
        <v>0</v>
      </c>
      <c r="P1375" t="n">
        <v>0</v>
      </c>
      <c r="Q1375" t="n">
        <v>0</v>
      </c>
      <c r="R1375" s="2" t="inlineStr"/>
    </row>
    <row r="1376" ht="15" customHeight="1">
      <c r="A1376" t="inlineStr">
        <is>
          <t>A 66372-2020</t>
        </is>
      </c>
      <c r="B1376" s="1" t="n">
        <v>44176</v>
      </c>
      <c r="C1376" s="1" t="n">
        <v>45224</v>
      </c>
      <c r="D1376" t="inlineStr">
        <is>
          <t>STOCKHOLMS LÄN</t>
        </is>
      </c>
      <c r="E1376" t="inlineStr">
        <is>
          <t>NORRTÄLJE</t>
        </is>
      </c>
      <c r="G1376" t="n">
        <v>1.3</v>
      </c>
      <c r="H1376" t="n">
        <v>0</v>
      </c>
      <c r="I1376" t="n">
        <v>0</v>
      </c>
      <c r="J1376" t="n">
        <v>0</v>
      </c>
      <c r="K1376" t="n">
        <v>0</v>
      </c>
      <c r="L1376" t="n">
        <v>0</v>
      </c>
      <c r="M1376" t="n">
        <v>0</v>
      </c>
      <c r="N1376" t="n">
        <v>0</v>
      </c>
      <c r="O1376" t="n">
        <v>0</v>
      </c>
      <c r="P1376" t="n">
        <v>0</v>
      </c>
      <c r="Q1376" t="n">
        <v>0</v>
      </c>
      <c r="R1376" s="2" t="inlineStr"/>
    </row>
    <row r="1377" ht="15" customHeight="1">
      <c r="A1377" t="inlineStr">
        <is>
          <t>A 66907-2020</t>
        </is>
      </c>
      <c r="B1377" s="1" t="n">
        <v>44176</v>
      </c>
      <c r="C1377" s="1" t="n">
        <v>45224</v>
      </c>
      <c r="D1377" t="inlineStr">
        <is>
          <t>STOCKHOLMS LÄN</t>
        </is>
      </c>
      <c r="E1377" t="inlineStr">
        <is>
          <t>NORRTÄLJE</t>
        </is>
      </c>
      <c r="G1377" t="n">
        <v>1.7</v>
      </c>
      <c r="H1377" t="n">
        <v>0</v>
      </c>
      <c r="I1377" t="n">
        <v>0</v>
      </c>
      <c r="J1377" t="n">
        <v>0</v>
      </c>
      <c r="K1377" t="n">
        <v>0</v>
      </c>
      <c r="L1377" t="n">
        <v>0</v>
      </c>
      <c r="M1377" t="n">
        <v>0</v>
      </c>
      <c r="N1377" t="n">
        <v>0</v>
      </c>
      <c r="O1377" t="n">
        <v>0</v>
      </c>
      <c r="P1377" t="n">
        <v>0</v>
      </c>
      <c r="Q1377" t="n">
        <v>0</v>
      </c>
      <c r="R1377" s="2" t="inlineStr"/>
    </row>
    <row r="1378" ht="15" customHeight="1">
      <c r="A1378" t="inlineStr">
        <is>
          <t>A 66726-2020</t>
        </is>
      </c>
      <c r="B1378" s="1" t="n">
        <v>44179</v>
      </c>
      <c r="C1378" s="1" t="n">
        <v>45224</v>
      </c>
      <c r="D1378" t="inlineStr">
        <is>
          <t>STOCKHOLMS LÄN</t>
        </is>
      </c>
      <c r="E1378" t="inlineStr">
        <is>
          <t>HANINGE</t>
        </is>
      </c>
      <c r="F1378" t="inlineStr">
        <is>
          <t>Övriga statliga verk och myndigheter</t>
        </is>
      </c>
      <c r="G1378" t="n">
        <v>10.5</v>
      </c>
      <c r="H1378" t="n">
        <v>0</v>
      </c>
      <c r="I1378" t="n">
        <v>0</v>
      </c>
      <c r="J1378" t="n">
        <v>0</v>
      </c>
      <c r="K1378" t="n">
        <v>0</v>
      </c>
      <c r="L1378" t="n">
        <v>0</v>
      </c>
      <c r="M1378" t="n">
        <v>0</v>
      </c>
      <c r="N1378" t="n">
        <v>0</v>
      </c>
      <c r="O1378" t="n">
        <v>0</v>
      </c>
      <c r="P1378" t="n">
        <v>0</v>
      </c>
      <c r="Q1378" t="n">
        <v>0</v>
      </c>
      <c r="R1378" s="2" t="inlineStr"/>
    </row>
    <row r="1379" ht="15" customHeight="1">
      <c r="A1379" t="inlineStr">
        <is>
          <t>A 66926-2020</t>
        </is>
      </c>
      <c r="B1379" s="1" t="n">
        <v>44180</v>
      </c>
      <c r="C1379" s="1" t="n">
        <v>45224</v>
      </c>
      <c r="D1379" t="inlineStr">
        <is>
          <t>STOCKHOLMS LÄN</t>
        </is>
      </c>
      <c r="E1379" t="inlineStr">
        <is>
          <t>UPPLANDS-BRO</t>
        </is>
      </c>
      <c r="F1379" t="inlineStr">
        <is>
          <t>Övriga statliga verk och myndigheter</t>
        </is>
      </c>
      <c r="G1379" t="n">
        <v>5.2</v>
      </c>
      <c r="H1379" t="n">
        <v>0</v>
      </c>
      <c r="I1379" t="n">
        <v>0</v>
      </c>
      <c r="J1379" t="n">
        <v>0</v>
      </c>
      <c r="K1379" t="n">
        <v>0</v>
      </c>
      <c r="L1379" t="n">
        <v>0</v>
      </c>
      <c r="M1379" t="n">
        <v>0</v>
      </c>
      <c r="N1379" t="n">
        <v>0</v>
      </c>
      <c r="O1379" t="n">
        <v>0</v>
      </c>
      <c r="P1379" t="n">
        <v>0</v>
      </c>
      <c r="Q1379" t="n">
        <v>0</v>
      </c>
      <c r="R1379" s="2" t="inlineStr"/>
    </row>
    <row r="1380" ht="15" customHeight="1">
      <c r="A1380" t="inlineStr">
        <is>
          <t>A 66949-2020</t>
        </is>
      </c>
      <c r="B1380" s="1" t="n">
        <v>44180</v>
      </c>
      <c r="C1380" s="1" t="n">
        <v>45224</v>
      </c>
      <c r="D1380" t="inlineStr">
        <is>
          <t>STOCKHOLMS LÄN</t>
        </is>
      </c>
      <c r="E1380" t="inlineStr">
        <is>
          <t>UPPLANDS-BRO</t>
        </is>
      </c>
      <c r="F1380" t="inlineStr">
        <is>
          <t>Övriga statliga verk och myndigheter</t>
        </is>
      </c>
      <c r="G1380" t="n">
        <v>3.4</v>
      </c>
      <c r="H1380" t="n">
        <v>0</v>
      </c>
      <c r="I1380" t="n">
        <v>0</v>
      </c>
      <c r="J1380" t="n">
        <v>0</v>
      </c>
      <c r="K1380" t="n">
        <v>0</v>
      </c>
      <c r="L1380" t="n">
        <v>0</v>
      </c>
      <c r="M1380" t="n">
        <v>0</v>
      </c>
      <c r="N1380" t="n">
        <v>0</v>
      </c>
      <c r="O1380" t="n">
        <v>0</v>
      </c>
      <c r="P1380" t="n">
        <v>0</v>
      </c>
      <c r="Q1380" t="n">
        <v>0</v>
      </c>
      <c r="R1380" s="2" t="inlineStr"/>
    </row>
    <row r="1381" ht="15" customHeight="1">
      <c r="A1381" t="inlineStr">
        <is>
          <t>A 66960-2020</t>
        </is>
      </c>
      <c r="B1381" s="1" t="n">
        <v>44180</v>
      </c>
      <c r="C1381" s="1" t="n">
        <v>45224</v>
      </c>
      <c r="D1381" t="inlineStr">
        <is>
          <t>STOCKHOLMS LÄN</t>
        </is>
      </c>
      <c r="E1381" t="inlineStr">
        <is>
          <t>UPPLANDS-BRO</t>
        </is>
      </c>
      <c r="F1381" t="inlineStr">
        <is>
          <t>Övriga statliga verk och myndigheter</t>
        </is>
      </c>
      <c r="G1381" t="n">
        <v>15.2</v>
      </c>
      <c r="H1381" t="n">
        <v>0</v>
      </c>
      <c r="I1381" t="n">
        <v>0</v>
      </c>
      <c r="J1381" t="n">
        <v>0</v>
      </c>
      <c r="K1381" t="n">
        <v>0</v>
      </c>
      <c r="L1381" t="n">
        <v>0</v>
      </c>
      <c r="M1381" t="n">
        <v>0</v>
      </c>
      <c r="N1381" t="n">
        <v>0</v>
      </c>
      <c r="O1381" t="n">
        <v>0</v>
      </c>
      <c r="P1381" t="n">
        <v>0</v>
      </c>
      <c r="Q1381" t="n">
        <v>0</v>
      </c>
      <c r="R1381" s="2" t="inlineStr"/>
    </row>
    <row r="1382" ht="15" customHeight="1">
      <c r="A1382" t="inlineStr">
        <is>
          <t>A 67275-2020</t>
        </is>
      </c>
      <c r="B1382" s="1" t="n">
        <v>44181</v>
      </c>
      <c r="C1382" s="1" t="n">
        <v>45224</v>
      </c>
      <c r="D1382" t="inlineStr">
        <is>
          <t>STOCKHOLMS LÄN</t>
        </is>
      </c>
      <c r="E1382" t="inlineStr">
        <is>
          <t>UPPLANDS-BRO</t>
        </is>
      </c>
      <c r="F1382" t="inlineStr">
        <is>
          <t>Övriga statliga verk och myndigheter</t>
        </is>
      </c>
      <c r="G1382" t="n">
        <v>19.7</v>
      </c>
      <c r="H1382" t="n">
        <v>0</v>
      </c>
      <c r="I1382" t="n">
        <v>0</v>
      </c>
      <c r="J1382" t="n">
        <v>0</v>
      </c>
      <c r="K1382" t="n">
        <v>0</v>
      </c>
      <c r="L1382" t="n">
        <v>0</v>
      </c>
      <c r="M1382" t="n">
        <v>0</v>
      </c>
      <c r="N1382" t="n">
        <v>0</v>
      </c>
      <c r="O1382" t="n">
        <v>0</v>
      </c>
      <c r="P1382" t="n">
        <v>0</v>
      </c>
      <c r="Q1382" t="n">
        <v>0</v>
      </c>
      <c r="R1382" s="2" t="inlineStr"/>
    </row>
    <row r="1383" ht="15" customHeight="1">
      <c r="A1383" t="inlineStr">
        <is>
          <t>A 67286-2020</t>
        </is>
      </c>
      <c r="B1383" s="1" t="n">
        <v>44181</v>
      </c>
      <c r="C1383" s="1" t="n">
        <v>45224</v>
      </c>
      <c r="D1383" t="inlineStr">
        <is>
          <t>STOCKHOLMS LÄN</t>
        </is>
      </c>
      <c r="E1383" t="inlineStr">
        <is>
          <t>UPPLANDS-BRO</t>
        </is>
      </c>
      <c r="F1383" t="inlineStr">
        <is>
          <t>Övriga statliga verk och myndigheter</t>
        </is>
      </c>
      <c r="G1383" t="n">
        <v>7.3</v>
      </c>
      <c r="H1383" t="n">
        <v>0</v>
      </c>
      <c r="I1383" t="n">
        <v>0</v>
      </c>
      <c r="J1383" t="n">
        <v>0</v>
      </c>
      <c r="K1383" t="n">
        <v>0</v>
      </c>
      <c r="L1383" t="n">
        <v>0</v>
      </c>
      <c r="M1383" t="n">
        <v>0</v>
      </c>
      <c r="N1383" t="n">
        <v>0</v>
      </c>
      <c r="O1383" t="n">
        <v>0</v>
      </c>
      <c r="P1383" t="n">
        <v>0</v>
      </c>
      <c r="Q1383" t="n">
        <v>0</v>
      </c>
      <c r="R1383" s="2" t="inlineStr"/>
    </row>
    <row r="1384" ht="15" customHeight="1">
      <c r="A1384" t="inlineStr">
        <is>
          <t>A 67393-2020</t>
        </is>
      </c>
      <c r="B1384" s="1" t="n">
        <v>44181</v>
      </c>
      <c r="C1384" s="1" t="n">
        <v>45224</v>
      </c>
      <c r="D1384" t="inlineStr">
        <is>
          <t>STOCKHOLMS LÄN</t>
        </is>
      </c>
      <c r="E1384" t="inlineStr">
        <is>
          <t>NORRTÄLJE</t>
        </is>
      </c>
      <c r="G1384" t="n">
        <v>5.5</v>
      </c>
      <c r="H1384" t="n">
        <v>0</v>
      </c>
      <c r="I1384" t="n">
        <v>0</v>
      </c>
      <c r="J1384" t="n">
        <v>0</v>
      </c>
      <c r="K1384" t="n">
        <v>0</v>
      </c>
      <c r="L1384" t="n">
        <v>0</v>
      </c>
      <c r="M1384" t="n">
        <v>0</v>
      </c>
      <c r="N1384" t="n">
        <v>0</v>
      </c>
      <c r="O1384" t="n">
        <v>0</v>
      </c>
      <c r="P1384" t="n">
        <v>0</v>
      </c>
      <c r="Q1384" t="n">
        <v>0</v>
      </c>
      <c r="R1384" s="2" t="inlineStr"/>
    </row>
    <row r="1385" ht="15" customHeight="1">
      <c r="A1385" t="inlineStr">
        <is>
          <t>A 68268-2020</t>
        </is>
      </c>
      <c r="B1385" s="1" t="n">
        <v>44183</v>
      </c>
      <c r="C1385" s="1" t="n">
        <v>45224</v>
      </c>
      <c r="D1385" t="inlineStr">
        <is>
          <t>STOCKHOLMS LÄN</t>
        </is>
      </c>
      <c r="E1385" t="inlineStr">
        <is>
          <t>NYKVARN</t>
        </is>
      </c>
      <c r="F1385" t="inlineStr">
        <is>
          <t>Allmännings- och besparingsskogar</t>
        </is>
      </c>
      <c r="G1385" t="n">
        <v>1.9</v>
      </c>
      <c r="H1385" t="n">
        <v>0</v>
      </c>
      <c r="I1385" t="n">
        <v>0</v>
      </c>
      <c r="J1385" t="n">
        <v>0</v>
      </c>
      <c r="K1385" t="n">
        <v>0</v>
      </c>
      <c r="L1385" t="n">
        <v>0</v>
      </c>
      <c r="M1385" t="n">
        <v>0</v>
      </c>
      <c r="N1385" t="n">
        <v>0</v>
      </c>
      <c r="O1385" t="n">
        <v>0</v>
      </c>
      <c r="P1385" t="n">
        <v>0</v>
      </c>
      <c r="Q1385" t="n">
        <v>0</v>
      </c>
      <c r="R1385" s="2" t="inlineStr"/>
    </row>
    <row r="1386" ht="15" customHeight="1">
      <c r="A1386" t="inlineStr">
        <is>
          <t>A 68081-2020</t>
        </is>
      </c>
      <c r="B1386" s="1" t="n">
        <v>44183</v>
      </c>
      <c r="C1386" s="1" t="n">
        <v>45224</v>
      </c>
      <c r="D1386" t="inlineStr">
        <is>
          <t>STOCKHOLMS LÄN</t>
        </is>
      </c>
      <c r="E1386" t="inlineStr">
        <is>
          <t>NORRTÄLJE</t>
        </is>
      </c>
      <c r="G1386" t="n">
        <v>2.1</v>
      </c>
      <c r="H1386" t="n">
        <v>0</v>
      </c>
      <c r="I1386" t="n">
        <v>0</v>
      </c>
      <c r="J1386" t="n">
        <v>0</v>
      </c>
      <c r="K1386" t="n">
        <v>0</v>
      </c>
      <c r="L1386" t="n">
        <v>0</v>
      </c>
      <c r="M1386" t="n">
        <v>0</v>
      </c>
      <c r="N1386" t="n">
        <v>0</v>
      </c>
      <c r="O1386" t="n">
        <v>0</v>
      </c>
      <c r="P1386" t="n">
        <v>0</v>
      </c>
      <c r="Q1386" t="n">
        <v>0</v>
      </c>
      <c r="R1386" s="2" t="inlineStr"/>
    </row>
    <row r="1387" ht="15" customHeight="1">
      <c r="A1387" t="inlineStr">
        <is>
          <t>A 68721-2020</t>
        </is>
      </c>
      <c r="B1387" s="1" t="n">
        <v>44187</v>
      </c>
      <c r="C1387" s="1" t="n">
        <v>45224</v>
      </c>
      <c r="D1387" t="inlineStr">
        <is>
          <t>STOCKHOLMS LÄN</t>
        </is>
      </c>
      <c r="E1387" t="inlineStr">
        <is>
          <t>SÖDERTÄLJE</t>
        </is>
      </c>
      <c r="G1387" t="n">
        <v>2.2</v>
      </c>
      <c r="H1387" t="n">
        <v>0</v>
      </c>
      <c r="I1387" t="n">
        <v>0</v>
      </c>
      <c r="J1387" t="n">
        <v>0</v>
      </c>
      <c r="K1387" t="n">
        <v>0</v>
      </c>
      <c r="L1387" t="n">
        <v>0</v>
      </c>
      <c r="M1387" t="n">
        <v>0</v>
      </c>
      <c r="N1387" t="n">
        <v>0</v>
      </c>
      <c r="O1387" t="n">
        <v>0</v>
      </c>
      <c r="P1387" t="n">
        <v>0</v>
      </c>
      <c r="Q1387" t="n">
        <v>0</v>
      </c>
      <c r="R1387" s="2" t="inlineStr"/>
    </row>
    <row r="1388" ht="15" customHeight="1">
      <c r="A1388" t="inlineStr">
        <is>
          <t>A 68938-2020</t>
        </is>
      </c>
      <c r="B1388" s="1" t="n">
        <v>44187</v>
      </c>
      <c r="C1388" s="1" t="n">
        <v>45224</v>
      </c>
      <c r="D1388" t="inlineStr">
        <is>
          <t>STOCKHOLMS LÄN</t>
        </is>
      </c>
      <c r="E1388" t="inlineStr">
        <is>
          <t>VALLENTUNA</t>
        </is>
      </c>
      <c r="G1388" t="n">
        <v>3</v>
      </c>
      <c r="H1388" t="n">
        <v>0</v>
      </c>
      <c r="I1388" t="n">
        <v>0</v>
      </c>
      <c r="J1388" t="n">
        <v>0</v>
      </c>
      <c r="K1388" t="n">
        <v>0</v>
      </c>
      <c r="L1388" t="n">
        <v>0</v>
      </c>
      <c r="M1388" t="n">
        <v>0</v>
      </c>
      <c r="N1388" t="n">
        <v>0</v>
      </c>
      <c r="O1388" t="n">
        <v>0</v>
      </c>
      <c r="P1388" t="n">
        <v>0</v>
      </c>
      <c r="Q1388" t="n">
        <v>0</v>
      </c>
      <c r="R1388" s="2" t="inlineStr"/>
    </row>
    <row r="1389" ht="15" customHeight="1">
      <c r="A1389" t="inlineStr">
        <is>
          <t>A 68935-2020</t>
        </is>
      </c>
      <c r="B1389" s="1" t="n">
        <v>44187</v>
      </c>
      <c r="C1389" s="1" t="n">
        <v>45224</v>
      </c>
      <c r="D1389" t="inlineStr">
        <is>
          <t>STOCKHOLMS LÄN</t>
        </is>
      </c>
      <c r="E1389" t="inlineStr">
        <is>
          <t>VALLENTUNA</t>
        </is>
      </c>
      <c r="G1389" t="n">
        <v>7.8</v>
      </c>
      <c r="H1389" t="n">
        <v>0</v>
      </c>
      <c r="I1389" t="n">
        <v>0</v>
      </c>
      <c r="J1389" t="n">
        <v>0</v>
      </c>
      <c r="K1389" t="n">
        <v>0</v>
      </c>
      <c r="L1389" t="n">
        <v>0</v>
      </c>
      <c r="M1389" t="n">
        <v>0</v>
      </c>
      <c r="N1389" t="n">
        <v>0</v>
      </c>
      <c r="O1389" t="n">
        <v>0</v>
      </c>
      <c r="P1389" t="n">
        <v>0</v>
      </c>
      <c r="Q1389" t="n">
        <v>0</v>
      </c>
      <c r="R1389" s="2" t="inlineStr"/>
    </row>
    <row r="1390" ht="15" customHeight="1">
      <c r="A1390" t="inlineStr">
        <is>
          <t>A 69183-2020</t>
        </is>
      </c>
      <c r="B1390" s="1" t="n">
        <v>44190</v>
      </c>
      <c r="C1390" s="1" t="n">
        <v>45224</v>
      </c>
      <c r="D1390" t="inlineStr">
        <is>
          <t>STOCKHOLMS LÄN</t>
        </is>
      </c>
      <c r="E1390" t="inlineStr">
        <is>
          <t>NYNÄSHAMN</t>
        </is>
      </c>
      <c r="G1390" t="n">
        <v>0.2</v>
      </c>
      <c r="H1390" t="n">
        <v>0</v>
      </c>
      <c r="I1390" t="n">
        <v>0</v>
      </c>
      <c r="J1390" t="n">
        <v>0</v>
      </c>
      <c r="K1390" t="n">
        <v>0</v>
      </c>
      <c r="L1390" t="n">
        <v>0</v>
      </c>
      <c r="M1390" t="n">
        <v>0</v>
      </c>
      <c r="N1390" t="n">
        <v>0</v>
      </c>
      <c r="O1390" t="n">
        <v>0</v>
      </c>
      <c r="P1390" t="n">
        <v>0</v>
      </c>
      <c r="Q1390" t="n">
        <v>0</v>
      </c>
      <c r="R1390" s="2" t="inlineStr"/>
    </row>
    <row r="1391" ht="15" customHeight="1">
      <c r="A1391" t="inlineStr">
        <is>
          <t>A 177-2021</t>
        </is>
      </c>
      <c r="B1391" s="1" t="n">
        <v>44200</v>
      </c>
      <c r="C1391" s="1" t="n">
        <v>45224</v>
      </c>
      <c r="D1391" t="inlineStr">
        <is>
          <t>STOCKHOLMS LÄN</t>
        </is>
      </c>
      <c r="E1391" t="inlineStr">
        <is>
          <t>BOTKYRKA</t>
        </is>
      </c>
      <c r="G1391" t="n">
        <v>1.3</v>
      </c>
      <c r="H1391" t="n">
        <v>0</v>
      </c>
      <c r="I1391" t="n">
        <v>0</v>
      </c>
      <c r="J1391" t="n">
        <v>0</v>
      </c>
      <c r="K1391" t="n">
        <v>0</v>
      </c>
      <c r="L1391" t="n">
        <v>0</v>
      </c>
      <c r="M1391" t="n">
        <v>0</v>
      </c>
      <c r="N1391" t="n">
        <v>0</v>
      </c>
      <c r="O1391" t="n">
        <v>0</v>
      </c>
      <c r="P1391" t="n">
        <v>0</v>
      </c>
      <c r="Q1391" t="n">
        <v>0</v>
      </c>
      <c r="R1391" s="2" t="inlineStr"/>
    </row>
    <row r="1392" ht="15" customHeight="1">
      <c r="A1392" t="inlineStr">
        <is>
          <t>A 348-2021</t>
        </is>
      </c>
      <c r="B1392" s="1" t="n">
        <v>44201</v>
      </c>
      <c r="C1392" s="1" t="n">
        <v>45224</v>
      </c>
      <c r="D1392" t="inlineStr">
        <is>
          <t>STOCKHOLMS LÄN</t>
        </is>
      </c>
      <c r="E1392" t="inlineStr">
        <is>
          <t>NORRTÄLJE</t>
        </is>
      </c>
      <c r="G1392" t="n">
        <v>0.1</v>
      </c>
      <c r="H1392" t="n">
        <v>0</v>
      </c>
      <c r="I1392" t="n">
        <v>0</v>
      </c>
      <c r="J1392" t="n">
        <v>0</v>
      </c>
      <c r="K1392" t="n">
        <v>0</v>
      </c>
      <c r="L1392" t="n">
        <v>0</v>
      </c>
      <c r="M1392" t="n">
        <v>0</v>
      </c>
      <c r="N1392" t="n">
        <v>0</v>
      </c>
      <c r="O1392" t="n">
        <v>0</v>
      </c>
      <c r="P1392" t="n">
        <v>0</v>
      </c>
      <c r="Q1392" t="n">
        <v>0</v>
      </c>
      <c r="R1392" s="2" t="inlineStr"/>
    </row>
    <row r="1393" ht="15" customHeight="1">
      <c r="A1393" t="inlineStr">
        <is>
          <t>A 367-2021</t>
        </is>
      </c>
      <c r="B1393" s="1" t="n">
        <v>44201</v>
      </c>
      <c r="C1393" s="1" t="n">
        <v>45224</v>
      </c>
      <c r="D1393" t="inlineStr">
        <is>
          <t>STOCKHOLMS LÄN</t>
        </is>
      </c>
      <c r="E1393" t="inlineStr">
        <is>
          <t>NORRTÄLJE</t>
        </is>
      </c>
      <c r="G1393" t="n">
        <v>0.1</v>
      </c>
      <c r="H1393" t="n">
        <v>0</v>
      </c>
      <c r="I1393" t="n">
        <v>0</v>
      </c>
      <c r="J1393" t="n">
        <v>0</v>
      </c>
      <c r="K1393" t="n">
        <v>0</v>
      </c>
      <c r="L1393" t="n">
        <v>0</v>
      </c>
      <c r="M1393" t="n">
        <v>0</v>
      </c>
      <c r="N1393" t="n">
        <v>0</v>
      </c>
      <c r="O1393" t="n">
        <v>0</v>
      </c>
      <c r="P1393" t="n">
        <v>0</v>
      </c>
      <c r="Q1393" t="n">
        <v>0</v>
      </c>
      <c r="R1393" s="2" t="inlineStr"/>
    </row>
    <row r="1394" ht="15" customHeight="1">
      <c r="A1394" t="inlineStr">
        <is>
          <t>A 1418-2021</t>
        </is>
      </c>
      <c r="B1394" s="1" t="n">
        <v>44208</v>
      </c>
      <c r="C1394" s="1" t="n">
        <v>45224</v>
      </c>
      <c r="D1394" t="inlineStr">
        <is>
          <t>STOCKHOLMS LÄN</t>
        </is>
      </c>
      <c r="E1394" t="inlineStr">
        <is>
          <t>HANINGE</t>
        </is>
      </c>
      <c r="G1394" t="n">
        <v>4.2</v>
      </c>
      <c r="H1394" t="n">
        <v>0</v>
      </c>
      <c r="I1394" t="n">
        <v>0</v>
      </c>
      <c r="J1394" t="n">
        <v>0</v>
      </c>
      <c r="K1394" t="n">
        <v>0</v>
      </c>
      <c r="L1394" t="n">
        <v>0</v>
      </c>
      <c r="M1394" t="n">
        <v>0</v>
      </c>
      <c r="N1394" t="n">
        <v>0</v>
      </c>
      <c r="O1394" t="n">
        <v>0</v>
      </c>
      <c r="P1394" t="n">
        <v>0</v>
      </c>
      <c r="Q1394" t="n">
        <v>0</v>
      </c>
      <c r="R1394" s="2" t="inlineStr"/>
    </row>
    <row r="1395" ht="15" customHeight="1">
      <c r="A1395" t="inlineStr">
        <is>
          <t>A 1438-2021</t>
        </is>
      </c>
      <c r="B1395" s="1" t="n">
        <v>44208</v>
      </c>
      <c r="C1395" s="1" t="n">
        <v>45224</v>
      </c>
      <c r="D1395" t="inlineStr">
        <is>
          <t>STOCKHOLMS LÄN</t>
        </is>
      </c>
      <c r="E1395" t="inlineStr">
        <is>
          <t>HANINGE</t>
        </is>
      </c>
      <c r="G1395" t="n">
        <v>3</v>
      </c>
      <c r="H1395" t="n">
        <v>0</v>
      </c>
      <c r="I1395" t="n">
        <v>0</v>
      </c>
      <c r="J1395" t="n">
        <v>0</v>
      </c>
      <c r="K1395" t="n">
        <v>0</v>
      </c>
      <c r="L1395" t="n">
        <v>0</v>
      </c>
      <c r="M1395" t="n">
        <v>0</v>
      </c>
      <c r="N1395" t="n">
        <v>0</v>
      </c>
      <c r="O1395" t="n">
        <v>0</v>
      </c>
      <c r="P1395" t="n">
        <v>0</v>
      </c>
      <c r="Q1395" t="n">
        <v>0</v>
      </c>
      <c r="R1395" s="2" t="inlineStr"/>
    </row>
    <row r="1396" ht="15" customHeight="1">
      <c r="A1396" t="inlineStr">
        <is>
          <t>A 1420-2021</t>
        </is>
      </c>
      <c r="B1396" s="1" t="n">
        <v>44208</v>
      </c>
      <c r="C1396" s="1" t="n">
        <v>45224</v>
      </c>
      <c r="D1396" t="inlineStr">
        <is>
          <t>STOCKHOLMS LÄN</t>
        </is>
      </c>
      <c r="E1396" t="inlineStr">
        <is>
          <t>HANINGE</t>
        </is>
      </c>
      <c r="G1396" t="n">
        <v>6.3</v>
      </c>
      <c r="H1396" t="n">
        <v>0</v>
      </c>
      <c r="I1396" t="n">
        <v>0</v>
      </c>
      <c r="J1396" t="n">
        <v>0</v>
      </c>
      <c r="K1396" t="n">
        <v>0</v>
      </c>
      <c r="L1396" t="n">
        <v>0</v>
      </c>
      <c r="M1396" t="n">
        <v>0</v>
      </c>
      <c r="N1396" t="n">
        <v>0</v>
      </c>
      <c r="O1396" t="n">
        <v>0</v>
      </c>
      <c r="P1396" t="n">
        <v>0</v>
      </c>
      <c r="Q1396" t="n">
        <v>0</v>
      </c>
      <c r="R1396" s="2" t="inlineStr"/>
    </row>
    <row r="1397" ht="15" customHeight="1">
      <c r="A1397" t="inlineStr">
        <is>
          <t>A 1637-2021</t>
        </is>
      </c>
      <c r="B1397" s="1" t="n">
        <v>44209</v>
      </c>
      <c r="C1397" s="1" t="n">
        <v>45224</v>
      </c>
      <c r="D1397" t="inlineStr">
        <is>
          <t>STOCKHOLMS LÄN</t>
        </is>
      </c>
      <c r="E1397" t="inlineStr">
        <is>
          <t>NORRTÄLJE</t>
        </is>
      </c>
      <c r="G1397" t="n">
        <v>1.6</v>
      </c>
      <c r="H1397" t="n">
        <v>0</v>
      </c>
      <c r="I1397" t="n">
        <v>0</v>
      </c>
      <c r="J1397" t="n">
        <v>0</v>
      </c>
      <c r="K1397" t="n">
        <v>0</v>
      </c>
      <c r="L1397" t="n">
        <v>0</v>
      </c>
      <c r="M1397" t="n">
        <v>0</v>
      </c>
      <c r="N1397" t="n">
        <v>0</v>
      </c>
      <c r="O1397" t="n">
        <v>0</v>
      </c>
      <c r="P1397" t="n">
        <v>0</v>
      </c>
      <c r="Q1397" t="n">
        <v>0</v>
      </c>
      <c r="R1397" s="2" t="inlineStr"/>
    </row>
    <row r="1398" ht="15" customHeight="1">
      <c r="A1398" t="inlineStr">
        <is>
          <t>A 1553-2021</t>
        </is>
      </c>
      <c r="B1398" s="1" t="n">
        <v>44209</v>
      </c>
      <c r="C1398" s="1" t="n">
        <v>45224</v>
      </c>
      <c r="D1398" t="inlineStr">
        <is>
          <t>STOCKHOLMS LÄN</t>
        </is>
      </c>
      <c r="E1398" t="inlineStr">
        <is>
          <t>EKERÖ</t>
        </is>
      </c>
      <c r="G1398" t="n">
        <v>6.3</v>
      </c>
      <c r="H1398" t="n">
        <v>0</v>
      </c>
      <c r="I1398" t="n">
        <v>0</v>
      </c>
      <c r="J1398" t="n">
        <v>0</v>
      </c>
      <c r="K1398" t="n">
        <v>0</v>
      </c>
      <c r="L1398" t="n">
        <v>0</v>
      </c>
      <c r="M1398" t="n">
        <v>0</v>
      </c>
      <c r="N1398" t="n">
        <v>0</v>
      </c>
      <c r="O1398" t="n">
        <v>0</v>
      </c>
      <c r="P1398" t="n">
        <v>0</v>
      </c>
      <c r="Q1398" t="n">
        <v>0</v>
      </c>
      <c r="R1398" s="2" t="inlineStr"/>
    </row>
    <row r="1399" ht="15" customHeight="1">
      <c r="A1399" t="inlineStr">
        <is>
          <t>A 1970-2021</t>
        </is>
      </c>
      <c r="B1399" s="1" t="n">
        <v>44210</v>
      </c>
      <c r="C1399" s="1" t="n">
        <v>45224</v>
      </c>
      <c r="D1399" t="inlineStr">
        <is>
          <t>STOCKHOLMS LÄN</t>
        </is>
      </c>
      <c r="E1399" t="inlineStr">
        <is>
          <t>NORRTÄLJE</t>
        </is>
      </c>
      <c r="G1399" t="n">
        <v>3.1</v>
      </c>
      <c r="H1399" t="n">
        <v>0</v>
      </c>
      <c r="I1399" t="n">
        <v>0</v>
      </c>
      <c r="J1399" t="n">
        <v>0</v>
      </c>
      <c r="K1399" t="n">
        <v>0</v>
      </c>
      <c r="L1399" t="n">
        <v>0</v>
      </c>
      <c r="M1399" t="n">
        <v>0</v>
      </c>
      <c r="N1399" t="n">
        <v>0</v>
      </c>
      <c r="O1399" t="n">
        <v>0</v>
      </c>
      <c r="P1399" t="n">
        <v>0</v>
      </c>
      <c r="Q1399" t="n">
        <v>0</v>
      </c>
      <c r="R1399" s="2" t="inlineStr"/>
    </row>
    <row r="1400" ht="15" customHeight="1">
      <c r="A1400" t="inlineStr">
        <is>
          <t>A 2295-2021</t>
        </is>
      </c>
      <c r="B1400" s="1" t="n">
        <v>44212</v>
      </c>
      <c r="C1400" s="1" t="n">
        <v>45224</v>
      </c>
      <c r="D1400" t="inlineStr">
        <is>
          <t>STOCKHOLMS LÄN</t>
        </is>
      </c>
      <c r="E1400" t="inlineStr">
        <is>
          <t>NYNÄSHAMN</t>
        </is>
      </c>
      <c r="G1400" t="n">
        <v>10.2</v>
      </c>
      <c r="H1400" t="n">
        <v>0</v>
      </c>
      <c r="I1400" t="n">
        <v>0</v>
      </c>
      <c r="J1400" t="n">
        <v>0</v>
      </c>
      <c r="K1400" t="n">
        <v>0</v>
      </c>
      <c r="L1400" t="n">
        <v>0</v>
      </c>
      <c r="M1400" t="n">
        <v>0</v>
      </c>
      <c r="N1400" t="n">
        <v>0</v>
      </c>
      <c r="O1400" t="n">
        <v>0</v>
      </c>
      <c r="P1400" t="n">
        <v>0</v>
      </c>
      <c r="Q1400" t="n">
        <v>0</v>
      </c>
      <c r="R1400" s="2" t="inlineStr"/>
    </row>
    <row r="1401" ht="15" customHeight="1">
      <c r="A1401" t="inlineStr">
        <is>
          <t>A 2447-2021</t>
        </is>
      </c>
      <c r="B1401" s="1" t="n">
        <v>44214</v>
      </c>
      <c r="C1401" s="1" t="n">
        <v>45224</v>
      </c>
      <c r="D1401" t="inlineStr">
        <is>
          <t>STOCKHOLMS LÄN</t>
        </is>
      </c>
      <c r="E1401" t="inlineStr">
        <is>
          <t>NORRTÄLJE</t>
        </is>
      </c>
      <c r="G1401" t="n">
        <v>0.6</v>
      </c>
      <c r="H1401" t="n">
        <v>0</v>
      </c>
      <c r="I1401" t="n">
        <v>0</v>
      </c>
      <c r="J1401" t="n">
        <v>0</v>
      </c>
      <c r="K1401" t="n">
        <v>0</v>
      </c>
      <c r="L1401" t="n">
        <v>0</v>
      </c>
      <c r="M1401" t="n">
        <v>0</v>
      </c>
      <c r="N1401" t="n">
        <v>0</v>
      </c>
      <c r="O1401" t="n">
        <v>0</v>
      </c>
      <c r="P1401" t="n">
        <v>0</v>
      </c>
      <c r="Q1401" t="n">
        <v>0</v>
      </c>
      <c r="R1401" s="2" t="inlineStr"/>
    </row>
    <row r="1402" ht="15" customHeight="1">
      <c r="A1402" t="inlineStr">
        <is>
          <t>A 2751-2021</t>
        </is>
      </c>
      <c r="B1402" s="1" t="n">
        <v>44215</v>
      </c>
      <c r="C1402" s="1" t="n">
        <v>45224</v>
      </c>
      <c r="D1402" t="inlineStr">
        <is>
          <t>STOCKHOLMS LÄN</t>
        </is>
      </c>
      <c r="E1402" t="inlineStr">
        <is>
          <t>NYNÄSHAMN</t>
        </is>
      </c>
      <c r="G1402" t="n">
        <v>1.9</v>
      </c>
      <c r="H1402" t="n">
        <v>0</v>
      </c>
      <c r="I1402" t="n">
        <v>0</v>
      </c>
      <c r="J1402" t="n">
        <v>0</v>
      </c>
      <c r="K1402" t="n">
        <v>0</v>
      </c>
      <c r="L1402" t="n">
        <v>0</v>
      </c>
      <c r="M1402" t="n">
        <v>0</v>
      </c>
      <c r="N1402" t="n">
        <v>0</v>
      </c>
      <c r="O1402" t="n">
        <v>0</v>
      </c>
      <c r="P1402" t="n">
        <v>0</v>
      </c>
      <c r="Q1402" t="n">
        <v>0</v>
      </c>
      <c r="R1402" s="2" t="inlineStr"/>
    </row>
    <row r="1403" ht="15" customHeight="1">
      <c r="A1403" t="inlineStr">
        <is>
          <t>A 2867-2021</t>
        </is>
      </c>
      <c r="B1403" s="1" t="n">
        <v>44216</v>
      </c>
      <c r="C1403" s="1" t="n">
        <v>45224</v>
      </c>
      <c r="D1403" t="inlineStr">
        <is>
          <t>STOCKHOLMS LÄN</t>
        </is>
      </c>
      <c r="E1403" t="inlineStr">
        <is>
          <t>NYNÄSHAMN</t>
        </is>
      </c>
      <c r="G1403" t="n">
        <v>5.1</v>
      </c>
      <c r="H1403" t="n">
        <v>0</v>
      </c>
      <c r="I1403" t="n">
        <v>0</v>
      </c>
      <c r="J1403" t="n">
        <v>0</v>
      </c>
      <c r="K1403" t="n">
        <v>0</v>
      </c>
      <c r="L1403" t="n">
        <v>0</v>
      </c>
      <c r="M1403" t="n">
        <v>0</v>
      </c>
      <c r="N1403" t="n">
        <v>0</v>
      </c>
      <c r="O1403" t="n">
        <v>0</v>
      </c>
      <c r="P1403" t="n">
        <v>0</v>
      </c>
      <c r="Q1403" t="n">
        <v>0</v>
      </c>
      <c r="R1403" s="2" t="inlineStr"/>
    </row>
    <row r="1404" ht="15" customHeight="1">
      <c r="A1404" t="inlineStr">
        <is>
          <t>A 2976-2021</t>
        </is>
      </c>
      <c r="B1404" s="1" t="n">
        <v>44216</v>
      </c>
      <c r="C1404" s="1" t="n">
        <v>45224</v>
      </c>
      <c r="D1404" t="inlineStr">
        <is>
          <t>STOCKHOLMS LÄN</t>
        </is>
      </c>
      <c r="E1404" t="inlineStr">
        <is>
          <t>NORRTÄLJE</t>
        </is>
      </c>
      <c r="G1404" t="n">
        <v>0.8</v>
      </c>
      <c r="H1404" t="n">
        <v>0</v>
      </c>
      <c r="I1404" t="n">
        <v>0</v>
      </c>
      <c r="J1404" t="n">
        <v>0</v>
      </c>
      <c r="K1404" t="n">
        <v>0</v>
      </c>
      <c r="L1404" t="n">
        <v>0</v>
      </c>
      <c r="M1404" t="n">
        <v>0</v>
      </c>
      <c r="N1404" t="n">
        <v>0</v>
      </c>
      <c r="O1404" t="n">
        <v>0</v>
      </c>
      <c r="P1404" t="n">
        <v>0</v>
      </c>
      <c r="Q1404" t="n">
        <v>0</v>
      </c>
      <c r="R1404" s="2" t="inlineStr"/>
    </row>
    <row r="1405" ht="15" customHeight="1">
      <c r="A1405" t="inlineStr">
        <is>
          <t>A 2858-2021</t>
        </is>
      </c>
      <c r="B1405" s="1" t="n">
        <v>44216</v>
      </c>
      <c r="C1405" s="1" t="n">
        <v>45224</v>
      </c>
      <c r="D1405" t="inlineStr">
        <is>
          <t>STOCKHOLMS LÄN</t>
        </is>
      </c>
      <c r="E1405" t="inlineStr">
        <is>
          <t>NYNÄSHAMN</t>
        </is>
      </c>
      <c r="G1405" t="n">
        <v>2.5</v>
      </c>
      <c r="H1405" t="n">
        <v>0</v>
      </c>
      <c r="I1405" t="n">
        <v>0</v>
      </c>
      <c r="J1405" t="n">
        <v>0</v>
      </c>
      <c r="K1405" t="n">
        <v>0</v>
      </c>
      <c r="L1405" t="n">
        <v>0</v>
      </c>
      <c r="M1405" t="n">
        <v>0</v>
      </c>
      <c r="N1405" t="n">
        <v>0</v>
      </c>
      <c r="O1405" t="n">
        <v>0</v>
      </c>
      <c r="P1405" t="n">
        <v>0</v>
      </c>
      <c r="Q1405" t="n">
        <v>0</v>
      </c>
      <c r="R1405" s="2" t="inlineStr"/>
    </row>
    <row r="1406" ht="15" customHeight="1">
      <c r="A1406" t="inlineStr">
        <is>
          <t>A 3386-2021</t>
        </is>
      </c>
      <c r="B1406" s="1" t="n">
        <v>44218</v>
      </c>
      <c r="C1406" s="1" t="n">
        <v>45224</v>
      </c>
      <c r="D1406" t="inlineStr">
        <is>
          <t>STOCKHOLMS LÄN</t>
        </is>
      </c>
      <c r="E1406" t="inlineStr">
        <is>
          <t>NORRTÄLJE</t>
        </is>
      </c>
      <c r="G1406" t="n">
        <v>8</v>
      </c>
      <c r="H1406" t="n">
        <v>0</v>
      </c>
      <c r="I1406" t="n">
        <v>0</v>
      </c>
      <c r="J1406" t="n">
        <v>0</v>
      </c>
      <c r="K1406" t="n">
        <v>0</v>
      </c>
      <c r="L1406" t="n">
        <v>0</v>
      </c>
      <c r="M1406" t="n">
        <v>0</v>
      </c>
      <c r="N1406" t="n">
        <v>0</v>
      </c>
      <c r="O1406" t="n">
        <v>0</v>
      </c>
      <c r="P1406" t="n">
        <v>0</v>
      </c>
      <c r="Q1406" t="n">
        <v>0</v>
      </c>
      <c r="R1406" s="2" t="inlineStr"/>
    </row>
    <row r="1407" ht="15" customHeight="1">
      <c r="A1407" t="inlineStr">
        <is>
          <t>A 3702-2021</t>
        </is>
      </c>
      <c r="B1407" s="1" t="n">
        <v>44221</v>
      </c>
      <c r="C1407" s="1" t="n">
        <v>45224</v>
      </c>
      <c r="D1407" t="inlineStr">
        <is>
          <t>STOCKHOLMS LÄN</t>
        </is>
      </c>
      <c r="E1407" t="inlineStr">
        <is>
          <t>EKERÖ</t>
        </is>
      </c>
      <c r="G1407" t="n">
        <v>1.5</v>
      </c>
      <c r="H1407" t="n">
        <v>0</v>
      </c>
      <c r="I1407" t="n">
        <v>0</v>
      </c>
      <c r="J1407" t="n">
        <v>0</v>
      </c>
      <c r="K1407" t="n">
        <v>0</v>
      </c>
      <c r="L1407" t="n">
        <v>0</v>
      </c>
      <c r="M1407" t="n">
        <v>0</v>
      </c>
      <c r="N1407" t="n">
        <v>0</v>
      </c>
      <c r="O1407" t="n">
        <v>0</v>
      </c>
      <c r="P1407" t="n">
        <v>0</v>
      </c>
      <c r="Q1407" t="n">
        <v>0</v>
      </c>
      <c r="R1407" s="2" t="inlineStr"/>
    </row>
    <row r="1408" ht="15" customHeight="1">
      <c r="A1408" t="inlineStr">
        <is>
          <t>A 4281-2021</t>
        </is>
      </c>
      <c r="B1408" s="1" t="n">
        <v>44223</v>
      </c>
      <c r="C1408" s="1" t="n">
        <v>45224</v>
      </c>
      <c r="D1408" t="inlineStr">
        <is>
          <t>STOCKHOLMS LÄN</t>
        </is>
      </c>
      <c r="E1408" t="inlineStr">
        <is>
          <t>BOTKYRKA</t>
        </is>
      </c>
      <c r="F1408" t="inlineStr">
        <is>
          <t>Övriga Aktiebolag</t>
        </is>
      </c>
      <c r="G1408" t="n">
        <v>6.4</v>
      </c>
      <c r="H1408" t="n">
        <v>0</v>
      </c>
      <c r="I1408" t="n">
        <v>0</v>
      </c>
      <c r="J1408" t="n">
        <v>0</v>
      </c>
      <c r="K1408" t="n">
        <v>0</v>
      </c>
      <c r="L1408" t="n">
        <v>0</v>
      </c>
      <c r="M1408" t="n">
        <v>0</v>
      </c>
      <c r="N1408" t="n">
        <v>0</v>
      </c>
      <c r="O1408" t="n">
        <v>0</v>
      </c>
      <c r="P1408" t="n">
        <v>0</v>
      </c>
      <c r="Q1408" t="n">
        <v>0</v>
      </c>
      <c r="R1408" s="2" t="inlineStr"/>
    </row>
    <row r="1409" ht="15" customHeight="1">
      <c r="A1409" t="inlineStr">
        <is>
          <t>A 4354-2021</t>
        </is>
      </c>
      <c r="B1409" s="1" t="n">
        <v>44223</v>
      </c>
      <c r="C1409" s="1" t="n">
        <v>45224</v>
      </c>
      <c r="D1409" t="inlineStr">
        <is>
          <t>STOCKHOLMS LÄN</t>
        </is>
      </c>
      <c r="E1409" t="inlineStr">
        <is>
          <t>NYNÄSHAMN</t>
        </is>
      </c>
      <c r="G1409" t="n">
        <v>14.5</v>
      </c>
      <c r="H1409" t="n">
        <v>0</v>
      </c>
      <c r="I1409" t="n">
        <v>0</v>
      </c>
      <c r="J1409" t="n">
        <v>0</v>
      </c>
      <c r="K1409" t="n">
        <v>0</v>
      </c>
      <c r="L1409" t="n">
        <v>0</v>
      </c>
      <c r="M1409" t="n">
        <v>0</v>
      </c>
      <c r="N1409" t="n">
        <v>0</v>
      </c>
      <c r="O1409" t="n">
        <v>0</v>
      </c>
      <c r="P1409" t="n">
        <v>0</v>
      </c>
      <c r="Q1409" t="n">
        <v>0</v>
      </c>
      <c r="R1409" s="2" t="inlineStr"/>
    </row>
    <row r="1410" ht="15" customHeight="1">
      <c r="A1410" t="inlineStr">
        <is>
          <t>A 4634-2021</t>
        </is>
      </c>
      <c r="B1410" s="1" t="n">
        <v>44224</v>
      </c>
      <c r="C1410" s="1" t="n">
        <v>45224</v>
      </c>
      <c r="D1410" t="inlineStr">
        <is>
          <t>STOCKHOLMS LÄN</t>
        </is>
      </c>
      <c r="E1410" t="inlineStr">
        <is>
          <t>NORRTÄLJE</t>
        </is>
      </c>
      <c r="G1410" t="n">
        <v>3.7</v>
      </c>
      <c r="H1410" t="n">
        <v>0</v>
      </c>
      <c r="I1410" t="n">
        <v>0</v>
      </c>
      <c r="J1410" t="n">
        <v>0</v>
      </c>
      <c r="K1410" t="n">
        <v>0</v>
      </c>
      <c r="L1410" t="n">
        <v>0</v>
      </c>
      <c r="M1410" t="n">
        <v>0</v>
      </c>
      <c r="N1410" t="n">
        <v>0</v>
      </c>
      <c r="O1410" t="n">
        <v>0</v>
      </c>
      <c r="P1410" t="n">
        <v>0</v>
      </c>
      <c r="Q1410" t="n">
        <v>0</v>
      </c>
      <c r="R1410" s="2" t="inlineStr"/>
    </row>
    <row r="1411" ht="15" customHeight="1">
      <c r="A1411" t="inlineStr">
        <is>
          <t>A 4632-2021</t>
        </is>
      </c>
      <c r="B1411" s="1" t="n">
        <v>44224</v>
      </c>
      <c r="C1411" s="1" t="n">
        <v>45224</v>
      </c>
      <c r="D1411" t="inlineStr">
        <is>
          <t>STOCKHOLMS LÄN</t>
        </is>
      </c>
      <c r="E1411" t="inlineStr">
        <is>
          <t>NORRTÄLJE</t>
        </is>
      </c>
      <c r="G1411" t="n">
        <v>1.7</v>
      </c>
      <c r="H1411" t="n">
        <v>0</v>
      </c>
      <c r="I1411" t="n">
        <v>0</v>
      </c>
      <c r="J1411" t="n">
        <v>0</v>
      </c>
      <c r="K1411" t="n">
        <v>0</v>
      </c>
      <c r="L1411" t="n">
        <v>0</v>
      </c>
      <c r="M1411" t="n">
        <v>0</v>
      </c>
      <c r="N1411" t="n">
        <v>0</v>
      </c>
      <c r="O1411" t="n">
        <v>0</v>
      </c>
      <c r="P1411" t="n">
        <v>0</v>
      </c>
      <c r="Q1411" t="n">
        <v>0</v>
      </c>
      <c r="R1411" s="2" t="inlineStr"/>
    </row>
    <row r="1412" ht="15" customHeight="1">
      <c r="A1412" t="inlineStr">
        <is>
          <t>A 5037-2021</t>
        </is>
      </c>
      <c r="B1412" s="1" t="n">
        <v>44228</v>
      </c>
      <c r="C1412" s="1" t="n">
        <v>45224</v>
      </c>
      <c r="D1412" t="inlineStr">
        <is>
          <t>STOCKHOLMS LÄN</t>
        </is>
      </c>
      <c r="E1412" t="inlineStr">
        <is>
          <t>NORRTÄLJE</t>
        </is>
      </c>
      <c r="F1412" t="inlineStr">
        <is>
          <t>Holmen skog AB</t>
        </is>
      </c>
      <c r="G1412" t="n">
        <v>3.8</v>
      </c>
      <c r="H1412" t="n">
        <v>0</v>
      </c>
      <c r="I1412" t="n">
        <v>0</v>
      </c>
      <c r="J1412" t="n">
        <v>0</v>
      </c>
      <c r="K1412" t="n">
        <v>0</v>
      </c>
      <c r="L1412" t="n">
        <v>0</v>
      </c>
      <c r="M1412" t="n">
        <v>0</v>
      </c>
      <c r="N1412" t="n">
        <v>0</v>
      </c>
      <c r="O1412" t="n">
        <v>0</v>
      </c>
      <c r="P1412" t="n">
        <v>0</v>
      </c>
      <c r="Q1412" t="n">
        <v>0</v>
      </c>
      <c r="R1412" s="2" t="inlineStr"/>
    </row>
    <row r="1413" ht="15" customHeight="1">
      <c r="A1413" t="inlineStr">
        <is>
          <t>A 5562-2021</t>
        </is>
      </c>
      <c r="B1413" s="1" t="n">
        <v>44230</v>
      </c>
      <c r="C1413" s="1" t="n">
        <v>45224</v>
      </c>
      <c r="D1413" t="inlineStr">
        <is>
          <t>STOCKHOLMS LÄN</t>
        </is>
      </c>
      <c r="E1413" t="inlineStr">
        <is>
          <t>NORRTÄLJE</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5566-2021</t>
        </is>
      </c>
      <c r="B1414" s="1" t="n">
        <v>44230</v>
      </c>
      <c r="C1414" s="1" t="n">
        <v>45224</v>
      </c>
      <c r="D1414" t="inlineStr">
        <is>
          <t>STOCKHOLMS LÄN</t>
        </is>
      </c>
      <c r="E1414" t="inlineStr">
        <is>
          <t>NORRTÄLJE</t>
        </is>
      </c>
      <c r="G1414" t="n">
        <v>3.1</v>
      </c>
      <c r="H1414" t="n">
        <v>0</v>
      </c>
      <c r="I1414" t="n">
        <v>0</v>
      </c>
      <c r="J1414" t="n">
        <v>0</v>
      </c>
      <c r="K1414" t="n">
        <v>0</v>
      </c>
      <c r="L1414" t="n">
        <v>0</v>
      </c>
      <c r="M1414" t="n">
        <v>0</v>
      </c>
      <c r="N1414" t="n">
        <v>0</v>
      </c>
      <c r="O1414" t="n">
        <v>0</v>
      </c>
      <c r="P1414" t="n">
        <v>0</v>
      </c>
      <c r="Q1414" t="n">
        <v>0</v>
      </c>
      <c r="R1414" s="2" t="inlineStr"/>
    </row>
    <row r="1415" ht="15" customHeight="1">
      <c r="A1415" t="inlineStr">
        <is>
          <t>A 6049-2021</t>
        </is>
      </c>
      <c r="B1415" s="1" t="n">
        <v>44231</v>
      </c>
      <c r="C1415" s="1" t="n">
        <v>45224</v>
      </c>
      <c r="D1415" t="inlineStr">
        <is>
          <t>STOCKHOLMS LÄN</t>
        </is>
      </c>
      <c r="E1415" t="inlineStr">
        <is>
          <t>NORRTÄLJE</t>
        </is>
      </c>
      <c r="G1415" t="n">
        <v>0.7</v>
      </c>
      <c r="H1415" t="n">
        <v>0</v>
      </c>
      <c r="I1415" t="n">
        <v>0</v>
      </c>
      <c r="J1415" t="n">
        <v>0</v>
      </c>
      <c r="K1415" t="n">
        <v>0</v>
      </c>
      <c r="L1415" t="n">
        <v>0</v>
      </c>
      <c r="M1415" t="n">
        <v>0</v>
      </c>
      <c r="N1415" t="n">
        <v>0</v>
      </c>
      <c r="O1415" t="n">
        <v>0</v>
      </c>
      <c r="P1415" t="n">
        <v>0</v>
      </c>
      <c r="Q1415" t="n">
        <v>0</v>
      </c>
      <c r="R1415" s="2" t="inlineStr"/>
    </row>
    <row r="1416" ht="15" customHeight="1">
      <c r="A1416" t="inlineStr">
        <is>
          <t>A 5950-2021</t>
        </is>
      </c>
      <c r="B1416" s="1" t="n">
        <v>44231</v>
      </c>
      <c r="C1416" s="1" t="n">
        <v>45224</v>
      </c>
      <c r="D1416" t="inlineStr">
        <is>
          <t>STOCKHOLMS LÄN</t>
        </is>
      </c>
      <c r="E1416" t="inlineStr">
        <is>
          <t>NORRTÄLJE</t>
        </is>
      </c>
      <c r="F1416" t="inlineStr">
        <is>
          <t>Holmen skog AB</t>
        </is>
      </c>
      <c r="G1416" t="n">
        <v>0.7</v>
      </c>
      <c r="H1416" t="n">
        <v>0</v>
      </c>
      <c r="I1416" t="n">
        <v>0</v>
      </c>
      <c r="J1416" t="n">
        <v>0</v>
      </c>
      <c r="K1416" t="n">
        <v>0</v>
      </c>
      <c r="L1416" t="n">
        <v>0</v>
      </c>
      <c r="M1416" t="n">
        <v>0</v>
      </c>
      <c r="N1416" t="n">
        <v>0</v>
      </c>
      <c r="O1416" t="n">
        <v>0</v>
      </c>
      <c r="P1416" t="n">
        <v>0</v>
      </c>
      <c r="Q1416" t="n">
        <v>0</v>
      </c>
      <c r="R1416" s="2" t="inlineStr"/>
    </row>
    <row r="1417" ht="15" customHeight="1">
      <c r="A1417" t="inlineStr">
        <is>
          <t>A 6080-2021</t>
        </is>
      </c>
      <c r="B1417" s="1" t="n">
        <v>44232</v>
      </c>
      <c r="C1417" s="1" t="n">
        <v>45224</v>
      </c>
      <c r="D1417" t="inlineStr">
        <is>
          <t>STOCKHOLMS LÄN</t>
        </is>
      </c>
      <c r="E1417" t="inlineStr">
        <is>
          <t>ÖSTERÅKER</t>
        </is>
      </c>
      <c r="G1417" t="n">
        <v>5.1</v>
      </c>
      <c r="H1417" t="n">
        <v>0</v>
      </c>
      <c r="I1417" t="n">
        <v>0</v>
      </c>
      <c r="J1417" t="n">
        <v>0</v>
      </c>
      <c r="K1417" t="n">
        <v>0</v>
      </c>
      <c r="L1417" t="n">
        <v>0</v>
      </c>
      <c r="M1417" t="n">
        <v>0</v>
      </c>
      <c r="N1417" t="n">
        <v>0</v>
      </c>
      <c r="O1417" t="n">
        <v>0</v>
      </c>
      <c r="P1417" t="n">
        <v>0</v>
      </c>
      <c r="Q1417" t="n">
        <v>0</v>
      </c>
      <c r="R1417" s="2" t="inlineStr"/>
    </row>
    <row r="1418" ht="15" customHeight="1">
      <c r="A1418" t="inlineStr">
        <is>
          <t>A 6430-2021</t>
        </is>
      </c>
      <c r="B1418" s="1" t="n">
        <v>44235</v>
      </c>
      <c r="C1418" s="1" t="n">
        <v>45224</v>
      </c>
      <c r="D1418" t="inlineStr">
        <is>
          <t>STOCKHOLMS LÄN</t>
        </is>
      </c>
      <c r="E1418" t="inlineStr">
        <is>
          <t>SIGTUNA</t>
        </is>
      </c>
      <c r="G1418" t="n">
        <v>3</v>
      </c>
      <c r="H1418" t="n">
        <v>0</v>
      </c>
      <c r="I1418" t="n">
        <v>0</v>
      </c>
      <c r="J1418" t="n">
        <v>0</v>
      </c>
      <c r="K1418" t="n">
        <v>0</v>
      </c>
      <c r="L1418" t="n">
        <v>0</v>
      </c>
      <c r="M1418" t="n">
        <v>0</v>
      </c>
      <c r="N1418" t="n">
        <v>0</v>
      </c>
      <c r="O1418" t="n">
        <v>0</v>
      </c>
      <c r="P1418" t="n">
        <v>0</v>
      </c>
      <c r="Q1418" t="n">
        <v>0</v>
      </c>
      <c r="R1418" s="2" t="inlineStr"/>
    </row>
    <row r="1419" ht="15" customHeight="1">
      <c r="A1419" t="inlineStr">
        <is>
          <t>A 6593-2021</t>
        </is>
      </c>
      <c r="B1419" s="1" t="n">
        <v>44236</v>
      </c>
      <c r="C1419" s="1" t="n">
        <v>45224</v>
      </c>
      <c r="D1419" t="inlineStr">
        <is>
          <t>STOCKHOLMS LÄN</t>
        </is>
      </c>
      <c r="E1419" t="inlineStr">
        <is>
          <t>VALLENTUNA</t>
        </is>
      </c>
      <c r="G1419" t="n">
        <v>2.3</v>
      </c>
      <c r="H1419" t="n">
        <v>0</v>
      </c>
      <c r="I1419" t="n">
        <v>0</v>
      </c>
      <c r="J1419" t="n">
        <v>0</v>
      </c>
      <c r="K1419" t="n">
        <v>0</v>
      </c>
      <c r="L1419" t="n">
        <v>0</v>
      </c>
      <c r="M1419" t="n">
        <v>0</v>
      </c>
      <c r="N1419" t="n">
        <v>0</v>
      </c>
      <c r="O1419" t="n">
        <v>0</v>
      </c>
      <c r="P1419" t="n">
        <v>0</v>
      </c>
      <c r="Q1419" t="n">
        <v>0</v>
      </c>
      <c r="R1419" s="2" t="inlineStr"/>
    </row>
    <row r="1420" ht="15" customHeight="1">
      <c r="A1420" t="inlineStr">
        <is>
          <t>A 7683-2021</t>
        </is>
      </c>
      <c r="B1420" s="1" t="n">
        <v>44242</v>
      </c>
      <c r="C1420" s="1" t="n">
        <v>45224</v>
      </c>
      <c r="D1420" t="inlineStr">
        <is>
          <t>STOCKHOLMS LÄN</t>
        </is>
      </c>
      <c r="E1420" t="inlineStr">
        <is>
          <t>NYNÄSHAMN</t>
        </is>
      </c>
      <c r="F1420" t="inlineStr">
        <is>
          <t>Kommuner</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7999-2021</t>
        </is>
      </c>
      <c r="B1421" s="1" t="n">
        <v>44243</v>
      </c>
      <c r="C1421" s="1" t="n">
        <v>45224</v>
      </c>
      <c r="D1421" t="inlineStr">
        <is>
          <t>STOCKHOLMS LÄN</t>
        </is>
      </c>
      <c r="E1421" t="inlineStr">
        <is>
          <t>NORRTÄLJE</t>
        </is>
      </c>
      <c r="G1421" t="n">
        <v>6.8</v>
      </c>
      <c r="H1421" t="n">
        <v>0</v>
      </c>
      <c r="I1421" t="n">
        <v>0</v>
      </c>
      <c r="J1421" t="n">
        <v>0</v>
      </c>
      <c r="K1421" t="n">
        <v>0</v>
      </c>
      <c r="L1421" t="n">
        <v>0</v>
      </c>
      <c r="M1421" t="n">
        <v>0</v>
      </c>
      <c r="N1421" t="n">
        <v>0</v>
      </c>
      <c r="O1421" t="n">
        <v>0</v>
      </c>
      <c r="P1421" t="n">
        <v>0</v>
      </c>
      <c r="Q1421" t="n">
        <v>0</v>
      </c>
      <c r="R1421" s="2" t="inlineStr"/>
    </row>
    <row r="1422" ht="15" customHeight="1">
      <c r="A1422" t="inlineStr">
        <is>
          <t>A 8338-2021</t>
        </is>
      </c>
      <c r="B1422" s="1" t="n">
        <v>44244</v>
      </c>
      <c r="C1422" s="1" t="n">
        <v>45224</v>
      </c>
      <c r="D1422" t="inlineStr">
        <is>
          <t>STOCKHOLMS LÄN</t>
        </is>
      </c>
      <c r="E1422" t="inlineStr">
        <is>
          <t>NORRTÄLJE</t>
        </is>
      </c>
      <c r="G1422" t="n">
        <v>1.4</v>
      </c>
      <c r="H1422" t="n">
        <v>0</v>
      </c>
      <c r="I1422" t="n">
        <v>0</v>
      </c>
      <c r="J1422" t="n">
        <v>0</v>
      </c>
      <c r="K1422" t="n">
        <v>0</v>
      </c>
      <c r="L1422" t="n">
        <v>0</v>
      </c>
      <c r="M1422" t="n">
        <v>0</v>
      </c>
      <c r="N1422" t="n">
        <v>0</v>
      </c>
      <c r="O1422" t="n">
        <v>0</v>
      </c>
      <c r="P1422" t="n">
        <v>0</v>
      </c>
      <c r="Q1422" t="n">
        <v>0</v>
      </c>
      <c r="R1422" s="2" t="inlineStr"/>
    </row>
    <row r="1423" ht="15" customHeight="1">
      <c r="A1423" t="inlineStr">
        <is>
          <t>A 8791-2021</t>
        </is>
      </c>
      <c r="B1423" s="1" t="n">
        <v>44246</v>
      </c>
      <c r="C1423" s="1" t="n">
        <v>45224</v>
      </c>
      <c r="D1423" t="inlineStr">
        <is>
          <t>STOCKHOLMS LÄN</t>
        </is>
      </c>
      <c r="E1423" t="inlineStr">
        <is>
          <t>VALLENTUNA</t>
        </is>
      </c>
      <c r="G1423" t="n">
        <v>0.8</v>
      </c>
      <c r="H1423" t="n">
        <v>0</v>
      </c>
      <c r="I1423" t="n">
        <v>0</v>
      </c>
      <c r="J1423" t="n">
        <v>0</v>
      </c>
      <c r="K1423" t="n">
        <v>0</v>
      </c>
      <c r="L1423" t="n">
        <v>0</v>
      </c>
      <c r="M1423" t="n">
        <v>0</v>
      </c>
      <c r="N1423" t="n">
        <v>0</v>
      </c>
      <c r="O1423" t="n">
        <v>0</v>
      </c>
      <c r="P1423" t="n">
        <v>0</v>
      </c>
      <c r="Q1423" t="n">
        <v>0</v>
      </c>
      <c r="R1423" s="2" t="inlineStr"/>
    </row>
    <row r="1424" ht="15" customHeight="1">
      <c r="A1424" t="inlineStr">
        <is>
          <t>A 9331-2021</t>
        </is>
      </c>
      <c r="B1424" s="1" t="n">
        <v>44250</v>
      </c>
      <c r="C1424" s="1" t="n">
        <v>45224</v>
      </c>
      <c r="D1424" t="inlineStr">
        <is>
          <t>STOCKHOLMS LÄN</t>
        </is>
      </c>
      <c r="E1424" t="inlineStr">
        <is>
          <t>VALLENTUNA</t>
        </is>
      </c>
      <c r="G1424" t="n">
        <v>5.4</v>
      </c>
      <c r="H1424" t="n">
        <v>0</v>
      </c>
      <c r="I1424" t="n">
        <v>0</v>
      </c>
      <c r="J1424" t="n">
        <v>0</v>
      </c>
      <c r="K1424" t="n">
        <v>0</v>
      </c>
      <c r="L1424" t="n">
        <v>0</v>
      </c>
      <c r="M1424" t="n">
        <v>0</v>
      </c>
      <c r="N1424" t="n">
        <v>0</v>
      </c>
      <c r="O1424" t="n">
        <v>0</v>
      </c>
      <c r="P1424" t="n">
        <v>0</v>
      </c>
      <c r="Q1424" t="n">
        <v>0</v>
      </c>
      <c r="R1424" s="2" t="inlineStr"/>
    </row>
    <row r="1425" ht="15" customHeight="1">
      <c r="A1425" t="inlineStr">
        <is>
          <t>A 9446-2021</t>
        </is>
      </c>
      <c r="B1425" s="1" t="n">
        <v>44251</v>
      </c>
      <c r="C1425" s="1" t="n">
        <v>45224</v>
      </c>
      <c r="D1425" t="inlineStr">
        <is>
          <t>STOCKHOLMS LÄN</t>
        </is>
      </c>
      <c r="E1425" t="inlineStr">
        <is>
          <t>NORRTÄLJE</t>
        </is>
      </c>
      <c r="F1425" t="inlineStr">
        <is>
          <t>Holmen skog AB</t>
        </is>
      </c>
      <c r="G1425" t="n">
        <v>0.7</v>
      </c>
      <c r="H1425" t="n">
        <v>0</v>
      </c>
      <c r="I1425" t="n">
        <v>0</v>
      </c>
      <c r="J1425" t="n">
        <v>0</v>
      </c>
      <c r="K1425" t="n">
        <v>0</v>
      </c>
      <c r="L1425" t="n">
        <v>0</v>
      </c>
      <c r="M1425" t="n">
        <v>0</v>
      </c>
      <c r="N1425" t="n">
        <v>0</v>
      </c>
      <c r="O1425" t="n">
        <v>0</v>
      </c>
      <c r="P1425" t="n">
        <v>0</v>
      </c>
      <c r="Q1425" t="n">
        <v>0</v>
      </c>
      <c r="R1425" s="2" t="inlineStr"/>
    </row>
    <row r="1426" ht="15" customHeight="1">
      <c r="A1426" t="inlineStr">
        <is>
          <t>A 9469-2021</t>
        </is>
      </c>
      <c r="B1426" s="1" t="n">
        <v>44251</v>
      </c>
      <c r="C1426" s="1" t="n">
        <v>45224</v>
      </c>
      <c r="D1426" t="inlineStr">
        <is>
          <t>STOCKHOLMS LÄN</t>
        </is>
      </c>
      <c r="E1426" t="inlineStr">
        <is>
          <t>NORRTÄLJE</t>
        </is>
      </c>
      <c r="G1426" t="n">
        <v>2.5</v>
      </c>
      <c r="H1426" t="n">
        <v>0</v>
      </c>
      <c r="I1426" t="n">
        <v>0</v>
      </c>
      <c r="J1426" t="n">
        <v>0</v>
      </c>
      <c r="K1426" t="n">
        <v>0</v>
      </c>
      <c r="L1426" t="n">
        <v>0</v>
      </c>
      <c r="M1426" t="n">
        <v>0</v>
      </c>
      <c r="N1426" t="n">
        <v>0</v>
      </c>
      <c r="O1426" t="n">
        <v>0</v>
      </c>
      <c r="P1426" t="n">
        <v>0</v>
      </c>
      <c r="Q1426" t="n">
        <v>0</v>
      </c>
      <c r="R1426" s="2" t="inlineStr"/>
    </row>
    <row r="1427" ht="15" customHeight="1">
      <c r="A1427" t="inlineStr">
        <is>
          <t>A 9477-2021</t>
        </is>
      </c>
      <c r="B1427" s="1" t="n">
        <v>44251</v>
      </c>
      <c r="C1427" s="1" t="n">
        <v>45224</v>
      </c>
      <c r="D1427" t="inlineStr">
        <is>
          <t>STOCKHOLMS LÄN</t>
        </is>
      </c>
      <c r="E1427" t="inlineStr">
        <is>
          <t>NORRTÄLJE</t>
        </is>
      </c>
      <c r="G1427" t="n">
        <v>1.8</v>
      </c>
      <c r="H1427" t="n">
        <v>0</v>
      </c>
      <c r="I1427" t="n">
        <v>0</v>
      </c>
      <c r="J1427" t="n">
        <v>0</v>
      </c>
      <c r="K1427" t="n">
        <v>0</v>
      </c>
      <c r="L1427" t="n">
        <v>0</v>
      </c>
      <c r="M1427" t="n">
        <v>0</v>
      </c>
      <c r="N1427" t="n">
        <v>0</v>
      </c>
      <c r="O1427" t="n">
        <v>0</v>
      </c>
      <c r="P1427" t="n">
        <v>0</v>
      </c>
      <c r="Q1427" t="n">
        <v>0</v>
      </c>
      <c r="R1427" s="2" t="inlineStr"/>
    </row>
    <row r="1428" ht="15" customHeight="1">
      <c r="A1428" t="inlineStr">
        <is>
          <t>A 9475-2021</t>
        </is>
      </c>
      <c r="B1428" s="1" t="n">
        <v>44251</v>
      </c>
      <c r="C1428" s="1" t="n">
        <v>45224</v>
      </c>
      <c r="D1428" t="inlineStr">
        <is>
          <t>STOCKHOLMS LÄN</t>
        </is>
      </c>
      <c r="E1428" t="inlineStr">
        <is>
          <t>NORRTÄLJE</t>
        </is>
      </c>
      <c r="G1428" t="n">
        <v>6.8</v>
      </c>
      <c r="H1428" t="n">
        <v>0</v>
      </c>
      <c r="I1428" t="n">
        <v>0</v>
      </c>
      <c r="J1428" t="n">
        <v>0</v>
      </c>
      <c r="K1428" t="n">
        <v>0</v>
      </c>
      <c r="L1428" t="n">
        <v>0</v>
      </c>
      <c r="M1428" t="n">
        <v>0</v>
      </c>
      <c r="N1428" t="n">
        <v>0</v>
      </c>
      <c r="O1428" t="n">
        <v>0</v>
      </c>
      <c r="P1428" t="n">
        <v>0</v>
      </c>
      <c r="Q1428" t="n">
        <v>0</v>
      </c>
      <c r="R1428" s="2" t="inlineStr"/>
    </row>
    <row r="1429" ht="15" customHeight="1">
      <c r="A1429" t="inlineStr">
        <is>
          <t>A 9703-2021</t>
        </is>
      </c>
      <c r="B1429" s="1" t="n">
        <v>44252</v>
      </c>
      <c r="C1429" s="1" t="n">
        <v>45224</v>
      </c>
      <c r="D1429" t="inlineStr">
        <is>
          <t>STOCKHOLMS LÄN</t>
        </is>
      </c>
      <c r="E1429" t="inlineStr">
        <is>
          <t>NORRTÄLJE</t>
        </is>
      </c>
      <c r="G1429" t="n">
        <v>3.4</v>
      </c>
      <c r="H1429" t="n">
        <v>0</v>
      </c>
      <c r="I1429" t="n">
        <v>0</v>
      </c>
      <c r="J1429" t="n">
        <v>0</v>
      </c>
      <c r="K1429" t="n">
        <v>0</v>
      </c>
      <c r="L1429" t="n">
        <v>0</v>
      </c>
      <c r="M1429" t="n">
        <v>0</v>
      </c>
      <c r="N1429" t="n">
        <v>0</v>
      </c>
      <c r="O1429" t="n">
        <v>0</v>
      </c>
      <c r="P1429" t="n">
        <v>0</v>
      </c>
      <c r="Q1429" t="n">
        <v>0</v>
      </c>
      <c r="R1429" s="2" t="inlineStr"/>
    </row>
    <row r="1430" ht="15" customHeight="1">
      <c r="A1430" t="inlineStr">
        <is>
          <t>A 9719-2021</t>
        </is>
      </c>
      <c r="B1430" s="1" t="n">
        <v>44252</v>
      </c>
      <c r="C1430" s="1" t="n">
        <v>45224</v>
      </c>
      <c r="D1430" t="inlineStr">
        <is>
          <t>STOCKHOLMS LÄN</t>
        </is>
      </c>
      <c r="E1430" t="inlineStr">
        <is>
          <t>NORRTÄLJE</t>
        </is>
      </c>
      <c r="F1430" t="inlineStr">
        <is>
          <t>Holmen skog AB</t>
        </is>
      </c>
      <c r="G1430" t="n">
        <v>2</v>
      </c>
      <c r="H1430" t="n">
        <v>0</v>
      </c>
      <c r="I1430" t="n">
        <v>0</v>
      </c>
      <c r="J1430" t="n">
        <v>0</v>
      </c>
      <c r="K1430" t="n">
        <v>0</v>
      </c>
      <c r="L1430" t="n">
        <v>0</v>
      </c>
      <c r="M1430" t="n">
        <v>0</v>
      </c>
      <c r="N1430" t="n">
        <v>0</v>
      </c>
      <c r="O1430" t="n">
        <v>0</v>
      </c>
      <c r="P1430" t="n">
        <v>0</v>
      </c>
      <c r="Q1430" t="n">
        <v>0</v>
      </c>
      <c r="R1430" s="2" t="inlineStr"/>
    </row>
    <row r="1431" ht="15" customHeight="1">
      <c r="A1431" t="inlineStr">
        <is>
          <t>A 9939-2021</t>
        </is>
      </c>
      <c r="B1431" s="1" t="n">
        <v>44253</v>
      </c>
      <c r="C1431" s="1" t="n">
        <v>45224</v>
      </c>
      <c r="D1431" t="inlineStr">
        <is>
          <t>STOCKHOLMS LÄN</t>
        </is>
      </c>
      <c r="E1431" t="inlineStr">
        <is>
          <t>HUDDINGE</t>
        </is>
      </c>
      <c r="F1431" t="inlineStr">
        <is>
          <t>Kommuner</t>
        </is>
      </c>
      <c r="G1431" t="n">
        <v>2.4</v>
      </c>
      <c r="H1431" t="n">
        <v>0</v>
      </c>
      <c r="I1431" t="n">
        <v>0</v>
      </c>
      <c r="J1431" t="n">
        <v>0</v>
      </c>
      <c r="K1431" t="n">
        <v>0</v>
      </c>
      <c r="L1431" t="n">
        <v>0</v>
      </c>
      <c r="M1431" t="n">
        <v>0</v>
      </c>
      <c r="N1431" t="n">
        <v>0</v>
      </c>
      <c r="O1431" t="n">
        <v>0</v>
      </c>
      <c r="P1431" t="n">
        <v>0</v>
      </c>
      <c r="Q1431" t="n">
        <v>0</v>
      </c>
      <c r="R1431" s="2" t="inlineStr"/>
    </row>
    <row r="1432" ht="15" customHeight="1">
      <c r="A1432" t="inlineStr">
        <is>
          <t>A 9945-2021</t>
        </is>
      </c>
      <c r="B1432" s="1" t="n">
        <v>44253</v>
      </c>
      <c r="C1432" s="1" t="n">
        <v>45224</v>
      </c>
      <c r="D1432" t="inlineStr">
        <is>
          <t>STOCKHOLMS LÄN</t>
        </is>
      </c>
      <c r="E1432" t="inlineStr">
        <is>
          <t>HUDDINGE</t>
        </is>
      </c>
      <c r="F1432" t="inlineStr">
        <is>
          <t>Kommuner</t>
        </is>
      </c>
      <c r="G1432" t="n">
        <v>3</v>
      </c>
      <c r="H1432" t="n">
        <v>0</v>
      </c>
      <c r="I1432" t="n">
        <v>0</v>
      </c>
      <c r="J1432" t="n">
        <v>0</v>
      </c>
      <c r="K1432" t="n">
        <v>0</v>
      </c>
      <c r="L1432" t="n">
        <v>0</v>
      </c>
      <c r="M1432" t="n">
        <v>0</v>
      </c>
      <c r="N1432" t="n">
        <v>0</v>
      </c>
      <c r="O1432" t="n">
        <v>0</v>
      </c>
      <c r="P1432" t="n">
        <v>0</v>
      </c>
      <c r="Q1432" t="n">
        <v>0</v>
      </c>
      <c r="R1432" s="2" t="inlineStr"/>
    </row>
    <row r="1433" ht="15" customHeight="1">
      <c r="A1433" t="inlineStr">
        <is>
          <t>A 9986-2021</t>
        </is>
      </c>
      <c r="B1433" s="1" t="n">
        <v>44254</v>
      </c>
      <c r="C1433" s="1" t="n">
        <v>45224</v>
      </c>
      <c r="D1433" t="inlineStr">
        <is>
          <t>STOCKHOLMS LÄN</t>
        </is>
      </c>
      <c r="E1433" t="inlineStr">
        <is>
          <t>SÖDERTÄLJE</t>
        </is>
      </c>
      <c r="G1433" t="n">
        <v>0.9</v>
      </c>
      <c r="H1433" t="n">
        <v>0</v>
      </c>
      <c r="I1433" t="n">
        <v>0</v>
      </c>
      <c r="J1433" t="n">
        <v>0</v>
      </c>
      <c r="K1433" t="n">
        <v>0</v>
      </c>
      <c r="L1433" t="n">
        <v>0</v>
      </c>
      <c r="M1433" t="n">
        <v>0</v>
      </c>
      <c r="N1433" t="n">
        <v>0</v>
      </c>
      <c r="O1433" t="n">
        <v>0</v>
      </c>
      <c r="P1433" t="n">
        <v>0</v>
      </c>
      <c r="Q1433" t="n">
        <v>0</v>
      </c>
      <c r="R1433" s="2" t="inlineStr"/>
    </row>
    <row r="1434" ht="15" customHeight="1">
      <c r="A1434" t="inlineStr">
        <is>
          <t>A 10684-2021</t>
        </is>
      </c>
      <c r="B1434" s="1" t="n">
        <v>44258</v>
      </c>
      <c r="C1434" s="1" t="n">
        <v>45224</v>
      </c>
      <c r="D1434" t="inlineStr">
        <is>
          <t>STOCKHOLMS LÄN</t>
        </is>
      </c>
      <c r="E1434" t="inlineStr">
        <is>
          <t>NORRTÄLJE</t>
        </is>
      </c>
      <c r="F1434" t="inlineStr">
        <is>
          <t>Holmen skog AB</t>
        </is>
      </c>
      <c r="G1434" t="n">
        <v>1.2</v>
      </c>
      <c r="H1434" t="n">
        <v>0</v>
      </c>
      <c r="I1434" t="n">
        <v>0</v>
      </c>
      <c r="J1434" t="n">
        <v>0</v>
      </c>
      <c r="K1434" t="n">
        <v>0</v>
      </c>
      <c r="L1434" t="n">
        <v>0</v>
      </c>
      <c r="M1434" t="n">
        <v>0</v>
      </c>
      <c r="N1434" t="n">
        <v>0</v>
      </c>
      <c r="O1434" t="n">
        <v>0</v>
      </c>
      <c r="P1434" t="n">
        <v>0</v>
      </c>
      <c r="Q1434" t="n">
        <v>0</v>
      </c>
      <c r="R1434" s="2" t="inlineStr"/>
    </row>
    <row r="1435" ht="15" customHeight="1">
      <c r="A1435" t="inlineStr">
        <is>
          <t>A 10527-2021</t>
        </is>
      </c>
      <c r="B1435" s="1" t="n">
        <v>44258</v>
      </c>
      <c r="C1435" s="1" t="n">
        <v>45224</v>
      </c>
      <c r="D1435" t="inlineStr">
        <is>
          <t>STOCKHOLMS LÄN</t>
        </is>
      </c>
      <c r="E1435" t="inlineStr">
        <is>
          <t>NYNÄSHAMN</t>
        </is>
      </c>
      <c r="G1435" t="n">
        <v>0.8</v>
      </c>
      <c r="H1435" t="n">
        <v>0</v>
      </c>
      <c r="I1435" t="n">
        <v>0</v>
      </c>
      <c r="J1435" t="n">
        <v>0</v>
      </c>
      <c r="K1435" t="n">
        <v>0</v>
      </c>
      <c r="L1435" t="n">
        <v>0</v>
      </c>
      <c r="M1435" t="n">
        <v>0</v>
      </c>
      <c r="N1435" t="n">
        <v>0</v>
      </c>
      <c r="O1435" t="n">
        <v>0</v>
      </c>
      <c r="P1435" t="n">
        <v>0</v>
      </c>
      <c r="Q1435" t="n">
        <v>0</v>
      </c>
      <c r="R1435" s="2" t="inlineStr"/>
    </row>
    <row r="1436" ht="15" customHeight="1">
      <c r="A1436" t="inlineStr">
        <is>
          <t>A 10525-2021</t>
        </is>
      </c>
      <c r="B1436" s="1" t="n">
        <v>44258</v>
      </c>
      <c r="C1436" s="1" t="n">
        <v>45224</v>
      </c>
      <c r="D1436" t="inlineStr">
        <is>
          <t>STOCKHOLMS LÄN</t>
        </is>
      </c>
      <c r="E1436" t="inlineStr">
        <is>
          <t>NYNÄSHAMN</t>
        </is>
      </c>
      <c r="G1436" t="n">
        <v>1.1</v>
      </c>
      <c r="H1436" t="n">
        <v>0</v>
      </c>
      <c r="I1436" t="n">
        <v>0</v>
      </c>
      <c r="J1436" t="n">
        <v>0</v>
      </c>
      <c r="K1436" t="n">
        <v>0</v>
      </c>
      <c r="L1436" t="n">
        <v>0</v>
      </c>
      <c r="M1436" t="n">
        <v>0</v>
      </c>
      <c r="N1436" t="n">
        <v>0</v>
      </c>
      <c r="O1436" t="n">
        <v>0</v>
      </c>
      <c r="P1436" t="n">
        <v>0</v>
      </c>
      <c r="Q1436" t="n">
        <v>0</v>
      </c>
      <c r="R1436" s="2" t="inlineStr"/>
    </row>
    <row r="1437" ht="15" customHeight="1">
      <c r="A1437" t="inlineStr">
        <is>
          <t>A 10677-2021</t>
        </is>
      </c>
      <c r="B1437" s="1" t="n">
        <v>44258</v>
      </c>
      <c r="C1437" s="1" t="n">
        <v>45224</v>
      </c>
      <c r="D1437" t="inlineStr">
        <is>
          <t>STOCKHOLMS LÄN</t>
        </is>
      </c>
      <c r="E1437" t="inlineStr">
        <is>
          <t>HANINGE</t>
        </is>
      </c>
      <c r="G1437" t="n">
        <v>0.9</v>
      </c>
      <c r="H1437" t="n">
        <v>0</v>
      </c>
      <c r="I1437" t="n">
        <v>0</v>
      </c>
      <c r="J1437" t="n">
        <v>0</v>
      </c>
      <c r="K1437" t="n">
        <v>0</v>
      </c>
      <c r="L1437" t="n">
        <v>0</v>
      </c>
      <c r="M1437" t="n">
        <v>0</v>
      </c>
      <c r="N1437" t="n">
        <v>0</v>
      </c>
      <c r="O1437" t="n">
        <v>0</v>
      </c>
      <c r="P1437" t="n">
        <v>0</v>
      </c>
      <c r="Q1437" t="n">
        <v>0</v>
      </c>
      <c r="R1437" s="2" t="inlineStr"/>
    </row>
    <row r="1438" ht="15" customHeight="1">
      <c r="A1438" t="inlineStr">
        <is>
          <t>A 10687-2021</t>
        </is>
      </c>
      <c r="B1438" s="1" t="n">
        <v>44258</v>
      </c>
      <c r="C1438" s="1" t="n">
        <v>45224</v>
      </c>
      <c r="D1438" t="inlineStr">
        <is>
          <t>STOCKHOLMS LÄN</t>
        </is>
      </c>
      <c r="E1438" t="inlineStr">
        <is>
          <t>NORRTÄLJE</t>
        </is>
      </c>
      <c r="F1438" t="inlineStr">
        <is>
          <t>Holmen skog AB</t>
        </is>
      </c>
      <c r="G1438" t="n">
        <v>2</v>
      </c>
      <c r="H1438" t="n">
        <v>0</v>
      </c>
      <c r="I1438" t="n">
        <v>0</v>
      </c>
      <c r="J1438" t="n">
        <v>0</v>
      </c>
      <c r="K1438" t="n">
        <v>0</v>
      </c>
      <c r="L1438" t="n">
        <v>0</v>
      </c>
      <c r="M1438" t="n">
        <v>0</v>
      </c>
      <c r="N1438" t="n">
        <v>0</v>
      </c>
      <c r="O1438" t="n">
        <v>0</v>
      </c>
      <c r="P1438" t="n">
        <v>0</v>
      </c>
      <c r="Q1438" t="n">
        <v>0</v>
      </c>
      <c r="R1438" s="2" t="inlineStr"/>
    </row>
    <row r="1439" ht="15" customHeight="1">
      <c r="A1439" t="inlineStr">
        <is>
          <t>A 10815-2021</t>
        </is>
      </c>
      <c r="B1439" s="1" t="n">
        <v>44259</v>
      </c>
      <c r="C1439" s="1" t="n">
        <v>45224</v>
      </c>
      <c r="D1439" t="inlineStr">
        <is>
          <t>STOCKHOLMS LÄN</t>
        </is>
      </c>
      <c r="E1439" t="inlineStr">
        <is>
          <t>BOTKYRKA</t>
        </is>
      </c>
      <c r="G1439" t="n">
        <v>1.6</v>
      </c>
      <c r="H1439" t="n">
        <v>0</v>
      </c>
      <c r="I1439" t="n">
        <v>0</v>
      </c>
      <c r="J1439" t="n">
        <v>0</v>
      </c>
      <c r="K1439" t="n">
        <v>0</v>
      </c>
      <c r="L1439" t="n">
        <v>0</v>
      </c>
      <c r="M1439" t="n">
        <v>0</v>
      </c>
      <c r="N1439" t="n">
        <v>0</v>
      </c>
      <c r="O1439" t="n">
        <v>0</v>
      </c>
      <c r="P1439" t="n">
        <v>0</v>
      </c>
      <c r="Q1439" t="n">
        <v>0</v>
      </c>
      <c r="R1439" s="2" t="inlineStr"/>
    </row>
    <row r="1440" ht="15" customHeight="1">
      <c r="A1440" t="inlineStr">
        <is>
          <t>A 10808-2021</t>
        </is>
      </c>
      <c r="B1440" s="1" t="n">
        <v>44259</v>
      </c>
      <c r="C1440" s="1" t="n">
        <v>45224</v>
      </c>
      <c r="D1440" t="inlineStr">
        <is>
          <t>STOCKHOLMS LÄN</t>
        </is>
      </c>
      <c r="E1440" t="inlineStr">
        <is>
          <t>BOTKYRKA</t>
        </is>
      </c>
      <c r="G1440" t="n">
        <v>3</v>
      </c>
      <c r="H1440" t="n">
        <v>0</v>
      </c>
      <c r="I1440" t="n">
        <v>0</v>
      </c>
      <c r="J1440" t="n">
        <v>0</v>
      </c>
      <c r="K1440" t="n">
        <v>0</v>
      </c>
      <c r="L1440" t="n">
        <v>0</v>
      </c>
      <c r="M1440" t="n">
        <v>0</v>
      </c>
      <c r="N1440" t="n">
        <v>0</v>
      </c>
      <c r="O1440" t="n">
        <v>0</v>
      </c>
      <c r="P1440" t="n">
        <v>0</v>
      </c>
      <c r="Q1440" t="n">
        <v>0</v>
      </c>
      <c r="R1440" s="2" t="inlineStr"/>
    </row>
    <row r="1441" ht="15" customHeight="1">
      <c r="A1441" t="inlineStr">
        <is>
          <t>A 10817-2021</t>
        </is>
      </c>
      <c r="B1441" s="1" t="n">
        <v>44259</v>
      </c>
      <c r="C1441" s="1" t="n">
        <v>45224</v>
      </c>
      <c r="D1441" t="inlineStr">
        <is>
          <t>STOCKHOLMS LÄN</t>
        </is>
      </c>
      <c r="E1441" t="inlineStr">
        <is>
          <t>BOTKYRKA</t>
        </is>
      </c>
      <c r="G1441" t="n">
        <v>0.9</v>
      </c>
      <c r="H1441" t="n">
        <v>0</v>
      </c>
      <c r="I1441" t="n">
        <v>0</v>
      </c>
      <c r="J1441" t="n">
        <v>0</v>
      </c>
      <c r="K1441" t="n">
        <v>0</v>
      </c>
      <c r="L1441" t="n">
        <v>0</v>
      </c>
      <c r="M1441" t="n">
        <v>0</v>
      </c>
      <c r="N1441" t="n">
        <v>0</v>
      </c>
      <c r="O1441" t="n">
        <v>0</v>
      </c>
      <c r="P1441" t="n">
        <v>0</v>
      </c>
      <c r="Q1441" t="n">
        <v>0</v>
      </c>
      <c r="R1441" s="2" t="inlineStr"/>
    </row>
    <row r="1442" ht="15" customHeight="1">
      <c r="A1442" t="inlineStr">
        <is>
          <t>A 11122-2021</t>
        </is>
      </c>
      <c r="B1442" s="1" t="n">
        <v>44260</v>
      </c>
      <c r="C1442" s="1" t="n">
        <v>45224</v>
      </c>
      <c r="D1442" t="inlineStr">
        <is>
          <t>STOCKHOLMS LÄN</t>
        </is>
      </c>
      <c r="E1442" t="inlineStr">
        <is>
          <t>NORRTÄLJE</t>
        </is>
      </c>
      <c r="F1442" t="inlineStr">
        <is>
          <t>Holmen skog AB</t>
        </is>
      </c>
      <c r="G1442" t="n">
        <v>2.1</v>
      </c>
      <c r="H1442" t="n">
        <v>0</v>
      </c>
      <c r="I1442" t="n">
        <v>0</v>
      </c>
      <c r="J1442" t="n">
        <v>0</v>
      </c>
      <c r="K1442" t="n">
        <v>0</v>
      </c>
      <c r="L1442" t="n">
        <v>0</v>
      </c>
      <c r="M1442" t="n">
        <v>0</v>
      </c>
      <c r="N1442" t="n">
        <v>0</v>
      </c>
      <c r="O1442" t="n">
        <v>0</v>
      </c>
      <c r="P1442" t="n">
        <v>0</v>
      </c>
      <c r="Q1442" t="n">
        <v>0</v>
      </c>
      <c r="R1442" s="2" t="inlineStr"/>
    </row>
    <row r="1443" ht="15" customHeight="1">
      <c r="A1443" t="inlineStr">
        <is>
          <t>A 11126-2021</t>
        </is>
      </c>
      <c r="B1443" s="1" t="n">
        <v>44260</v>
      </c>
      <c r="C1443" s="1" t="n">
        <v>45224</v>
      </c>
      <c r="D1443" t="inlineStr">
        <is>
          <t>STOCKHOLMS LÄN</t>
        </is>
      </c>
      <c r="E1443" t="inlineStr">
        <is>
          <t>SÖDERTÄLJE</t>
        </is>
      </c>
      <c r="G1443" t="n">
        <v>0.3</v>
      </c>
      <c r="H1443" t="n">
        <v>0</v>
      </c>
      <c r="I1443" t="n">
        <v>0</v>
      </c>
      <c r="J1443" t="n">
        <v>0</v>
      </c>
      <c r="K1443" t="n">
        <v>0</v>
      </c>
      <c r="L1443" t="n">
        <v>0</v>
      </c>
      <c r="M1443" t="n">
        <v>0</v>
      </c>
      <c r="N1443" t="n">
        <v>0</v>
      </c>
      <c r="O1443" t="n">
        <v>0</v>
      </c>
      <c r="P1443" t="n">
        <v>0</v>
      </c>
      <c r="Q1443" t="n">
        <v>0</v>
      </c>
      <c r="R1443" s="2" t="inlineStr"/>
    </row>
    <row r="1444" ht="15" customHeight="1">
      <c r="A1444" t="inlineStr">
        <is>
          <t>A 11267-2021</t>
        </is>
      </c>
      <c r="B1444" s="1" t="n">
        <v>44263</v>
      </c>
      <c r="C1444" s="1" t="n">
        <v>45224</v>
      </c>
      <c r="D1444" t="inlineStr">
        <is>
          <t>STOCKHOLMS LÄN</t>
        </is>
      </c>
      <c r="E1444" t="inlineStr">
        <is>
          <t>NACKA</t>
        </is>
      </c>
      <c r="G1444" t="n">
        <v>2.9</v>
      </c>
      <c r="H1444" t="n">
        <v>0</v>
      </c>
      <c r="I1444" t="n">
        <v>0</v>
      </c>
      <c r="J1444" t="n">
        <v>0</v>
      </c>
      <c r="K1444" t="n">
        <v>0</v>
      </c>
      <c r="L1444" t="n">
        <v>0</v>
      </c>
      <c r="M1444" t="n">
        <v>0</v>
      </c>
      <c r="N1444" t="n">
        <v>0</v>
      </c>
      <c r="O1444" t="n">
        <v>0</v>
      </c>
      <c r="P1444" t="n">
        <v>0</v>
      </c>
      <c r="Q1444" t="n">
        <v>0</v>
      </c>
      <c r="R1444" s="2" t="inlineStr"/>
    </row>
    <row r="1445" ht="15" customHeight="1">
      <c r="A1445" t="inlineStr">
        <is>
          <t>A 11360-2021</t>
        </is>
      </c>
      <c r="B1445" s="1" t="n">
        <v>44263</v>
      </c>
      <c r="C1445" s="1" t="n">
        <v>45224</v>
      </c>
      <c r="D1445" t="inlineStr">
        <is>
          <t>STOCKHOLMS LÄN</t>
        </is>
      </c>
      <c r="E1445" t="inlineStr">
        <is>
          <t>SÖDERTÄLJE</t>
        </is>
      </c>
      <c r="G1445" t="n">
        <v>6</v>
      </c>
      <c r="H1445" t="n">
        <v>0</v>
      </c>
      <c r="I1445" t="n">
        <v>0</v>
      </c>
      <c r="J1445" t="n">
        <v>0</v>
      </c>
      <c r="K1445" t="n">
        <v>0</v>
      </c>
      <c r="L1445" t="n">
        <v>0</v>
      </c>
      <c r="M1445" t="n">
        <v>0</v>
      </c>
      <c r="N1445" t="n">
        <v>0</v>
      </c>
      <c r="O1445" t="n">
        <v>0</v>
      </c>
      <c r="P1445" t="n">
        <v>0</v>
      </c>
      <c r="Q1445" t="n">
        <v>0</v>
      </c>
      <c r="R1445" s="2" t="inlineStr"/>
    </row>
    <row r="1446" ht="15" customHeight="1">
      <c r="A1446" t="inlineStr">
        <is>
          <t>A 11368-2021</t>
        </is>
      </c>
      <c r="B1446" s="1" t="n">
        <v>44263</v>
      </c>
      <c r="C1446" s="1" t="n">
        <v>45224</v>
      </c>
      <c r="D1446" t="inlineStr">
        <is>
          <t>STOCKHOLMS LÄN</t>
        </is>
      </c>
      <c r="E1446" t="inlineStr">
        <is>
          <t>SÖDERTÄLJE</t>
        </is>
      </c>
      <c r="G1446" t="n">
        <v>2.1</v>
      </c>
      <c r="H1446" t="n">
        <v>0</v>
      </c>
      <c r="I1446" t="n">
        <v>0</v>
      </c>
      <c r="J1446" t="n">
        <v>0</v>
      </c>
      <c r="K1446" t="n">
        <v>0</v>
      </c>
      <c r="L1446" t="n">
        <v>0</v>
      </c>
      <c r="M1446" t="n">
        <v>0</v>
      </c>
      <c r="N1446" t="n">
        <v>0</v>
      </c>
      <c r="O1446" t="n">
        <v>0</v>
      </c>
      <c r="P1446" t="n">
        <v>0</v>
      </c>
      <c r="Q1446" t="n">
        <v>0</v>
      </c>
      <c r="R1446" s="2" t="inlineStr"/>
    </row>
    <row r="1447" ht="15" customHeight="1">
      <c r="A1447" t="inlineStr">
        <is>
          <t>A 11195-2021</t>
        </is>
      </c>
      <c r="B1447" s="1" t="n">
        <v>44263</v>
      </c>
      <c r="C1447" s="1" t="n">
        <v>45224</v>
      </c>
      <c r="D1447" t="inlineStr">
        <is>
          <t>STOCKHOLMS LÄN</t>
        </is>
      </c>
      <c r="E1447" t="inlineStr">
        <is>
          <t>SIGTUNA</t>
        </is>
      </c>
      <c r="G1447" t="n">
        <v>3.7</v>
      </c>
      <c r="H1447" t="n">
        <v>0</v>
      </c>
      <c r="I1447" t="n">
        <v>0</v>
      </c>
      <c r="J1447" t="n">
        <v>0</v>
      </c>
      <c r="K1447" t="n">
        <v>0</v>
      </c>
      <c r="L1447" t="n">
        <v>0</v>
      </c>
      <c r="M1447" t="n">
        <v>0</v>
      </c>
      <c r="N1447" t="n">
        <v>0</v>
      </c>
      <c r="O1447" t="n">
        <v>0</v>
      </c>
      <c r="P1447" t="n">
        <v>0</v>
      </c>
      <c r="Q1447" t="n">
        <v>0</v>
      </c>
      <c r="R1447" s="2" t="inlineStr"/>
    </row>
    <row r="1448" ht="15" customHeight="1">
      <c r="A1448" t="inlineStr">
        <is>
          <t>A 11361-2021</t>
        </is>
      </c>
      <c r="B1448" s="1" t="n">
        <v>44263</v>
      </c>
      <c r="C1448" s="1" t="n">
        <v>45224</v>
      </c>
      <c r="D1448" t="inlineStr">
        <is>
          <t>STOCKHOLMS LÄN</t>
        </is>
      </c>
      <c r="E1448" t="inlineStr">
        <is>
          <t>SÖDERTÄLJE</t>
        </is>
      </c>
      <c r="G1448" t="n">
        <v>3.9</v>
      </c>
      <c r="H1448" t="n">
        <v>0</v>
      </c>
      <c r="I1448" t="n">
        <v>0</v>
      </c>
      <c r="J1448" t="n">
        <v>0</v>
      </c>
      <c r="K1448" t="n">
        <v>0</v>
      </c>
      <c r="L1448" t="n">
        <v>0</v>
      </c>
      <c r="M1448" t="n">
        <v>0</v>
      </c>
      <c r="N1448" t="n">
        <v>0</v>
      </c>
      <c r="O1448" t="n">
        <v>0</v>
      </c>
      <c r="P1448" t="n">
        <v>0</v>
      </c>
      <c r="Q1448" t="n">
        <v>0</v>
      </c>
      <c r="R1448" s="2" t="inlineStr"/>
    </row>
    <row r="1449" ht="15" customHeight="1">
      <c r="A1449" t="inlineStr">
        <is>
          <t>A 11477-2021</t>
        </is>
      </c>
      <c r="B1449" s="1" t="n">
        <v>44264</v>
      </c>
      <c r="C1449" s="1" t="n">
        <v>45224</v>
      </c>
      <c r="D1449" t="inlineStr">
        <is>
          <t>STOCKHOLMS LÄN</t>
        </is>
      </c>
      <c r="E1449" t="inlineStr">
        <is>
          <t>SIGTUNA</t>
        </is>
      </c>
      <c r="F1449" t="inlineStr">
        <is>
          <t>Sveaskog</t>
        </is>
      </c>
      <c r="G1449" t="n">
        <v>2.4</v>
      </c>
      <c r="H1449" t="n">
        <v>0</v>
      </c>
      <c r="I1449" t="n">
        <v>0</v>
      </c>
      <c r="J1449" t="n">
        <v>0</v>
      </c>
      <c r="K1449" t="n">
        <v>0</v>
      </c>
      <c r="L1449" t="n">
        <v>0</v>
      </c>
      <c r="M1449" t="n">
        <v>0</v>
      </c>
      <c r="N1449" t="n">
        <v>0</v>
      </c>
      <c r="O1449" t="n">
        <v>0</v>
      </c>
      <c r="P1449" t="n">
        <v>0</v>
      </c>
      <c r="Q1449" t="n">
        <v>0</v>
      </c>
      <c r="R1449" s="2" t="inlineStr"/>
    </row>
    <row r="1450" ht="15" customHeight="1">
      <c r="A1450" t="inlineStr">
        <is>
          <t>A 11718-2021</t>
        </is>
      </c>
      <c r="B1450" s="1" t="n">
        <v>44265</v>
      </c>
      <c r="C1450" s="1" t="n">
        <v>45224</v>
      </c>
      <c r="D1450" t="inlineStr">
        <is>
          <t>STOCKHOLMS LÄN</t>
        </is>
      </c>
      <c r="E1450" t="inlineStr">
        <is>
          <t>SIGTUNA</t>
        </is>
      </c>
      <c r="F1450" t="inlineStr">
        <is>
          <t>Sveaskog</t>
        </is>
      </c>
      <c r="G1450" t="n">
        <v>1.6</v>
      </c>
      <c r="H1450" t="n">
        <v>0</v>
      </c>
      <c r="I1450" t="n">
        <v>0</v>
      </c>
      <c r="J1450" t="n">
        <v>0</v>
      </c>
      <c r="K1450" t="n">
        <v>0</v>
      </c>
      <c r="L1450" t="n">
        <v>0</v>
      </c>
      <c r="M1450" t="n">
        <v>0</v>
      </c>
      <c r="N1450" t="n">
        <v>0</v>
      </c>
      <c r="O1450" t="n">
        <v>0</v>
      </c>
      <c r="P1450" t="n">
        <v>0</v>
      </c>
      <c r="Q1450" t="n">
        <v>0</v>
      </c>
      <c r="R1450" s="2" t="inlineStr"/>
    </row>
    <row r="1451" ht="15" customHeight="1">
      <c r="A1451" t="inlineStr">
        <is>
          <t>A 11841-2021</t>
        </is>
      </c>
      <c r="B1451" s="1" t="n">
        <v>44265</v>
      </c>
      <c r="C1451" s="1" t="n">
        <v>45224</v>
      </c>
      <c r="D1451" t="inlineStr">
        <is>
          <t>STOCKHOLMS LÄN</t>
        </is>
      </c>
      <c r="E1451" t="inlineStr">
        <is>
          <t>NYNÄSHAMN</t>
        </is>
      </c>
      <c r="G1451" t="n">
        <v>9.9</v>
      </c>
      <c r="H1451" t="n">
        <v>0</v>
      </c>
      <c r="I1451" t="n">
        <v>0</v>
      </c>
      <c r="J1451" t="n">
        <v>0</v>
      </c>
      <c r="K1451" t="n">
        <v>0</v>
      </c>
      <c r="L1451" t="n">
        <v>0</v>
      </c>
      <c r="M1451" t="n">
        <v>0</v>
      </c>
      <c r="N1451" t="n">
        <v>0</v>
      </c>
      <c r="O1451" t="n">
        <v>0</v>
      </c>
      <c r="P1451" t="n">
        <v>0</v>
      </c>
      <c r="Q1451" t="n">
        <v>0</v>
      </c>
      <c r="R1451" s="2" t="inlineStr"/>
    </row>
    <row r="1452" ht="15" customHeight="1">
      <c r="A1452" t="inlineStr">
        <is>
          <t>A 12111-2021</t>
        </is>
      </c>
      <c r="B1452" s="1" t="n">
        <v>44266</v>
      </c>
      <c r="C1452" s="1" t="n">
        <v>45224</v>
      </c>
      <c r="D1452" t="inlineStr">
        <is>
          <t>STOCKHOLMS LÄN</t>
        </is>
      </c>
      <c r="E1452" t="inlineStr">
        <is>
          <t>NORRTÄLJE</t>
        </is>
      </c>
      <c r="G1452" t="n">
        <v>5.5</v>
      </c>
      <c r="H1452" t="n">
        <v>0</v>
      </c>
      <c r="I1452" t="n">
        <v>0</v>
      </c>
      <c r="J1452" t="n">
        <v>0</v>
      </c>
      <c r="K1452" t="n">
        <v>0</v>
      </c>
      <c r="L1452" t="n">
        <v>0</v>
      </c>
      <c r="M1452" t="n">
        <v>0</v>
      </c>
      <c r="N1452" t="n">
        <v>0</v>
      </c>
      <c r="O1452" t="n">
        <v>0</v>
      </c>
      <c r="P1452" t="n">
        <v>0</v>
      </c>
      <c r="Q1452" t="n">
        <v>0</v>
      </c>
      <c r="R1452" s="2" t="inlineStr"/>
    </row>
    <row r="1453" ht="15" customHeight="1">
      <c r="A1453" t="inlineStr">
        <is>
          <t>A 12031-2021</t>
        </is>
      </c>
      <c r="B1453" s="1" t="n">
        <v>44266</v>
      </c>
      <c r="C1453" s="1" t="n">
        <v>45224</v>
      </c>
      <c r="D1453" t="inlineStr">
        <is>
          <t>STOCKHOLMS LÄN</t>
        </is>
      </c>
      <c r="E1453" t="inlineStr">
        <is>
          <t>NORRTÄLJE</t>
        </is>
      </c>
      <c r="G1453" t="n">
        <v>2.6</v>
      </c>
      <c r="H1453" t="n">
        <v>0</v>
      </c>
      <c r="I1453" t="n">
        <v>0</v>
      </c>
      <c r="J1453" t="n">
        <v>0</v>
      </c>
      <c r="K1453" t="n">
        <v>0</v>
      </c>
      <c r="L1453" t="n">
        <v>0</v>
      </c>
      <c r="M1453" t="n">
        <v>0</v>
      </c>
      <c r="N1453" t="n">
        <v>0</v>
      </c>
      <c r="O1453" t="n">
        <v>0</v>
      </c>
      <c r="P1453" t="n">
        <v>0</v>
      </c>
      <c r="Q1453" t="n">
        <v>0</v>
      </c>
      <c r="R1453" s="2" t="inlineStr"/>
    </row>
    <row r="1454" ht="15" customHeight="1">
      <c r="A1454" t="inlineStr">
        <is>
          <t>A 11988-2021</t>
        </is>
      </c>
      <c r="B1454" s="1" t="n">
        <v>44266</v>
      </c>
      <c r="C1454" s="1" t="n">
        <v>45224</v>
      </c>
      <c r="D1454" t="inlineStr">
        <is>
          <t>STOCKHOLMS LÄN</t>
        </is>
      </c>
      <c r="E1454" t="inlineStr">
        <is>
          <t>NORRTÄLJE</t>
        </is>
      </c>
      <c r="G1454" t="n">
        <v>1.2</v>
      </c>
      <c r="H1454" t="n">
        <v>0</v>
      </c>
      <c r="I1454" t="n">
        <v>0</v>
      </c>
      <c r="J1454" t="n">
        <v>0</v>
      </c>
      <c r="K1454" t="n">
        <v>0</v>
      </c>
      <c r="L1454" t="n">
        <v>0</v>
      </c>
      <c r="M1454" t="n">
        <v>0</v>
      </c>
      <c r="N1454" t="n">
        <v>0</v>
      </c>
      <c r="O1454" t="n">
        <v>0</v>
      </c>
      <c r="P1454" t="n">
        <v>0</v>
      </c>
      <c r="Q1454" t="n">
        <v>0</v>
      </c>
      <c r="R1454" s="2" t="inlineStr"/>
    </row>
    <row r="1455" ht="15" customHeight="1">
      <c r="A1455" t="inlineStr">
        <is>
          <t>A 12126-2021</t>
        </is>
      </c>
      <c r="B1455" s="1" t="n">
        <v>44266</v>
      </c>
      <c r="C1455" s="1" t="n">
        <v>45224</v>
      </c>
      <c r="D1455" t="inlineStr">
        <is>
          <t>STOCKHOLMS LÄN</t>
        </is>
      </c>
      <c r="E1455" t="inlineStr">
        <is>
          <t>SÖDERTÄLJE</t>
        </is>
      </c>
      <c r="G1455" t="n">
        <v>2.1</v>
      </c>
      <c r="H1455" t="n">
        <v>0</v>
      </c>
      <c r="I1455" t="n">
        <v>0</v>
      </c>
      <c r="J1455" t="n">
        <v>0</v>
      </c>
      <c r="K1455" t="n">
        <v>0</v>
      </c>
      <c r="L1455" t="n">
        <v>0</v>
      </c>
      <c r="M1455" t="n">
        <v>0</v>
      </c>
      <c r="N1455" t="n">
        <v>0</v>
      </c>
      <c r="O1455" t="n">
        <v>0</v>
      </c>
      <c r="P1455" t="n">
        <v>0</v>
      </c>
      <c r="Q1455" t="n">
        <v>0</v>
      </c>
      <c r="R1455" s="2" t="inlineStr"/>
    </row>
    <row r="1456" ht="15" customHeight="1">
      <c r="A1456" t="inlineStr">
        <is>
          <t>A 12132-2021</t>
        </is>
      </c>
      <c r="B1456" s="1" t="n">
        <v>44266</v>
      </c>
      <c r="C1456" s="1" t="n">
        <v>45224</v>
      </c>
      <c r="D1456" t="inlineStr">
        <is>
          <t>STOCKHOLMS LÄN</t>
        </is>
      </c>
      <c r="E1456" t="inlineStr">
        <is>
          <t>NORRTÄLJE</t>
        </is>
      </c>
      <c r="G1456" t="n">
        <v>4</v>
      </c>
      <c r="H1456" t="n">
        <v>0</v>
      </c>
      <c r="I1456" t="n">
        <v>0</v>
      </c>
      <c r="J1456" t="n">
        <v>0</v>
      </c>
      <c r="K1456" t="n">
        <v>0</v>
      </c>
      <c r="L1456" t="n">
        <v>0</v>
      </c>
      <c r="M1456" t="n">
        <v>0</v>
      </c>
      <c r="N1456" t="n">
        <v>0</v>
      </c>
      <c r="O1456" t="n">
        <v>0</v>
      </c>
      <c r="P1456" t="n">
        <v>0</v>
      </c>
      <c r="Q1456" t="n">
        <v>0</v>
      </c>
      <c r="R1456" s="2" t="inlineStr"/>
    </row>
    <row r="1457" ht="15" customHeight="1">
      <c r="A1457" t="inlineStr">
        <is>
          <t>A 12564-2021</t>
        </is>
      </c>
      <c r="B1457" s="1" t="n">
        <v>44270</v>
      </c>
      <c r="C1457" s="1" t="n">
        <v>45224</v>
      </c>
      <c r="D1457" t="inlineStr">
        <is>
          <t>STOCKHOLMS LÄN</t>
        </is>
      </c>
      <c r="E1457" t="inlineStr">
        <is>
          <t>NORRTÄLJE</t>
        </is>
      </c>
      <c r="G1457" t="n">
        <v>2.1</v>
      </c>
      <c r="H1457" t="n">
        <v>0</v>
      </c>
      <c r="I1457" t="n">
        <v>0</v>
      </c>
      <c r="J1457" t="n">
        <v>0</v>
      </c>
      <c r="K1457" t="n">
        <v>0</v>
      </c>
      <c r="L1457" t="n">
        <v>0</v>
      </c>
      <c r="M1457" t="n">
        <v>0</v>
      </c>
      <c r="N1457" t="n">
        <v>0</v>
      </c>
      <c r="O1457" t="n">
        <v>0</v>
      </c>
      <c r="P1457" t="n">
        <v>0</v>
      </c>
      <c r="Q1457" t="n">
        <v>0</v>
      </c>
      <c r="R1457" s="2" t="inlineStr"/>
    </row>
    <row r="1458" ht="15" customHeight="1">
      <c r="A1458" t="inlineStr">
        <is>
          <t>A 12782-2021</t>
        </is>
      </c>
      <c r="B1458" s="1" t="n">
        <v>44270</v>
      </c>
      <c r="C1458" s="1" t="n">
        <v>45224</v>
      </c>
      <c r="D1458" t="inlineStr">
        <is>
          <t>STOCKHOLMS LÄN</t>
        </is>
      </c>
      <c r="E1458" t="inlineStr">
        <is>
          <t>NORRTÄLJE</t>
        </is>
      </c>
      <c r="G1458" t="n">
        <v>3.8</v>
      </c>
      <c r="H1458" t="n">
        <v>0</v>
      </c>
      <c r="I1458" t="n">
        <v>0</v>
      </c>
      <c r="J1458" t="n">
        <v>0</v>
      </c>
      <c r="K1458" t="n">
        <v>0</v>
      </c>
      <c r="L1458" t="n">
        <v>0</v>
      </c>
      <c r="M1458" t="n">
        <v>0</v>
      </c>
      <c r="N1458" t="n">
        <v>0</v>
      </c>
      <c r="O1458" t="n">
        <v>0</v>
      </c>
      <c r="P1458" t="n">
        <v>0</v>
      </c>
      <c r="Q1458" t="n">
        <v>0</v>
      </c>
      <c r="R1458" s="2" t="inlineStr"/>
    </row>
    <row r="1459" ht="15" customHeight="1">
      <c r="A1459" t="inlineStr">
        <is>
          <t>A 12779-2021</t>
        </is>
      </c>
      <c r="B1459" s="1" t="n">
        <v>44270</v>
      </c>
      <c r="C1459" s="1" t="n">
        <v>45224</v>
      </c>
      <c r="D1459" t="inlineStr">
        <is>
          <t>STOCKHOLMS LÄN</t>
        </is>
      </c>
      <c r="E1459" t="inlineStr">
        <is>
          <t>NORRTÄLJE</t>
        </is>
      </c>
      <c r="G1459" t="n">
        <v>10.8</v>
      </c>
      <c r="H1459" t="n">
        <v>0</v>
      </c>
      <c r="I1459" t="n">
        <v>0</v>
      </c>
      <c r="J1459" t="n">
        <v>0</v>
      </c>
      <c r="K1459" t="n">
        <v>0</v>
      </c>
      <c r="L1459" t="n">
        <v>0</v>
      </c>
      <c r="M1459" t="n">
        <v>0</v>
      </c>
      <c r="N1459" t="n">
        <v>0</v>
      </c>
      <c r="O1459" t="n">
        <v>0</v>
      </c>
      <c r="P1459" t="n">
        <v>0</v>
      </c>
      <c r="Q1459" t="n">
        <v>0</v>
      </c>
      <c r="R1459" s="2" t="inlineStr"/>
    </row>
    <row r="1460" ht="15" customHeight="1">
      <c r="A1460" t="inlineStr">
        <is>
          <t>A 12901-2021</t>
        </is>
      </c>
      <c r="B1460" s="1" t="n">
        <v>44271</v>
      </c>
      <c r="C1460" s="1" t="n">
        <v>45224</v>
      </c>
      <c r="D1460" t="inlineStr">
        <is>
          <t>STOCKHOLMS LÄN</t>
        </is>
      </c>
      <c r="E1460" t="inlineStr">
        <is>
          <t>SÖDERTÄLJE</t>
        </is>
      </c>
      <c r="G1460" t="n">
        <v>0.6</v>
      </c>
      <c r="H1460" t="n">
        <v>0</v>
      </c>
      <c r="I1460" t="n">
        <v>0</v>
      </c>
      <c r="J1460" t="n">
        <v>0</v>
      </c>
      <c r="K1460" t="n">
        <v>0</v>
      </c>
      <c r="L1460" t="n">
        <v>0</v>
      </c>
      <c r="M1460" t="n">
        <v>0</v>
      </c>
      <c r="N1460" t="n">
        <v>0</v>
      </c>
      <c r="O1460" t="n">
        <v>0</v>
      </c>
      <c r="P1460" t="n">
        <v>0</v>
      </c>
      <c r="Q1460" t="n">
        <v>0</v>
      </c>
      <c r="R1460" s="2" t="inlineStr"/>
    </row>
    <row r="1461" ht="15" customHeight="1">
      <c r="A1461" t="inlineStr">
        <is>
          <t>A 13148-2021</t>
        </is>
      </c>
      <c r="B1461" s="1" t="n">
        <v>44272</v>
      </c>
      <c r="C1461" s="1" t="n">
        <v>45224</v>
      </c>
      <c r="D1461" t="inlineStr">
        <is>
          <t>STOCKHOLMS LÄN</t>
        </is>
      </c>
      <c r="E1461" t="inlineStr">
        <is>
          <t>NORRTÄLJE</t>
        </is>
      </c>
      <c r="G1461" t="n">
        <v>12.4</v>
      </c>
      <c r="H1461" t="n">
        <v>0</v>
      </c>
      <c r="I1461" t="n">
        <v>0</v>
      </c>
      <c r="J1461" t="n">
        <v>0</v>
      </c>
      <c r="K1461" t="n">
        <v>0</v>
      </c>
      <c r="L1461" t="n">
        <v>0</v>
      </c>
      <c r="M1461" t="n">
        <v>0</v>
      </c>
      <c r="N1461" t="n">
        <v>0</v>
      </c>
      <c r="O1461" t="n">
        <v>0</v>
      </c>
      <c r="P1461" t="n">
        <v>0</v>
      </c>
      <c r="Q1461" t="n">
        <v>0</v>
      </c>
      <c r="R1461" s="2" t="inlineStr"/>
    </row>
    <row r="1462" ht="15" customHeight="1">
      <c r="A1462" t="inlineStr">
        <is>
          <t>A 13051-2021</t>
        </is>
      </c>
      <c r="B1462" s="1" t="n">
        <v>44272</v>
      </c>
      <c r="C1462" s="1" t="n">
        <v>45224</v>
      </c>
      <c r="D1462" t="inlineStr">
        <is>
          <t>STOCKHOLMS LÄN</t>
        </is>
      </c>
      <c r="E1462" t="inlineStr">
        <is>
          <t>NORRTÄLJE</t>
        </is>
      </c>
      <c r="G1462" t="n">
        <v>9.1</v>
      </c>
      <c r="H1462" t="n">
        <v>0</v>
      </c>
      <c r="I1462" t="n">
        <v>0</v>
      </c>
      <c r="J1462" t="n">
        <v>0</v>
      </c>
      <c r="K1462" t="n">
        <v>0</v>
      </c>
      <c r="L1462" t="n">
        <v>0</v>
      </c>
      <c r="M1462" t="n">
        <v>0</v>
      </c>
      <c r="N1462" t="n">
        <v>0</v>
      </c>
      <c r="O1462" t="n">
        <v>0</v>
      </c>
      <c r="P1462" t="n">
        <v>0</v>
      </c>
      <c r="Q1462" t="n">
        <v>0</v>
      </c>
      <c r="R1462" s="2" t="inlineStr"/>
    </row>
    <row r="1463" ht="15" customHeight="1">
      <c r="A1463" t="inlineStr">
        <is>
          <t>A 13118-2021</t>
        </is>
      </c>
      <c r="B1463" s="1" t="n">
        <v>44272</v>
      </c>
      <c r="C1463" s="1" t="n">
        <v>45224</v>
      </c>
      <c r="D1463" t="inlineStr">
        <is>
          <t>STOCKHOLMS LÄN</t>
        </is>
      </c>
      <c r="E1463" t="inlineStr">
        <is>
          <t>ÖSTERÅKER</t>
        </is>
      </c>
      <c r="F1463" t="inlineStr">
        <is>
          <t>Kyrkan</t>
        </is>
      </c>
      <c r="G1463" t="n">
        <v>4</v>
      </c>
      <c r="H1463" t="n">
        <v>0</v>
      </c>
      <c r="I1463" t="n">
        <v>0</v>
      </c>
      <c r="J1463" t="n">
        <v>0</v>
      </c>
      <c r="K1463" t="n">
        <v>0</v>
      </c>
      <c r="L1463" t="n">
        <v>0</v>
      </c>
      <c r="M1463" t="n">
        <v>0</v>
      </c>
      <c r="N1463" t="n">
        <v>0</v>
      </c>
      <c r="O1463" t="n">
        <v>0</v>
      </c>
      <c r="P1463" t="n">
        <v>0</v>
      </c>
      <c r="Q1463" t="n">
        <v>0</v>
      </c>
      <c r="R1463" s="2" t="inlineStr"/>
    </row>
    <row r="1464" ht="15" customHeight="1">
      <c r="A1464" t="inlineStr">
        <is>
          <t>A 13351-2021</t>
        </is>
      </c>
      <c r="B1464" s="1" t="n">
        <v>44273</v>
      </c>
      <c r="C1464" s="1" t="n">
        <v>45224</v>
      </c>
      <c r="D1464" t="inlineStr">
        <is>
          <t>STOCKHOLMS LÄN</t>
        </is>
      </c>
      <c r="E1464" t="inlineStr">
        <is>
          <t>SALEM</t>
        </is>
      </c>
      <c r="G1464" t="n">
        <v>2.6</v>
      </c>
      <c r="H1464" t="n">
        <v>0</v>
      </c>
      <c r="I1464" t="n">
        <v>0</v>
      </c>
      <c r="J1464" t="n">
        <v>0</v>
      </c>
      <c r="K1464" t="n">
        <v>0</v>
      </c>
      <c r="L1464" t="n">
        <v>0</v>
      </c>
      <c r="M1464" t="n">
        <v>0</v>
      </c>
      <c r="N1464" t="n">
        <v>0</v>
      </c>
      <c r="O1464" t="n">
        <v>0</v>
      </c>
      <c r="P1464" t="n">
        <v>0</v>
      </c>
      <c r="Q1464" t="n">
        <v>0</v>
      </c>
      <c r="R1464" s="2" t="inlineStr"/>
    </row>
    <row r="1465" ht="15" customHeight="1">
      <c r="A1465" t="inlineStr">
        <is>
          <t>A 13736-2021</t>
        </is>
      </c>
      <c r="B1465" s="1" t="n">
        <v>44274</v>
      </c>
      <c r="C1465" s="1" t="n">
        <v>45224</v>
      </c>
      <c r="D1465" t="inlineStr">
        <is>
          <t>STOCKHOLMS LÄN</t>
        </is>
      </c>
      <c r="E1465" t="inlineStr">
        <is>
          <t>NORRTÄLJE</t>
        </is>
      </c>
      <c r="F1465" t="inlineStr">
        <is>
          <t>Holmen skog AB</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14014-2021</t>
        </is>
      </c>
      <c r="B1466" s="1" t="n">
        <v>44277</v>
      </c>
      <c r="C1466" s="1" t="n">
        <v>45224</v>
      </c>
      <c r="D1466" t="inlineStr">
        <is>
          <t>STOCKHOLMS LÄN</t>
        </is>
      </c>
      <c r="E1466" t="inlineStr">
        <is>
          <t>VÄRMDÖ</t>
        </is>
      </c>
      <c r="F1466" t="inlineStr">
        <is>
          <t>Övriga statliga verk och myndigheter</t>
        </is>
      </c>
      <c r="G1466" t="n">
        <v>0.5</v>
      </c>
      <c r="H1466" t="n">
        <v>0</v>
      </c>
      <c r="I1466" t="n">
        <v>0</v>
      </c>
      <c r="J1466" t="n">
        <v>0</v>
      </c>
      <c r="K1466" t="n">
        <v>0</v>
      </c>
      <c r="L1466" t="n">
        <v>0</v>
      </c>
      <c r="M1466" t="n">
        <v>0</v>
      </c>
      <c r="N1466" t="n">
        <v>0</v>
      </c>
      <c r="O1466" t="n">
        <v>0</v>
      </c>
      <c r="P1466" t="n">
        <v>0</v>
      </c>
      <c r="Q1466" t="n">
        <v>0</v>
      </c>
      <c r="R1466" s="2" t="inlineStr"/>
    </row>
    <row r="1467" ht="15" customHeight="1">
      <c r="A1467" t="inlineStr">
        <is>
          <t>A 13921-2021</t>
        </is>
      </c>
      <c r="B1467" s="1" t="n">
        <v>44277</v>
      </c>
      <c r="C1467" s="1" t="n">
        <v>45224</v>
      </c>
      <c r="D1467" t="inlineStr">
        <is>
          <t>STOCKHOLMS LÄN</t>
        </is>
      </c>
      <c r="E1467" t="inlineStr">
        <is>
          <t>ÖSTERÅKER</t>
        </is>
      </c>
      <c r="G1467" t="n">
        <v>0.9</v>
      </c>
      <c r="H1467" t="n">
        <v>0</v>
      </c>
      <c r="I1467" t="n">
        <v>0</v>
      </c>
      <c r="J1467" t="n">
        <v>0</v>
      </c>
      <c r="K1467" t="n">
        <v>0</v>
      </c>
      <c r="L1467" t="n">
        <v>0</v>
      </c>
      <c r="M1467" t="n">
        <v>0</v>
      </c>
      <c r="N1467" t="n">
        <v>0</v>
      </c>
      <c r="O1467" t="n">
        <v>0</v>
      </c>
      <c r="P1467" t="n">
        <v>0</v>
      </c>
      <c r="Q1467" t="n">
        <v>0</v>
      </c>
      <c r="R1467" s="2" t="inlineStr"/>
    </row>
    <row r="1468" ht="15" customHeight="1">
      <c r="A1468" t="inlineStr">
        <is>
          <t>A 14006-2021</t>
        </is>
      </c>
      <c r="B1468" s="1" t="n">
        <v>44277</v>
      </c>
      <c r="C1468" s="1" t="n">
        <v>45224</v>
      </c>
      <c r="D1468" t="inlineStr">
        <is>
          <t>STOCKHOLMS LÄN</t>
        </is>
      </c>
      <c r="E1468" t="inlineStr">
        <is>
          <t>VÄRMDÖ</t>
        </is>
      </c>
      <c r="F1468" t="inlineStr">
        <is>
          <t>Övriga statliga verk och myndigheter</t>
        </is>
      </c>
      <c r="G1468" t="n">
        <v>2</v>
      </c>
      <c r="H1468" t="n">
        <v>0</v>
      </c>
      <c r="I1468" t="n">
        <v>0</v>
      </c>
      <c r="J1468" t="n">
        <v>0</v>
      </c>
      <c r="K1468" t="n">
        <v>0</v>
      </c>
      <c r="L1468" t="n">
        <v>0</v>
      </c>
      <c r="M1468" t="n">
        <v>0</v>
      </c>
      <c r="N1468" t="n">
        <v>0</v>
      </c>
      <c r="O1468" t="n">
        <v>0</v>
      </c>
      <c r="P1468" t="n">
        <v>0</v>
      </c>
      <c r="Q1468" t="n">
        <v>0</v>
      </c>
      <c r="R1468" s="2" t="inlineStr"/>
    </row>
    <row r="1469" ht="15" customHeight="1">
      <c r="A1469" t="inlineStr">
        <is>
          <t>A 14008-2021</t>
        </is>
      </c>
      <c r="B1469" s="1" t="n">
        <v>44277</v>
      </c>
      <c r="C1469" s="1" t="n">
        <v>45224</v>
      </c>
      <c r="D1469" t="inlineStr">
        <is>
          <t>STOCKHOLMS LÄN</t>
        </is>
      </c>
      <c r="E1469" t="inlineStr">
        <is>
          <t>VÄRMDÖ</t>
        </is>
      </c>
      <c r="F1469" t="inlineStr">
        <is>
          <t>Övriga statliga verk och myndigheter</t>
        </is>
      </c>
      <c r="G1469" t="n">
        <v>2.5</v>
      </c>
      <c r="H1469" t="n">
        <v>0</v>
      </c>
      <c r="I1469" t="n">
        <v>0</v>
      </c>
      <c r="J1469" t="n">
        <v>0</v>
      </c>
      <c r="K1469" t="n">
        <v>0</v>
      </c>
      <c r="L1469" t="n">
        <v>0</v>
      </c>
      <c r="M1469" t="n">
        <v>0</v>
      </c>
      <c r="N1469" t="n">
        <v>0</v>
      </c>
      <c r="O1469" t="n">
        <v>0</v>
      </c>
      <c r="P1469" t="n">
        <v>0</v>
      </c>
      <c r="Q1469" t="n">
        <v>0</v>
      </c>
      <c r="R1469" s="2" t="inlineStr"/>
    </row>
    <row r="1470" ht="15" customHeight="1">
      <c r="A1470" t="inlineStr">
        <is>
          <t>A 14381-2021</t>
        </is>
      </c>
      <c r="B1470" s="1" t="n">
        <v>44279</v>
      </c>
      <c r="C1470" s="1" t="n">
        <v>45224</v>
      </c>
      <c r="D1470" t="inlineStr">
        <is>
          <t>STOCKHOLMS LÄN</t>
        </is>
      </c>
      <c r="E1470" t="inlineStr">
        <is>
          <t>NORRTÄLJE</t>
        </is>
      </c>
      <c r="G1470" t="n">
        <v>0.9</v>
      </c>
      <c r="H1470" t="n">
        <v>0</v>
      </c>
      <c r="I1470" t="n">
        <v>0</v>
      </c>
      <c r="J1470" t="n">
        <v>0</v>
      </c>
      <c r="K1470" t="n">
        <v>0</v>
      </c>
      <c r="L1470" t="n">
        <v>0</v>
      </c>
      <c r="M1470" t="n">
        <v>0</v>
      </c>
      <c r="N1470" t="n">
        <v>0</v>
      </c>
      <c r="O1470" t="n">
        <v>0</v>
      </c>
      <c r="P1470" t="n">
        <v>0</v>
      </c>
      <c r="Q1470" t="n">
        <v>0</v>
      </c>
      <c r="R1470" s="2" t="inlineStr"/>
    </row>
    <row r="1471" ht="15" customHeight="1">
      <c r="A1471" t="inlineStr">
        <is>
          <t>A 14434-2021</t>
        </is>
      </c>
      <c r="B1471" s="1" t="n">
        <v>44279</v>
      </c>
      <c r="C1471" s="1" t="n">
        <v>45224</v>
      </c>
      <c r="D1471" t="inlineStr">
        <is>
          <t>STOCKHOLMS LÄN</t>
        </is>
      </c>
      <c r="E1471" t="inlineStr">
        <is>
          <t>VALLENTUNA</t>
        </is>
      </c>
      <c r="G1471" t="n">
        <v>2</v>
      </c>
      <c r="H1471" t="n">
        <v>0</v>
      </c>
      <c r="I1471" t="n">
        <v>0</v>
      </c>
      <c r="J1471" t="n">
        <v>0</v>
      </c>
      <c r="K1471" t="n">
        <v>0</v>
      </c>
      <c r="L1471" t="n">
        <v>0</v>
      </c>
      <c r="M1471" t="n">
        <v>0</v>
      </c>
      <c r="N1471" t="n">
        <v>0</v>
      </c>
      <c r="O1471" t="n">
        <v>0</v>
      </c>
      <c r="P1471" t="n">
        <v>0</v>
      </c>
      <c r="Q1471" t="n">
        <v>0</v>
      </c>
      <c r="R1471" s="2" t="inlineStr"/>
    </row>
    <row r="1472" ht="15" customHeight="1">
      <c r="A1472" t="inlineStr">
        <is>
          <t>A 14447-2021</t>
        </is>
      </c>
      <c r="B1472" s="1" t="n">
        <v>44279</v>
      </c>
      <c r="C1472" s="1" t="n">
        <v>45224</v>
      </c>
      <c r="D1472" t="inlineStr">
        <is>
          <t>STOCKHOLMS LÄN</t>
        </is>
      </c>
      <c r="E1472" t="inlineStr">
        <is>
          <t>VALLENTUNA</t>
        </is>
      </c>
      <c r="G1472" t="n">
        <v>2.9</v>
      </c>
      <c r="H1472" t="n">
        <v>0</v>
      </c>
      <c r="I1472" t="n">
        <v>0</v>
      </c>
      <c r="J1472" t="n">
        <v>0</v>
      </c>
      <c r="K1472" t="n">
        <v>0</v>
      </c>
      <c r="L1472" t="n">
        <v>0</v>
      </c>
      <c r="M1472" t="n">
        <v>0</v>
      </c>
      <c r="N1472" t="n">
        <v>0</v>
      </c>
      <c r="O1472" t="n">
        <v>0</v>
      </c>
      <c r="P1472" t="n">
        <v>0</v>
      </c>
      <c r="Q1472" t="n">
        <v>0</v>
      </c>
      <c r="R1472" s="2" t="inlineStr"/>
    </row>
    <row r="1473" ht="15" customHeight="1">
      <c r="A1473" t="inlineStr">
        <is>
          <t>A 14443-2021</t>
        </is>
      </c>
      <c r="B1473" s="1" t="n">
        <v>44279</v>
      </c>
      <c r="C1473" s="1" t="n">
        <v>45224</v>
      </c>
      <c r="D1473" t="inlineStr">
        <is>
          <t>STOCKHOLMS LÄN</t>
        </is>
      </c>
      <c r="E1473" t="inlineStr">
        <is>
          <t>VALLENTUNA</t>
        </is>
      </c>
      <c r="G1473" t="n">
        <v>3.5</v>
      </c>
      <c r="H1473" t="n">
        <v>0</v>
      </c>
      <c r="I1473" t="n">
        <v>0</v>
      </c>
      <c r="J1473" t="n">
        <v>0</v>
      </c>
      <c r="K1473" t="n">
        <v>0</v>
      </c>
      <c r="L1473" t="n">
        <v>0</v>
      </c>
      <c r="M1473" t="n">
        <v>0</v>
      </c>
      <c r="N1473" t="n">
        <v>0</v>
      </c>
      <c r="O1473" t="n">
        <v>0</v>
      </c>
      <c r="P1473" t="n">
        <v>0</v>
      </c>
      <c r="Q1473" t="n">
        <v>0</v>
      </c>
      <c r="R1473" s="2" t="inlineStr"/>
    </row>
    <row r="1474" ht="15" customHeight="1">
      <c r="A1474" t="inlineStr">
        <is>
          <t>A 14635-2021</t>
        </is>
      </c>
      <c r="B1474" s="1" t="n">
        <v>44280</v>
      </c>
      <c r="C1474" s="1" t="n">
        <v>45224</v>
      </c>
      <c r="D1474" t="inlineStr">
        <is>
          <t>STOCKHOLMS LÄN</t>
        </is>
      </c>
      <c r="E1474" t="inlineStr">
        <is>
          <t>SÖDERTÄLJE</t>
        </is>
      </c>
      <c r="G1474" t="n">
        <v>1.4</v>
      </c>
      <c r="H1474" t="n">
        <v>0</v>
      </c>
      <c r="I1474" t="n">
        <v>0</v>
      </c>
      <c r="J1474" t="n">
        <v>0</v>
      </c>
      <c r="K1474" t="n">
        <v>0</v>
      </c>
      <c r="L1474" t="n">
        <v>0</v>
      </c>
      <c r="M1474" t="n">
        <v>0</v>
      </c>
      <c r="N1474" t="n">
        <v>0</v>
      </c>
      <c r="O1474" t="n">
        <v>0</v>
      </c>
      <c r="P1474" t="n">
        <v>0</v>
      </c>
      <c r="Q1474" t="n">
        <v>0</v>
      </c>
      <c r="R1474" s="2" t="inlineStr"/>
    </row>
    <row r="1475" ht="15" customHeight="1">
      <c r="A1475" t="inlineStr">
        <is>
          <t>A 14664-2021</t>
        </is>
      </c>
      <c r="B1475" s="1" t="n">
        <v>44280</v>
      </c>
      <c r="C1475" s="1" t="n">
        <v>45224</v>
      </c>
      <c r="D1475" t="inlineStr">
        <is>
          <t>STOCKHOLMS LÄN</t>
        </is>
      </c>
      <c r="E1475" t="inlineStr">
        <is>
          <t>SÖDERTÄLJE</t>
        </is>
      </c>
      <c r="G1475" t="n">
        <v>2.6</v>
      </c>
      <c r="H1475" t="n">
        <v>0</v>
      </c>
      <c r="I1475" t="n">
        <v>0</v>
      </c>
      <c r="J1475" t="n">
        <v>0</v>
      </c>
      <c r="K1475" t="n">
        <v>0</v>
      </c>
      <c r="L1475" t="n">
        <v>0</v>
      </c>
      <c r="M1475" t="n">
        <v>0</v>
      </c>
      <c r="N1475" t="n">
        <v>0</v>
      </c>
      <c r="O1475" t="n">
        <v>0</v>
      </c>
      <c r="P1475" t="n">
        <v>0</v>
      </c>
      <c r="Q1475" t="n">
        <v>0</v>
      </c>
      <c r="R1475" s="2" t="inlineStr"/>
    </row>
    <row r="1476" ht="15" customHeight="1">
      <c r="A1476" t="inlineStr">
        <is>
          <t>A 14933-2021</t>
        </is>
      </c>
      <c r="B1476" s="1" t="n">
        <v>44281</v>
      </c>
      <c r="C1476" s="1" t="n">
        <v>45224</v>
      </c>
      <c r="D1476" t="inlineStr">
        <is>
          <t>STOCKHOLMS LÄN</t>
        </is>
      </c>
      <c r="E1476" t="inlineStr">
        <is>
          <t>NORRTÄLJE</t>
        </is>
      </c>
      <c r="G1476" t="n">
        <v>0.4</v>
      </c>
      <c r="H1476" t="n">
        <v>0</v>
      </c>
      <c r="I1476" t="n">
        <v>0</v>
      </c>
      <c r="J1476" t="n">
        <v>0</v>
      </c>
      <c r="K1476" t="n">
        <v>0</v>
      </c>
      <c r="L1476" t="n">
        <v>0</v>
      </c>
      <c r="M1476" t="n">
        <v>0</v>
      </c>
      <c r="N1476" t="n">
        <v>0</v>
      </c>
      <c r="O1476" t="n">
        <v>0</v>
      </c>
      <c r="P1476" t="n">
        <v>0</v>
      </c>
      <c r="Q1476" t="n">
        <v>0</v>
      </c>
      <c r="R1476" s="2" t="inlineStr"/>
    </row>
    <row r="1477" ht="15" customHeight="1">
      <c r="A1477" t="inlineStr">
        <is>
          <t>A 14922-2021</t>
        </is>
      </c>
      <c r="B1477" s="1" t="n">
        <v>44281</v>
      </c>
      <c r="C1477" s="1" t="n">
        <v>45224</v>
      </c>
      <c r="D1477" t="inlineStr">
        <is>
          <t>STOCKHOLMS LÄN</t>
        </is>
      </c>
      <c r="E1477" t="inlineStr">
        <is>
          <t>NORRTÄLJE</t>
        </is>
      </c>
      <c r="G1477" t="n">
        <v>4.8</v>
      </c>
      <c r="H1477" t="n">
        <v>0</v>
      </c>
      <c r="I1477" t="n">
        <v>0</v>
      </c>
      <c r="J1477" t="n">
        <v>0</v>
      </c>
      <c r="K1477" t="n">
        <v>0</v>
      </c>
      <c r="L1477" t="n">
        <v>0</v>
      </c>
      <c r="M1477" t="n">
        <v>0</v>
      </c>
      <c r="N1477" t="n">
        <v>0</v>
      </c>
      <c r="O1477" t="n">
        <v>0</v>
      </c>
      <c r="P1477" t="n">
        <v>0</v>
      </c>
      <c r="Q1477" t="n">
        <v>0</v>
      </c>
      <c r="R1477" s="2" t="inlineStr"/>
    </row>
    <row r="1478" ht="15" customHeight="1">
      <c r="A1478" t="inlineStr">
        <is>
          <t>A 15441-2021</t>
        </is>
      </c>
      <c r="B1478" s="1" t="n">
        <v>44284</v>
      </c>
      <c r="C1478" s="1" t="n">
        <v>45224</v>
      </c>
      <c r="D1478" t="inlineStr">
        <is>
          <t>STOCKHOLMS LÄN</t>
        </is>
      </c>
      <c r="E1478" t="inlineStr">
        <is>
          <t>NORRTÄLJE</t>
        </is>
      </c>
      <c r="G1478" t="n">
        <v>27</v>
      </c>
      <c r="H1478" t="n">
        <v>0</v>
      </c>
      <c r="I1478" t="n">
        <v>0</v>
      </c>
      <c r="J1478" t="n">
        <v>0</v>
      </c>
      <c r="K1478" t="n">
        <v>0</v>
      </c>
      <c r="L1478" t="n">
        <v>0</v>
      </c>
      <c r="M1478" t="n">
        <v>0</v>
      </c>
      <c r="N1478" t="n">
        <v>0</v>
      </c>
      <c r="O1478" t="n">
        <v>0</v>
      </c>
      <c r="P1478" t="n">
        <v>0</v>
      </c>
      <c r="Q1478" t="n">
        <v>0</v>
      </c>
      <c r="R1478" s="2" t="inlineStr"/>
    </row>
    <row r="1479" ht="15" customHeight="1">
      <c r="A1479" t="inlineStr">
        <is>
          <t>A 15560-2021</t>
        </is>
      </c>
      <c r="B1479" s="1" t="n">
        <v>44285</v>
      </c>
      <c r="C1479" s="1" t="n">
        <v>45224</v>
      </c>
      <c r="D1479" t="inlineStr">
        <is>
          <t>STOCKHOLMS LÄN</t>
        </is>
      </c>
      <c r="E1479" t="inlineStr">
        <is>
          <t>NYNÄSHAMN</t>
        </is>
      </c>
      <c r="F1479" t="inlineStr">
        <is>
          <t>Kommuner</t>
        </is>
      </c>
      <c r="G1479" t="n">
        <v>1.5</v>
      </c>
      <c r="H1479" t="n">
        <v>0</v>
      </c>
      <c r="I1479" t="n">
        <v>0</v>
      </c>
      <c r="J1479" t="n">
        <v>0</v>
      </c>
      <c r="K1479" t="n">
        <v>0</v>
      </c>
      <c r="L1479" t="n">
        <v>0</v>
      </c>
      <c r="M1479" t="n">
        <v>0</v>
      </c>
      <c r="N1479" t="n">
        <v>0</v>
      </c>
      <c r="O1479" t="n">
        <v>0</v>
      </c>
      <c r="P1479" t="n">
        <v>0</v>
      </c>
      <c r="Q1479" t="n">
        <v>0</v>
      </c>
      <c r="R1479" s="2" t="inlineStr"/>
    </row>
    <row r="1480" ht="15" customHeight="1">
      <c r="A1480" t="inlineStr">
        <is>
          <t>A 15428-2021</t>
        </is>
      </c>
      <c r="B1480" s="1" t="n">
        <v>44285</v>
      </c>
      <c r="C1480" s="1" t="n">
        <v>45224</v>
      </c>
      <c r="D1480" t="inlineStr">
        <is>
          <t>STOCKHOLMS LÄN</t>
        </is>
      </c>
      <c r="E1480" t="inlineStr">
        <is>
          <t>SIGTUNA</t>
        </is>
      </c>
      <c r="F1480" t="inlineStr">
        <is>
          <t>Sveaskog</t>
        </is>
      </c>
      <c r="G1480" t="n">
        <v>4.9</v>
      </c>
      <c r="H1480" t="n">
        <v>0</v>
      </c>
      <c r="I1480" t="n">
        <v>0</v>
      </c>
      <c r="J1480" t="n">
        <v>0</v>
      </c>
      <c r="K1480" t="n">
        <v>0</v>
      </c>
      <c r="L1480" t="n">
        <v>0</v>
      </c>
      <c r="M1480" t="n">
        <v>0</v>
      </c>
      <c r="N1480" t="n">
        <v>0</v>
      </c>
      <c r="O1480" t="n">
        <v>0</v>
      </c>
      <c r="P1480" t="n">
        <v>0</v>
      </c>
      <c r="Q1480" t="n">
        <v>0</v>
      </c>
      <c r="R1480" s="2" t="inlineStr"/>
    </row>
    <row r="1481" ht="15" customHeight="1">
      <c r="A1481" t="inlineStr">
        <is>
          <t>A 15552-2021</t>
        </is>
      </c>
      <c r="B1481" s="1" t="n">
        <v>44285</v>
      </c>
      <c r="C1481" s="1" t="n">
        <v>45224</v>
      </c>
      <c r="D1481" t="inlineStr">
        <is>
          <t>STOCKHOLMS LÄN</t>
        </is>
      </c>
      <c r="E1481" t="inlineStr">
        <is>
          <t>NORRTÄLJE</t>
        </is>
      </c>
      <c r="G1481" t="n">
        <v>10</v>
      </c>
      <c r="H1481" t="n">
        <v>0</v>
      </c>
      <c r="I1481" t="n">
        <v>0</v>
      </c>
      <c r="J1481" t="n">
        <v>0</v>
      </c>
      <c r="K1481" t="n">
        <v>0</v>
      </c>
      <c r="L1481" t="n">
        <v>0</v>
      </c>
      <c r="M1481" t="n">
        <v>0</v>
      </c>
      <c r="N1481" t="n">
        <v>0</v>
      </c>
      <c r="O1481" t="n">
        <v>0</v>
      </c>
      <c r="P1481" t="n">
        <v>0</v>
      </c>
      <c r="Q1481" t="n">
        <v>0</v>
      </c>
      <c r="R1481" s="2" t="inlineStr"/>
    </row>
    <row r="1482" ht="15" customHeight="1">
      <c r="A1482" t="inlineStr">
        <is>
          <t>A 15609-2021</t>
        </is>
      </c>
      <c r="B1482" s="1" t="n">
        <v>44285</v>
      </c>
      <c r="C1482" s="1" t="n">
        <v>45224</v>
      </c>
      <c r="D1482" t="inlineStr">
        <is>
          <t>STOCKHOLMS LÄN</t>
        </is>
      </c>
      <c r="E1482" t="inlineStr">
        <is>
          <t>NYNÄSHAMN</t>
        </is>
      </c>
      <c r="F1482" t="inlineStr">
        <is>
          <t>Kommuner</t>
        </is>
      </c>
      <c r="G1482" t="n">
        <v>9.6</v>
      </c>
      <c r="H1482" t="n">
        <v>0</v>
      </c>
      <c r="I1482" t="n">
        <v>0</v>
      </c>
      <c r="J1482" t="n">
        <v>0</v>
      </c>
      <c r="K1482" t="n">
        <v>0</v>
      </c>
      <c r="L1482" t="n">
        <v>0</v>
      </c>
      <c r="M1482" t="n">
        <v>0</v>
      </c>
      <c r="N1482" t="n">
        <v>0</v>
      </c>
      <c r="O1482" t="n">
        <v>0</v>
      </c>
      <c r="P1482" t="n">
        <v>0</v>
      </c>
      <c r="Q1482" t="n">
        <v>0</v>
      </c>
      <c r="R1482" s="2" t="inlineStr"/>
    </row>
    <row r="1483" ht="15" customHeight="1">
      <c r="A1483" t="inlineStr">
        <is>
          <t>A 15926-2021</t>
        </is>
      </c>
      <c r="B1483" s="1" t="n">
        <v>44287</v>
      </c>
      <c r="C1483" s="1" t="n">
        <v>45224</v>
      </c>
      <c r="D1483" t="inlineStr">
        <is>
          <t>STOCKHOLMS LÄN</t>
        </is>
      </c>
      <c r="E1483" t="inlineStr">
        <is>
          <t>VÄRMDÖ</t>
        </is>
      </c>
      <c r="G1483" t="n">
        <v>4.2</v>
      </c>
      <c r="H1483" t="n">
        <v>0</v>
      </c>
      <c r="I1483" t="n">
        <v>0</v>
      </c>
      <c r="J1483" t="n">
        <v>0</v>
      </c>
      <c r="K1483" t="n">
        <v>0</v>
      </c>
      <c r="L1483" t="n">
        <v>0</v>
      </c>
      <c r="M1483" t="n">
        <v>0</v>
      </c>
      <c r="N1483" t="n">
        <v>0</v>
      </c>
      <c r="O1483" t="n">
        <v>0</v>
      </c>
      <c r="P1483" t="n">
        <v>0</v>
      </c>
      <c r="Q1483" t="n">
        <v>0</v>
      </c>
      <c r="R1483" s="2" t="inlineStr"/>
    </row>
    <row r="1484" ht="15" customHeight="1">
      <c r="A1484" t="inlineStr">
        <is>
          <t>A 16090-2021</t>
        </is>
      </c>
      <c r="B1484" s="1" t="n">
        <v>44288</v>
      </c>
      <c r="C1484" s="1" t="n">
        <v>45224</v>
      </c>
      <c r="D1484" t="inlineStr">
        <is>
          <t>STOCKHOLMS LÄN</t>
        </is>
      </c>
      <c r="E1484" t="inlineStr">
        <is>
          <t>VÄRMDÖ</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16086-2021</t>
        </is>
      </c>
      <c r="B1485" s="1" t="n">
        <v>44288</v>
      </c>
      <c r="C1485" s="1" t="n">
        <v>45224</v>
      </c>
      <c r="D1485" t="inlineStr">
        <is>
          <t>STOCKHOLMS LÄN</t>
        </is>
      </c>
      <c r="E1485" t="inlineStr">
        <is>
          <t>VÄRMDÖ</t>
        </is>
      </c>
      <c r="G1485" t="n">
        <v>2.2</v>
      </c>
      <c r="H1485" t="n">
        <v>0</v>
      </c>
      <c r="I1485" t="n">
        <v>0</v>
      </c>
      <c r="J1485" t="n">
        <v>0</v>
      </c>
      <c r="K1485" t="n">
        <v>0</v>
      </c>
      <c r="L1485" t="n">
        <v>0</v>
      </c>
      <c r="M1485" t="n">
        <v>0</v>
      </c>
      <c r="N1485" t="n">
        <v>0</v>
      </c>
      <c r="O1485" t="n">
        <v>0</v>
      </c>
      <c r="P1485" t="n">
        <v>0</v>
      </c>
      <c r="Q1485" t="n">
        <v>0</v>
      </c>
      <c r="R1485" s="2" t="inlineStr"/>
    </row>
    <row r="1486" ht="15" customHeight="1">
      <c r="A1486" t="inlineStr">
        <is>
          <t>A 16085-2021</t>
        </is>
      </c>
      <c r="B1486" s="1" t="n">
        <v>44288</v>
      </c>
      <c r="C1486" s="1" t="n">
        <v>45224</v>
      </c>
      <c r="D1486" t="inlineStr">
        <is>
          <t>STOCKHOLMS LÄN</t>
        </is>
      </c>
      <c r="E1486" t="inlineStr">
        <is>
          <t>VÄRMDÖ</t>
        </is>
      </c>
      <c r="G1486" t="n">
        <v>4.4</v>
      </c>
      <c r="H1486" t="n">
        <v>0</v>
      </c>
      <c r="I1486" t="n">
        <v>0</v>
      </c>
      <c r="J1486" t="n">
        <v>0</v>
      </c>
      <c r="K1486" t="n">
        <v>0</v>
      </c>
      <c r="L1486" t="n">
        <v>0</v>
      </c>
      <c r="M1486" t="n">
        <v>0</v>
      </c>
      <c r="N1486" t="n">
        <v>0</v>
      </c>
      <c r="O1486" t="n">
        <v>0</v>
      </c>
      <c r="P1486" t="n">
        <v>0</v>
      </c>
      <c r="Q1486" t="n">
        <v>0</v>
      </c>
      <c r="R1486" s="2" t="inlineStr"/>
    </row>
    <row r="1487" ht="15" customHeight="1">
      <c r="A1487" t="inlineStr">
        <is>
          <t>A 16091-2021</t>
        </is>
      </c>
      <c r="B1487" s="1" t="n">
        <v>44288</v>
      </c>
      <c r="C1487" s="1" t="n">
        <v>45224</v>
      </c>
      <c r="D1487" t="inlineStr">
        <is>
          <t>STOCKHOLMS LÄN</t>
        </is>
      </c>
      <c r="E1487" t="inlineStr">
        <is>
          <t>VÄRMDÖ</t>
        </is>
      </c>
      <c r="G1487" t="n">
        <v>0.7</v>
      </c>
      <c r="H1487" t="n">
        <v>0</v>
      </c>
      <c r="I1487" t="n">
        <v>0</v>
      </c>
      <c r="J1487" t="n">
        <v>0</v>
      </c>
      <c r="K1487" t="n">
        <v>0</v>
      </c>
      <c r="L1487" t="n">
        <v>0</v>
      </c>
      <c r="M1487" t="n">
        <v>0</v>
      </c>
      <c r="N1487" t="n">
        <v>0</v>
      </c>
      <c r="O1487" t="n">
        <v>0</v>
      </c>
      <c r="P1487" t="n">
        <v>0</v>
      </c>
      <c r="Q1487" t="n">
        <v>0</v>
      </c>
      <c r="R1487" s="2" t="inlineStr"/>
    </row>
    <row r="1488" ht="15" customHeight="1">
      <c r="A1488" t="inlineStr">
        <is>
          <t>A 16087-2021</t>
        </is>
      </c>
      <c r="B1488" s="1" t="n">
        <v>44288</v>
      </c>
      <c r="C1488" s="1" t="n">
        <v>45224</v>
      </c>
      <c r="D1488" t="inlineStr">
        <is>
          <t>STOCKHOLMS LÄN</t>
        </is>
      </c>
      <c r="E1488" t="inlineStr">
        <is>
          <t>VÄRMDÖ</t>
        </is>
      </c>
      <c r="G1488" t="n">
        <v>1</v>
      </c>
      <c r="H1488" t="n">
        <v>0</v>
      </c>
      <c r="I1488" t="n">
        <v>0</v>
      </c>
      <c r="J1488" t="n">
        <v>0</v>
      </c>
      <c r="K1488" t="n">
        <v>0</v>
      </c>
      <c r="L1488" t="n">
        <v>0</v>
      </c>
      <c r="M1488" t="n">
        <v>0</v>
      </c>
      <c r="N1488" t="n">
        <v>0</v>
      </c>
      <c r="O1488" t="n">
        <v>0</v>
      </c>
      <c r="P1488" t="n">
        <v>0</v>
      </c>
      <c r="Q1488" t="n">
        <v>0</v>
      </c>
      <c r="R1488" s="2" t="inlineStr"/>
    </row>
    <row r="1489" ht="15" customHeight="1">
      <c r="A1489" t="inlineStr">
        <is>
          <t>A 16668-2021</t>
        </is>
      </c>
      <c r="B1489" s="1" t="n">
        <v>44294</v>
      </c>
      <c r="C1489" s="1" t="n">
        <v>45224</v>
      </c>
      <c r="D1489" t="inlineStr">
        <is>
          <t>STOCKHOLMS LÄN</t>
        </is>
      </c>
      <c r="E1489" t="inlineStr">
        <is>
          <t>NORRTÄLJE</t>
        </is>
      </c>
      <c r="G1489" t="n">
        <v>1.7</v>
      </c>
      <c r="H1489" t="n">
        <v>0</v>
      </c>
      <c r="I1489" t="n">
        <v>0</v>
      </c>
      <c r="J1489" t="n">
        <v>0</v>
      </c>
      <c r="K1489" t="n">
        <v>0</v>
      </c>
      <c r="L1489" t="n">
        <v>0</v>
      </c>
      <c r="M1489" t="n">
        <v>0</v>
      </c>
      <c r="N1489" t="n">
        <v>0</v>
      </c>
      <c r="O1489" t="n">
        <v>0</v>
      </c>
      <c r="P1489" t="n">
        <v>0</v>
      </c>
      <c r="Q1489" t="n">
        <v>0</v>
      </c>
      <c r="R1489" s="2" t="inlineStr"/>
    </row>
    <row r="1490" ht="15" customHeight="1">
      <c r="A1490" t="inlineStr">
        <is>
          <t>A 18280-2021</t>
        </is>
      </c>
      <c r="B1490" s="1" t="n">
        <v>44298</v>
      </c>
      <c r="C1490" s="1" t="n">
        <v>45224</v>
      </c>
      <c r="D1490" t="inlineStr">
        <is>
          <t>STOCKHOLMS LÄN</t>
        </is>
      </c>
      <c r="E1490" t="inlineStr">
        <is>
          <t>NACKA</t>
        </is>
      </c>
      <c r="G1490" t="n">
        <v>4.4</v>
      </c>
      <c r="H1490" t="n">
        <v>0</v>
      </c>
      <c r="I1490" t="n">
        <v>0</v>
      </c>
      <c r="J1490" t="n">
        <v>0</v>
      </c>
      <c r="K1490" t="n">
        <v>0</v>
      </c>
      <c r="L1490" t="n">
        <v>0</v>
      </c>
      <c r="M1490" t="n">
        <v>0</v>
      </c>
      <c r="N1490" t="n">
        <v>0</v>
      </c>
      <c r="O1490" t="n">
        <v>0</v>
      </c>
      <c r="P1490" t="n">
        <v>0</v>
      </c>
      <c r="Q1490" t="n">
        <v>0</v>
      </c>
      <c r="R1490" s="2" t="inlineStr"/>
    </row>
    <row r="1491" ht="15" customHeight="1">
      <c r="A1491" t="inlineStr">
        <is>
          <t>A 17460-2021</t>
        </is>
      </c>
      <c r="B1491" s="1" t="n">
        <v>44299</v>
      </c>
      <c r="C1491" s="1" t="n">
        <v>45224</v>
      </c>
      <c r="D1491" t="inlineStr">
        <is>
          <t>STOCKHOLMS LÄN</t>
        </is>
      </c>
      <c r="E1491" t="inlineStr">
        <is>
          <t>NORRTÄLJE</t>
        </is>
      </c>
      <c r="G1491" t="n">
        <v>3.2</v>
      </c>
      <c r="H1491" t="n">
        <v>0</v>
      </c>
      <c r="I1491" t="n">
        <v>0</v>
      </c>
      <c r="J1491" t="n">
        <v>0</v>
      </c>
      <c r="K1491" t="n">
        <v>0</v>
      </c>
      <c r="L1491" t="n">
        <v>0</v>
      </c>
      <c r="M1491" t="n">
        <v>0</v>
      </c>
      <c r="N1491" t="n">
        <v>0</v>
      </c>
      <c r="O1491" t="n">
        <v>0</v>
      </c>
      <c r="P1491" t="n">
        <v>0</v>
      </c>
      <c r="Q1491" t="n">
        <v>0</v>
      </c>
      <c r="R1491" s="2" t="inlineStr"/>
    </row>
    <row r="1492" ht="15" customHeight="1">
      <c r="A1492" t="inlineStr">
        <is>
          <t>A 17703-2021</t>
        </is>
      </c>
      <c r="B1492" s="1" t="n">
        <v>44300</v>
      </c>
      <c r="C1492" s="1" t="n">
        <v>45224</v>
      </c>
      <c r="D1492" t="inlineStr">
        <is>
          <t>STOCKHOLMS LÄN</t>
        </is>
      </c>
      <c r="E1492" t="inlineStr">
        <is>
          <t>NORRTÄLJE</t>
        </is>
      </c>
      <c r="F1492" t="inlineStr">
        <is>
          <t>Holmen skog AB</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17825-2021</t>
        </is>
      </c>
      <c r="B1493" s="1" t="n">
        <v>44300</v>
      </c>
      <c r="C1493" s="1" t="n">
        <v>45224</v>
      </c>
      <c r="D1493" t="inlineStr">
        <is>
          <t>STOCKHOLMS LÄN</t>
        </is>
      </c>
      <c r="E1493" t="inlineStr">
        <is>
          <t>HANINGE</t>
        </is>
      </c>
      <c r="G1493" t="n">
        <v>0.3</v>
      </c>
      <c r="H1493" t="n">
        <v>0</v>
      </c>
      <c r="I1493" t="n">
        <v>0</v>
      </c>
      <c r="J1493" t="n">
        <v>0</v>
      </c>
      <c r="K1493" t="n">
        <v>0</v>
      </c>
      <c r="L1493" t="n">
        <v>0</v>
      </c>
      <c r="M1493" t="n">
        <v>0</v>
      </c>
      <c r="N1493" t="n">
        <v>0</v>
      </c>
      <c r="O1493" t="n">
        <v>0</v>
      </c>
      <c r="P1493" t="n">
        <v>0</v>
      </c>
      <c r="Q1493" t="n">
        <v>0</v>
      </c>
      <c r="R1493" s="2" t="inlineStr"/>
    </row>
    <row r="1494" ht="15" customHeight="1">
      <c r="A1494" t="inlineStr">
        <is>
          <t>A 17835-2021</t>
        </is>
      </c>
      <c r="B1494" s="1" t="n">
        <v>44300</v>
      </c>
      <c r="C1494" s="1" t="n">
        <v>45224</v>
      </c>
      <c r="D1494" t="inlineStr">
        <is>
          <t>STOCKHOLMS LÄN</t>
        </is>
      </c>
      <c r="E1494" t="inlineStr">
        <is>
          <t>NYNÄSHAMN</t>
        </is>
      </c>
      <c r="G1494" t="n">
        <v>0.7</v>
      </c>
      <c r="H1494" t="n">
        <v>0</v>
      </c>
      <c r="I1494" t="n">
        <v>0</v>
      </c>
      <c r="J1494" t="n">
        <v>0</v>
      </c>
      <c r="K1494" t="n">
        <v>0</v>
      </c>
      <c r="L1494" t="n">
        <v>0</v>
      </c>
      <c r="M1494" t="n">
        <v>0</v>
      </c>
      <c r="N1494" t="n">
        <v>0</v>
      </c>
      <c r="O1494" t="n">
        <v>0</v>
      </c>
      <c r="P1494" t="n">
        <v>0</v>
      </c>
      <c r="Q1494" t="n">
        <v>0</v>
      </c>
      <c r="R1494" s="2" t="inlineStr"/>
    </row>
    <row r="1495" ht="15" customHeight="1">
      <c r="A1495" t="inlineStr">
        <is>
          <t>A 18609-2021</t>
        </is>
      </c>
      <c r="B1495" s="1" t="n">
        <v>44306</v>
      </c>
      <c r="C1495" s="1" t="n">
        <v>45224</v>
      </c>
      <c r="D1495" t="inlineStr">
        <is>
          <t>STOCKHOLMS LÄN</t>
        </is>
      </c>
      <c r="E1495" t="inlineStr">
        <is>
          <t>NORRTÄLJE</t>
        </is>
      </c>
      <c r="G1495" t="n">
        <v>9.5</v>
      </c>
      <c r="H1495" t="n">
        <v>0</v>
      </c>
      <c r="I1495" t="n">
        <v>0</v>
      </c>
      <c r="J1495" t="n">
        <v>0</v>
      </c>
      <c r="K1495" t="n">
        <v>0</v>
      </c>
      <c r="L1495" t="n">
        <v>0</v>
      </c>
      <c r="M1495" t="n">
        <v>0</v>
      </c>
      <c r="N1495" t="n">
        <v>0</v>
      </c>
      <c r="O1495" t="n">
        <v>0</v>
      </c>
      <c r="P1495" t="n">
        <v>0</v>
      </c>
      <c r="Q1495" t="n">
        <v>0</v>
      </c>
      <c r="R1495" s="2" t="inlineStr"/>
    </row>
    <row r="1496" ht="15" customHeight="1">
      <c r="A1496" t="inlineStr">
        <is>
          <t>A 18539-2021</t>
        </is>
      </c>
      <c r="B1496" s="1" t="n">
        <v>44306</v>
      </c>
      <c r="C1496" s="1" t="n">
        <v>45224</v>
      </c>
      <c r="D1496" t="inlineStr">
        <is>
          <t>STOCKHOLMS LÄN</t>
        </is>
      </c>
      <c r="E1496" t="inlineStr">
        <is>
          <t>NORRTÄLJE</t>
        </is>
      </c>
      <c r="F1496" t="inlineStr">
        <is>
          <t>Holmen skog AB</t>
        </is>
      </c>
      <c r="G1496" t="n">
        <v>5.5</v>
      </c>
      <c r="H1496" t="n">
        <v>0</v>
      </c>
      <c r="I1496" t="n">
        <v>0</v>
      </c>
      <c r="J1496" t="n">
        <v>0</v>
      </c>
      <c r="K1496" t="n">
        <v>0</v>
      </c>
      <c r="L1496" t="n">
        <v>0</v>
      </c>
      <c r="M1496" t="n">
        <v>0</v>
      </c>
      <c r="N1496" t="n">
        <v>0</v>
      </c>
      <c r="O1496" t="n">
        <v>0</v>
      </c>
      <c r="P1496" t="n">
        <v>0</v>
      </c>
      <c r="Q1496" t="n">
        <v>0</v>
      </c>
      <c r="R1496" s="2" t="inlineStr"/>
    </row>
    <row r="1497" ht="15" customHeight="1">
      <c r="A1497" t="inlineStr">
        <is>
          <t>A 18580-2021</t>
        </is>
      </c>
      <c r="B1497" s="1" t="n">
        <v>44306</v>
      </c>
      <c r="C1497" s="1" t="n">
        <v>45224</v>
      </c>
      <c r="D1497" t="inlineStr">
        <is>
          <t>STOCKHOLMS LÄN</t>
        </is>
      </c>
      <c r="E1497" t="inlineStr">
        <is>
          <t>NORRTÄLJE</t>
        </is>
      </c>
      <c r="F1497" t="inlineStr">
        <is>
          <t>Holmen skog AB</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18760-2021</t>
        </is>
      </c>
      <c r="B1498" s="1" t="n">
        <v>44307</v>
      </c>
      <c r="C1498" s="1" t="n">
        <v>45224</v>
      </c>
      <c r="D1498" t="inlineStr">
        <is>
          <t>STOCKHOLMS LÄN</t>
        </is>
      </c>
      <c r="E1498" t="inlineStr">
        <is>
          <t>UPPLANDS-BRO</t>
        </is>
      </c>
      <c r="G1498" t="n">
        <v>2.2</v>
      </c>
      <c r="H1498" t="n">
        <v>0</v>
      </c>
      <c r="I1498" t="n">
        <v>0</v>
      </c>
      <c r="J1498" t="n">
        <v>0</v>
      </c>
      <c r="K1498" t="n">
        <v>0</v>
      </c>
      <c r="L1498" t="n">
        <v>0</v>
      </c>
      <c r="M1498" t="n">
        <v>0</v>
      </c>
      <c r="N1498" t="n">
        <v>0</v>
      </c>
      <c r="O1498" t="n">
        <v>0</v>
      </c>
      <c r="P1498" t="n">
        <v>0</v>
      </c>
      <c r="Q1498" t="n">
        <v>0</v>
      </c>
      <c r="R1498" s="2" t="inlineStr"/>
    </row>
    <row r="1499" ht="15" customHeight="1">
      <c r="A1499" t="inlineStr">
        <is>
          <t>A 19398-2021</t>
        </is>
      </c>
      <c r="B1499" s="1" t="n">
        <v>44309</v>
      </c>
      <c r="C1499" s="1" t="n">
        <v>45224</v>
      </c>
      <c r="D1499" t="inlineStr">
        <is>
          <t>STOCKHOLMS LÄN</t>
        </is>
      </c>
      <c r="E1499" t="inlineStr">
        <is>
          <t>NORRTÄLJE</t>
        </is>
      </c>
      <c r="F1499" t="inlineStr">
        <is>
          <t>Kommuner</t>
        </is>
      </c>
      <c r="G1499" t="n">
        <v>2.1</v>
      </c>
      <c r="H1499" t="n">
        <v>0</v>
      </c>
      <c r="I1499" t="n">
        <v>0</v>
      </c>
      <c r="J1499" t="n">
        <v>0</v>
      </c>
      <c r="K1499" t="n">
        <v>0</v>
      </c>
      <c r="L1499" t="n">
        <v>0</v>
      </c>
      <c r="M1499" t="n">
        <v>0</v>
      </c>
      <c r="N1499" t="n">
        <v>0</v>
      </c>
      <c r="O1499" t="n">
        <v>0</v>
      </c>
      <c r="P1499" t="n">
        <v>0</v>
      </c>
      <c r="Q1499" t="n">
        <v>0</v>
      </c>
      <c r="R1499" s="2" t="inlineStr"/>
    </row>
    <row r="1500" ht="15" customHeight="1">
      <c r="A1500" t="inlineStr">
        <is>
          <t>A 20210-2021</t>
        </is>
      </c>
      <c r="B1500" s="1" t="n">
        <v>44314</v>
      </c>
      <c r="C1500" s="1" t="n">
        <v>45224</v>
      </c>
      <c r="D1500" t="inlineStr">
        <is>
          <t>STOCKHOLMS LÄN</t>
        </is>
      </c>
      <c r="E1500" t="inlineStr">
        <is>
          <t>BOTKYRKA</t>
        </is>
      </c>
      <c r="G1500" t="n">
        <v>4.2</v>
      </c>
      <c r="H1500" t="n">
        <v>0</v>
      </c>
      <c r="I1500" t="n">
        <v>0</v>
      </c>
      <c r="J1500" t="n">
        <v>0</v>
      </c>
      <c r="K1500" t="n">
        <v>0</v>
      </c>
      <c r="L1500" t="n">
        <v>0</v>
      </c>
      <c r="M1500" t="n">
        <v>0</v>
      </c>
      <c r="N1500" t="n">
        <v>0</v>
      </c>
      <c r="O1500" t="n">
        <v>0</v>
      </c>
      <c r="P1500" t="n">
        <v>0</v>
      </c>
      <c r="Q1500" t="n">
        <v>0</v>
      </c>
      <c r="R1500" s="2" t="inlineStr"/>
    </row>
    <row r="1501" ht="15" customHeight="1">
      <c r="A1501" t="inlineStr">
        <is>
          <t>A 20073-2021</t>
        </is>
      </c>
      <c r="B1501" s="1" t="n">
        <v>44314</v>
      </c>
      <c r="C1501" s="1" t="n">
        <v>45224</v>
      </c>
      <c r="D1501" t="inlineStr">
        <is>
          <t>STOCKHOLMS LÄN</t>
        </is>
      </c>
      <c r="E1501" t="inlineStr">
        <is>
          <t>NORRTÄLJE</t>
        </is>
      </c>
      <c r="G1501" t="n">
        <v>4.6</v>
      </c>
      <c r="H1501" t="n">
        <v>0</v>
      </c>
      <c r="I1501" t="n">
        <v>0</v>
      </c>
      <c r="J1501" t="n">
        <v>0</v>
      </c>
      <c r="K1501" t="n">
        <v>0</v>
      </c>
      <c r="L1501" t="n">
        <v>0</v>
      </c>
      <c r="M1501" t="n">
        <v>0</v>
      </c>
      <c r="N1501" t="n">
        <v>0</v>
      </c>
      <c r="O1501" t="n">
        <v>0</v>
      </c>
      <c r="P1501" t="n">
        <v>0</v>
      </c>
      <c r="Q1501" t="n">
        <v>0</v>
      </c>
      <c r="R1501" s="2" t="inlineStr"/>
    </row>
    <row r="1502" ht="15" customHeight="1">
      <c r="A1502" t="inlineStr">
        <is>
          <t>A 20473-2021</t>
        </is>
      </c>
      <c r="B1502" s="1" t="n">
        <v>44315</v>
      </c>
      <c r="C1502" s="1" t="n">
        <v>45224</v>
      </c>
      <c r="D1502" t="inlineStr">
        <is>
          <t>STOCKHOLMS LÄN</t>
        </is>
      </c>
      <c r="E1502" t="inlineStr">
        <is>
          <t>NORRTÄLJE</t>
        </is>
      </c>
      <c r="F1502" t="inlineStr">
        <is>
          <t>Övriga Aktiebolag</t>
        </is>
      </c>
      <c r="G1502" t="n">
        <v>3.6</v>
      </c>
      <c r="H1502" t="n">
        <v>0</v>
      </c>
      <c r="I1502" t="n">
        <v>0</v>
      </c>
      <c r="J1502" t="n">
        <v>0</v>
      </c>
      <c r="K1502" t="n">
        <v>0</v>
      </c>
      <c r="L1502" t="n">
        <v>0</v>
      </c>
      <c r="M1502" t="n">
        <v>0</v>
      </c>
      <c r="N1502" t="n">
        <v>0</v>
      </c>
      <c r="O1502" t="n">
        <v>0</v>
      </c>
      <c r="P1502" t="n">
        <v>0</v>
      </c>
      <c r="Q1502" t="n">
        <v>0</v>
      </c>
      <c r="R1502" s="2" t="inlineStr"/>
    </row>
    <row r="1503" ht="15" customHeight="1">
      <c r="A1503" t="inlineStr">
        <is>
          <t>A 20612-2021</t>
        </is>
      </c>
      <c r="B1503" s="1" t="n">
        <v>44315</v>
      </c>
      <c r="C1503" s="1" t="n">
        <v>45224</v>
      </c>
      <c r="D1503" t="inlineStr">
        <is>
          <t>STOCKHOLMS LÄN</t>
        </is>
      </c>
      <c r="E1503" t="inlineStr">
        <is>
          <t>VALLENTUNA</t>
        </is>
      </c>
      <c r="F1503" t="inlineStr">
        <is>
          <t>Övriga Aktiebolag</t>
        </is>
      </c>
      <c r="G1503" t="n">
        <v>1.2</v>
      </c>
      <c r="H1503" t="n">
        <v>0</v>
      </c>
      <c r="I1503" t="n">
        <v>0</v>
      </c>
      <c r="J1503" t="n">
        <v>0</v>
      </c>
      <c r="K1503" t="n">
        <v>0</v>
      </c>
      <c r="L1503" t="n">
        <v>0</v>
      </c>
      <c r="M1503" t="n">
        <v>0</v>
      </c>
      <c r="N1503" t="n">
        <v>0</v>
      </c>
      <c r="O1503" t="n">
        <v>0</v>
      </c>
      <c r="P1503" t="n">
        <v>0</v>
      </c>
      <c r="Q1503" t="n">
        <v>0</v>
      </c>
      <c r="R1503" s="2" t="inlineStr"/>
    </row>
    <row r="1504" ht="15" customHeight="1">
      <c r="A1504" t="inlineStr">
        <is>
          <t>A 20711-2021</t>
        </is>
      </c>
      <c r="B1504" s="1" t="n">
        <v>44316</v>
      </c>
      <c r="C1504" s="1" t="n">
        <v>45224</v>
      </c>
      <c r="D1504" t="inlineStr">
        <is>
          <t>STOCKHOLMS LÄN</t>
        </is>
      </c>
      <c r="E1504" t="inlineStr">
        <is>
          <t>NYKVARN</t>
        </is>
      </c>
      <c r="G1504" t="n">
        <v>9.699999999999999</v>
      </c>
      <c r="H1504" t="n">
        <v>0</v>
      </c>
      <c r="I1504" t="n">
        <v>0</v>
      </c>
      <c r="J1504" t="n">
        <v>0</v>
      </c>
      <c r="K1504" t="n">
        <v>0</v>
      </c>
      <c r="L1504" t="n">
        <v>0</v>
      </c>
      <c r="M1504" t="n">
        <v>0</v>
      </c>
      <c r="N1504" t="n">
        <v>0</v>
      </c>
      <c r="O1504" t="n">
        <v>0</v>
      </c>
      <c r="P1504" t="n">
        <v>0</v>
      </c>
      <c r="Q1504" t="n">
        <v>0</v>
      </c>
      <c r="R1504" s="2" t="inlineStr"/>
    </row>
    <row r="1505" ht="15" customHeight="1">
      <c r="A1505" t="inlineStr">
        <is>
          <t>A 21291-2021</t>
        </is>
      </c>
      <c r="B1505" s="1" t="n">
        <v>44319</v>
      </c>
      <c r="C1505" s="1" t="n">
        <v>45224</v>
      </c>
      <c r="D1505" t="inlineStr">
        <is>
          <t>STOCKHOLMS LÄN</t>
        </is>
      </c>
      <c r="E1505" t="inlineStr">
        <is>
          <t>NORRTÄLJE</t>
        </is>
      </c>
      <c r="G1505" t="n">
        <v>12.7</v>
      </c>
      <c r="H1505" t="n">
        <v>0</v>
      </c>
      <c r="I1505" t="n">
        <v>0</v>
      </c>
      <c r="J1505" t="n">
        <v>0</v>
      </c>
      <c r="K1505" t="n">
        <v>0</v>
      </c>
      <c r="L1505" t="n">
        <v>0</v>
      </c>
      <c r="M1505" t="n">
        <v>0</v>
      </c>
      <c r="N1505" t="n">
        <v>0</v>
      </c>
      <c r="O1505" t="n">
        <v>0</v>
      </c>
      <c r="P1505" t="n">
        <v>0</v>
      </c>
      <c r="Q1505" t="n">
        <v>0</v>
      </c>
      <c r="R1505" s="2" t="inlineStr"/>
    </row>
    <row r="1506" ht="15" customHeight="1">
      <c r="A1506" t="inlineStr">
        <is>
          <t>A 21612-2021</t>
        </is>
      </c>
      <c r="B1506" s="1" t="n">
        <v>44321</v>
      </c>
      <c r="C1506" s="1" t="n">
        <v>45224</v>
      </c>
      <c r="D1506" t="inlineStr">
        <is>
          <t>STOCKHOLMS LÄN</t>
        </is>
      </c>
      <c r="E1506" t="inlineStr">
        <is>
          <t>VALLENTUNA</t>
        </is>
      </c>
      <c r="G1506" t="n">
        <v>1.4</v>
      </c>
      <c r="H1506" t="n">
        <v>0</v>
      </c>
      <c r="I1506" t="n">
        <v>0</v>
      </c>
      <c r="J1506" t="n">
        <v>0</v>
      </c>
      <c r="K1506" t="n">
        <v>0</v>
      </c>
      <c r="L1506" t="n">
        <v>0</v>
      </c>
      <c r="M1506" t="n">
        <v>0</v>
      </c>
      <c r="N1506" t="n">
        <v>0</v>
      </c>
      <c r="O1506" t="n">
        <v>0</v>
      </c>
      <c r="P1506" t="n">
        <v>0</v>
      </c>
      <c r="Q1506" t="n">
        <v>0</v>
      </c>
      <c r="R1506" s="2" t="inlineStr"/>
    </row>
    <row r="1507" ht="15" customHeight="1">
      <c r="A1507" t="inlineStr">
        <is>
          <t>A 21560-2021</t>
        </is>
      </c>
      <c r="B1507" s="1" t="n">
        <v>44321</v>
      </c>
      <c r="C1507" s="1" t="n">
        <v>45224</v>
      </c>
      <c r="D1507" t="inlineStr">
        <is>
          <t>STOCKHOLMS LÄN</t>
        </is>
      </c>
      <c r="E1507" t="inlineStr">
        <is>
          <t>UPPLANDS-BRO</t>
        </is>
      </c>
      <c r="G1507" t="n">
        <v>1.6</v>
      </c>
      <c r="H1507" t="n">
        <v>0</v>
      </c>
      <c r="I1507" t="n">
        <v>0</v>
      </c>
      <c r="J1507" t="n">
        <v>0</v>
      </c>
      <c r="K1507" t="n">
        <v>0</v>
      </c>
      <c r="L1507" t="n">
        <v>0</v>
      </c>
      <c r="M1507" t="n">
        <v>0</v>
      </c>
      <c r="N1507" t="n">
        <v>0</v>
      </c>
      <c r="O1507" t="n">
        <v>0</v>
      </c>
      <c r="P1507" t="n">
        <v>0</v>
      </c>
      <c r="Q1507" t="n">
        <v>0</v>
      </c>
      <c r="R1507" s="2" t="inlineStr"/>
    </row>
    <row r="1508" ht="15" customHeight="1">
      <c r="A1508" t="inlineStr">
        <is>
          <t>A 21529-2021</t>
        </is>
      </c>
      <c r="B1508" s="1" t="n">
        <v>44321</v>
      </c>
      <c r="C1508" s="1" t="n">
        <v>45224</v>
      </c>
      <c r="D1508" t="inlineStr">
        <is>
          <t>STOCKHOLMS LÄN</t>
        </is>
      </c>
      <c r="E1508" t="inlineStr">
        <is>
          <t>NORRTÄLJE</t>
        </is>
      </c>
      <c r="G1508" t="n">
        <v>2.7</v>
      </c>
      <c r="H1508" t="n">
        <v>0</v>
      </c>
      <c r="I1508" t="n">
        <v>0</v>
      </c>
      <c r="J1508" t="n">
        <v>0</v>
      </c>
      <c r="K1508" t="n">
        <v>0</v>
      </c>
      <c r="L1508" t="n">
        <v>0</v>
      </c>
      <c r="M1508" t="n">
        <v>0</v>
      </c>
      <c r="N1508" t="n">
        <v>0</v>
      </c>
      <c r="O1508" t="n">
        <v>0</v>
      </c>
      <c r="P1508" t="n">
        <v>0</v>
      </c>
      <c r="Q1508" t="n">
        <v>0</v>
      </c>
      <c r="R1508" s="2" t="inlineStr"/>
    </row>
    <row r="1509" ht="15" customHeight="1">
      <c r="A1509" t="inlineStr">
        <is>
          <t>A 22479-2021</t>
        </is>
      </c>
      <c r="B1509" s="1" t="n">
        <v>44322</v>
      </c>
      <c r="C1509" s="1" t="n">
        <v>45224</v>
      </c>
      <c r="D1509" t="inlineStr">
        <is>
          <t>STOCKHOLMS LÄN</t>
        </is>
      </c>
      <c r="E1509" t="inlineStr">
        <is>
          <t>VÄRMDÖ</t>
        </is>
      </c>
      <c r="G1509" t="n">
        <v>0.5</v>
      </c>
      <c r="H1509" t="n">
        <v>0</v>
      </c>
      <c r="I1509" t="n">
        <v>0</v>
      </c>
      <c r="J1509" t="n">
        <v>0</v>
      </c>
      <c r="K1509" t="n">
        <v>0</v>
      </c>
      <c r="L1509" t="n">
        <v>0</v>
      </c>
      <c r="M1509" t="n">
        <v>0</v>
      </c>
      <c r="N1509" t="n">
        <v>0</v>
      </c>
      <c r="O1509" t="n">
        <v>0</v>
      </c>
      <c r="P1509" t="n">
        <v>0</v>
      </c>
      <c r="Q1509" t="n">
        <v>0</v>
      </c>
      <c r="R1509" s="2" t="inlineStr"/>
    </row>
    <row r="1510" ht="15" customHeight="1">
      <c r="A1510" t="inlineStr">
        <is>
          <t>A 22060-2021</t>
        </is>
      </c>
      <c r="B1510" s="1" t="n">
        <v>44323</v>
      </c>
      <c r="C1510" s="1" t="n">
        <v>45224</v>
      </c>
      <c r="D1510" t="inlineStr">
        <is>
          <t>STOCKHOLMS LÄN</t>
        </is>
      </c>
      <c r="E1510" t="inlineStr">
        <is>
          <t>VALLENTUNA</t>
        </is>
      </c>
      <c r="G1510" t="n">
        <v>3</v>
      </c>
      <c r="H1510" t="n">
        <v>0</v>
      </c>
      <c r="I1510" t="n">
        <v>0</v>
      </c>
      <c r="J1510" t="n">
        <v>0</v>
      </c>
      <c r="K1510" t="n">
        <v>0</v>
      </c>
      <c r="L1510" t="n">
        <v>0</v>
      </c>
      <c r="M1510" t="n">
        <v>0</v>
      </c>
      <c r="N1510" t="n">
        <v>0</v>
      </c>
      <c r="O1510" t="n">
        <v>0</v>
      </c>
      <c r="P1510" t="n">
        <v>0</v>
      </c>
      <c r="Q1510" t="n">
        <v>0</v>
      </c>
      <c r="R1510" s="2" t="inlineStr"/>
    </row>
    <row r="1511" ht="15" customHeight="1">
      <c r="A1511" t="inlineStr">
        <is>
          <t>A 22816-2021</t>
        </is>
      </c>
      <c r="B1511" s="1" t="n">
        <v>44325</v>
      </c>
      <c r="C1511" s="1" t="n">
        <v>45224</v>
      </c>
      <c r="D1511" t="inlineStr">
        <is>
          <t>STOCKHOLMS LÄN</t>
        </is>
      </c>
      <c r="E1511" t="inlineStr">
        <is>
          <t>NORRTÄLJE</t>
        </is>
      </c>
      <c r="G1511" t="n">
        <v>4.5</v>
      </c>
      <c r="H1511" t="n">
        <v>0</v>
      </c>
      <c r="I1511" t="n">
        <v>0</v>
      </c>
      <c r="J1511" t="n">
        <v>0</v>
      </c>
      <c r="K1511" t="n">
        <v>0</v>
      </c>
      <c r="L1511" t="n">
        <v>0</v>
      </c>
      <c r="M1511" t="n">
        <v>0</v>
      </c>
      <c r="N1511" t="n">
        <v>0</v>
      </c>
      <c r="O1511" t="n">
        <v>0</v>
      </c>
      <c r="P1511" t="n">
        <v>0</v>
      </c>
      <c r="Q1511" t="n">
        <v>0</v>
      </c>
      <c r="R1511" s="2" t="inlineStr"/>
    </row>
    <row r="1512" ht="15" customHeight="1">
      <c r="A1512" t="inlineStr">
        <is>
          <t>A 22832-2021</t>
        </is>
      </c>
      <c r="B1512" s="1" t="n">
        <v>44325</v>
      </c>
      <c r="C1512" s="1" t="n">
        <v>45224</v>
      </c>
      <c r="D1512" t="inlineStr">
        <is>
          <t>STOCKHOLMS LÄN</t>
        </is>
      </c>
      <c r="E1512" t="inlineStr">
        <is>
          <t>NORRTÄLJE</t>
        </is>
      </c>
      <c r="G1512" t="n">
        <v>6.8</v>
      </c>
      <c r="H1512" t="n">
        <v>0</v>
      </c>
      <c r="I1512" t="n">
        <v>0</v>
      </c>
      <c r="J1512" t="n">
        <v>0</v>
      </c>
      <c r="K1512" t="n">
        <v>0</v>
      </c>
      <c r="L1512" t="n">
        <v>0</v>
      </c>
      <c r="M1512" t="n">
        <v>0</v>
      </c>
      <c r="N1512" t="n">
        <v>0</v>
      </c>
      <c r="O1512" t="n">
        <v>0</v>
      </c>
      <c r="P1512" t="n">
        <v>0</v>
      </c>
      <c r="Q1512" t="n">
        <v>0</v>
      </c>
      <c r="R1512" s="2" t="inlineStr"/>
    </row>
    <row r="1513" ht="15" customHeight="1">
      <c r="A1513" t="inlineStr">
        <is>
          <t>A 22369-2021</t>
        </is>
      </c>
      <c r="B1513" s="1" t="n">
        <v>44326</v>
      </c>
      <c r="C1513" s="1" t="n">
        <v>45224</v>
      </c>
      <c r="D1513" t="inlineStr">
        <is>
          <t>STOCKHOLMS LÄN</t>
        </is>
      </c>
      <c r="E1513" t="inlineStr">
        <is>
          <t>NORRTÄLJE</t>
        </is>
      </c>
      <c r="F1513" t="inlineStr">
        <is>
          <t>Holmen skog AB</t>
        </is>
      </c>
      <c r="G1513" t="n">
        <v>3.4</v>
      </c>
      <c r="H1513" t="n">
        <v>0</v>
      </c>
      <c r="I1513" t="n">
        <v>0</v>
      </c>
      <c r="J1513" t="n">
        <v>0</v>
      </c>
      <c r="K1513" t="n">
        <v>0</v>
      </c>
      <c r="L1513" t="n">
        <v>0</v>
      </c>
      <c r="M1513" t="n">
        <v>0</v>
      </c>
      <c r="N1513" t="n">
        <v>0</v>
      </c>
      <c r="O1513" t="n">
        <v>0</v>
      </c>
      <c r="P1513" t="n">
        <v>0</v>
      </c>
      <c r="Q1513" t="n">
        <v>0</v>
      </c>
      <c r="R1513" s="2" t="inlineStr"/>
    </row>
    <row r="1514" ht="15" customHeight="1">
      <c r="A1514" t="inlineStr">
        <is>
          <t>A 22421-2021</t>
        </is>
      </c>
      <c r="B1514" s="1" t="n">
        <v>44326</v>
      </c>
      <c r="C1514" s="1" t="n">
        <v>45224</v>
      </c>
      <c r="D1514" t="inlineStr">
        <is>
          <t>STOCKHOLMS LÄN</t>
        </is>
      </c>
      <c r="E1514" t="inlineStr">
        <is>
          <t>NORRTÄLJE</t>
        </is>
      </c>
      <c r="G1514" t="n">
        <v>2.1</v>
      </c>
      <c r="H1514" t="n">
        <v>0</v>
      </c>
      <c r="I1514" t="n">
        <v>0</v>
      </c>
      <c r="J1514" t="n">
        <v>0</v>
      </c>
      <c r="K1514" t="n">
        <v>0</v>
      </c>
      <c r="L1514" t="n">
        <v>0</v>
      </c>
      <c r="M1514" t="n">
        <v>0</v>
      </c>
      <c r="N1514" t="n">
        <v>0</v>
      </c>
      <c r="O1514" t="n">
        <v>0</v>
      </c>
      <c r="P1514" t="n">
        <v>0</v>
      </c>
      <c r="Q1514" t="n">
        <v>0</v>
      </c>
      <c r="R1514" s="2" t="inlineStr"/>
    </row>
    <row r="1515" ht="15" customHeight="1">
      <c r="A1515" t="inlineStr">
        <is>
          <t>A 22708-2021</t>
        </is>
      </c>
      <c r="B1515" s="1" t="n">
        <v>44327</v>
      </c>
      <c r="C1515" s="1" t="n">
        <v>45224</v>
      </c>
      <c r="D1515" t="inlineStr">
        <is>
          <t>STOCKHOLMS LÄN</t>
        </is>
      </c>
      <c r="E1515" t="inlineStr">
        <is>
          <t>VÄRMDÖ</t>
        </is>
      </c>
      <c r="F1515" t="inlineStr">
        <is>
          <t>Övriga Aktiebolag</t>
        </is>
      </c>
      <c r="G1515" t="n">
        <v>1.2</v>
      </c>
      <c r="H1515" t="n">
        <v>0</v>
      </c>
      <c r="I1515" t="n">
        <v>0</v>
      </c>
      <c r="J1515" t="n">
        <v>0</v>
      </c>
      <c r="K1515" t="n">
        <v>0</v>
      </c>
      <c r="L1515" t="n">
        <v>0</v>
      </c>
      <c r="M1515" t="n">
        <v>0</v>
      </c>
      <c r="N1515" t="n">
        <v>0</v>
      </c>
      <c r="O1515" t="n">
        <v>0</v>
      </c>
      <c r="P1515" t="n">
        <v>0</v>
      </c>
      <c r="Q1515" t="n">
        <v>0</v>
      </c>
      <c r="R1515" s="2" t="inlineStr"/>
    </row>
    <row r="1516" ht="15" customHeight="1">
      <c r="A1516" t="inlineStr">
        <is>
          <t>A 23123-2021</t>
        </is>
      </c>
      <c r="B1516" s="1" t="n">
        <v>44330</v>
      </c>
      <c r="C1516" s="1" t="n">
        <v>45224</v>
      </c>
      <c r="D1516" t="inlineStr">
        <is>
          <t>STOCKHOLMS LÄN</t>
        </is>
      </c>
      <c r="E1516" t="inlineStr">
        <is>
          <t>NORRTÄLJE</t>
        </is>
      </c>
      <c r="G1516" t="n">
        <v>0.4</v>
      </c>
      <c r="H1516" t="n">
        <v>0</v>
      </c>
      <c r="I1516" t="n">
        <v>0</v>
      </c>
      <c r="J1516" t="n">
        <v>0</v>
      </c>
      <c r="K1516" t="n">
        <v>0</v>
      </c>
      <c r="L1516" t="n">
        <v>0</v>
      </c>
      <c r="M1516" t="n">
        <v>0</v>
      </c>
      <c r="N1516" t="n">
        <v>0</v>
      </c>
      <c r="O1516" t="n">
        <v>0</v>
      </c>
      <c r="P1516" t="n">
        <v>0</v>
      </c>
      <c r="Q1516" t="n">
        <v>0</v>
      </c>
      <c r="R1516" s="2" t="inlineStr"/>
    </row>
    <row r="1517" ht="15" customHeight="1">
      <c r="A1517" t="inlineStr">
        <is>
          <t>A 23096-2021</t>
        </is>
      </c>
      <c r="B1517" s="1" t="n">
        <v>44330</v>
      </c>
      <c r="C1517" s="1" t="n">
        <v>45224</v>
      </c>
      <c r="D1517" t="inlineStr">
        <is>
          <t>STOCKHOLMS LÄN</t>
        </is>
      </c>
      <c r="E1517" t="inlineStr">
        <is>
          <t>NORRTÄLJE</t>
        </is>
      </c>
      <c r="G1517" t="n">
        <v>0.3</v>
      </c>
      <c r="H1517" t="n">
        <v>0</v>
      </c>
      <c r="I1517" t="n">
        <v>0</v>
      </c>
      <c r="J1517" t="n">
        <v>0</v>
      </c>
      <c r="K1517" t="n">
        <v>0</v>
      </c>
      <c r="L1517" t="n">
        <v>0</v>
      </c>
      <c r="M1517" t="n">
        <v>0</v>
      </c>
      <c r="N1517" t="n">
        <v>0</v>
      </c>
      <c r="O1517" t="n">
        <v>0</v>
      </c>
      <c r="P1517" t="n">
        <v>0</v>
      </c>
      <c r="Q1517" t="n">
        <v>0</v>
      </c>
      <c r="R1517" s="2" t="inlineStr"/>
    </row>
    <row r="1518" ht="15" customHeight="1">
      <c r="A1518" t="inlineStr">
        <is>
          <t>A 23122-2021</t>
        </is>
      </c>
      <c r="B1518" s="1" t="n">
        <v>44330</v>
      </c>
      <c r="C1518" s="1" t="n">
        <v>45224</v>
      </c>
      <c r="D1518" t="inlineStr">
        <is>
          <t>STOCKHOLMS LÄN</t>
        </is>
      </c>
      <c r="E1518" t="inlineStr">
        <is>
          <t>NORRTÄLJE</t>
        </is>
      </c>
      <c r="G1518" t="n">
        <v>0.4</v>
      </c>
      <c r="H1518" t="n">
        <v>0</v>
      </c>
      <c r="I1518" t="n">
        <v>0</v>
      </c>
      <c r="J1518" t="n">
        <v>0</v>
      </c>
      <c r="K1518" t="n">
        <v>0</v>
      </c>
      <c r="L1518" t="n">
        <v>0</v>
      </c>
      <c r="M1518" t="n">
        <v>0</v>
      </c>
      <c r="N1518" t="n">
        <v>0</v>
      </c>
      <c r="O1518" t="n">
        <v>0</v>
      </c>
      <c r="P1518" t="n">
        <v>0</v>
      </c>
      <c r="Q1518" t="n">
        <v>0</v>
      </c>
      <c r="R1518" s="2" t="inlineStr"/>
    </row>
    <row r="1519" ht="15" customHeight="1">
      <c r="A1519" t="inlineStr">
        <is>
          <t>A 23152-2021</t>
        </is>
      </c>
      <c r="B1519" s="1" t="n">
        <v>44332</v>
      </c>
      <c r="C1519" s="1" t="n">
        <v>45224</v>
      </c>
      <c r="D1519" t="inlineStr">
        <is>
          <t>STOCKHOLMS LÄN</t>
        </is>
      </c>
      <c r="E1519" t="inlineStr">
        <is>
          <t>NYKVARN</t>
        </is>
      </c>
      <c r="G1519" t="n">
        <v>0.5</v>
      </c>
      <c r="H1519" t="n">
        <v>0</v>
      </c>
      <c r="I1519" t="n">
        <v>0</v>
      </c>
      <c r="J1519" t="n">
        <v>0</v>
      </c>
      <c r="K1519" t="n">
        <v>0</v>
      </c>
      <c r="L1519" t="n">
        <v>0</v>
      </c>
      <c r="M1519" t="n">
        <v>0</v>
      </c>
      <c r="N1519" t="n">
        <v>0</v>
      </c>
      <c r="O1519" t="n">
        <v>0</v>
      </c>
      <c r="P1519" t="n">
        <v>0</v>
      </c>
      <c r="Q1519" t="n">
        <v>0</v>
      </c>
      <c r="R1519" s="2" t="inlineStr"/>
    </row>
    <row r="1520" ht="15" customHeight="1">
      <c r="A1520" t="inlineStr">
        <is>
          <t>A 23339-2021</t>
        </is>
      </c>
      <c r="B1520" s="1" t="n">
        <v>44333</v>
      </c>
      <c r="C1520" s="1" t="n">
        <v>45224</v>
      </c>
      <c r="D1520" t="inlineStr">
        <is>
          <t>STOCKHOLMS LÄN</t>
        </is>
      </c>
      <c r="E1520" t="inlineStr">
        <is>
          <t>NYNÄSHAMN</t>
        </is>
      </c>
      <c r="G1520" t="n">
        <v>0.4</v>
      </c>
      <c r="H1520" t="n">
        <v>0</v>
      </c>
      <c r="I1520" t="n">
        <v>0</v>
      </c>
      <c r="J1520" t="n">
        <v>0</v>
      </c>
      <c r="K1520" t="n">
        <v>0</v>
      </c>
      <c r="L1520" t="n">
        <v>0</v>
      </c>
      <c r="M1520" t="n">
        <v>0</v>
      </c>
      <c r="N1520" t="n">
        <v>0</v>
      </c>
      <c r="O1520" t="n">
        <v>0</v>
      </c>
      <c r="P1520" t="n">
        <v>0</v>
      </c>
      <c r="Q1520" t="n">
        <v>0</v>
      </c>
      <c r="R1520" s="2" t="inlineStr"/>
    </row>
    <row r="1521" ht="15" customHeight="1">
      <c r="A1521" t="inlineStr">
        <is>
          <t>A 23453-2021</t>
        </is>
      </c>
      <c r="B1521" s="1" t="n">
        <v>44333</v>
      </c>
      <c r="C1521" s="1" t="n">
        <v>45224</v>
      </c>
      <c r="D1521" t="inlineStr">
        <is>
          <t>STOCKHOLMS LÄN</t>
        </is>
      </c>
      <c r="E1521" t="inlineStr">
        <is>
          <t>NORRTÄLJE</t>
        </is>
      </c>
      <c r="G1521" t="n">
        <v>1.8</v>
      </c>
      <c r="H1521" t="n">
        <v>0</v>
      </c>
      <c r="I1521" t="n">
        <v>0</v>
      </c>
      <c r="J1521" t="n">
        <v>0</v>
      </c>
      <c r="K1521" t="n">
        <v>0</v>
      </c>
      <c r="L1521" t="n">
        <v>0</v>
      </c>
      <c r="M1521" t="n">
        <v>0</v>
      </c>
      <c r="N1521" t="n">
        <v>0</v>
      </c>
      <c r="O1521" t="n">
        <v>0</v>
      </c>
      <c r="P1521" t="n">
        <v>0</v>
      </c>
      <c r="Q1521" t="n">
        <v>0</v>
      </c>
      <c r="R1521" s="2" t="inlineStr"/>
    </row>
    <row r="1522" ht="15" customHeight="1">
      <c r="A1522" t="inlineStr">
        <is>
          <t>A 24308-2021</t>
        </is>
      </c>
      <c r="B1522" s="1" t="n">
        <v>44336</v>
      </c>
      <c r="C1522" s="1" t="n">
        <v>45224</v>
      </c>
      <c r="D1522" t="inlineStr">
        <is>
          <t>STOCKHOLMS LÄN</t>
        </is>
      </c>
      <c r="E1522" t="inlineStr">
        <is>
          <t>UPPLANDS-BRO</t>
        </is>
      </c>
      <c r="G1522" t="n">
        <v>1.4</v>
      </c>
      <c r="H1522" t="n">
        <v>0</v>
      </c>
      <c r="I1522" t="n">
        <v>0</v>
      </c>
      <c r="J1522" t="n">
        <v>0</v>
      </c>
      <c r="K1522" t="n">
        <v>0</v>
      </c>
      <c r="L1522" t="n">
        <v>0</v>
      </c>
      <c r="M1522" t="n">
        <v>0</v>
      </c>
      <c r="N1522" t="n">
        <v>0</v>
      </c>
      <c r="O1522" t="n">
        <v>0</v>
      </c>
      <c r="P1522" t="n">
        <v>0</v>
      </c>
      <c r="Q1522" t="n">
        <v>0</v>
      </c>
      <c r="R1522" s="2" t="inlineStr"/>
    </row>
    <row r="1523" ht="15" customHeight="1">
      <c r="A1523" t="inlineStr">
        <is>
          <t>A 24994-2021</t>
        </is>
      </c>
      <c r="B1523" s="1" t="n">
        <v>44341</v>
      </c>
      <c r="C1523" s="1" t="n">
        <v>45224</v>
      </c>
      <c r="D1523" t="inlineStr">
        <is>
          <t>STOCKHOLMS LÄN</t>
        </is>
      </c>
      <c r="E1523" t="inlineStr">
        <is>
          <t>VALLENTUNA</t>
        </is>
      </c>
      <c r="G1523" t="n">
        <v>2.6</v>
      </c>
      <c r="H1523" t="n">
        <v>0</v>
      </c>
      <c r="I1523" t="n">
        <v>0</v>
      </c>
      <c r="J1523" t="n">
        <v>0</v>
      </c>
      <c r="K1523" t="n">
        <v>0</v>
      </c>
      <c r="L1523" t="n">
        <v>0</v>
      </c>
      <c r="M1523" t="n">
        <v>0</v>
      </c>
      <c r="N1523" t="n">
        <v>0</v>
      </c>
      <c r="O1523" t="n">
        <v>0</v>
      </c>
      <c r="P1523" t="n">
        <v>0</v>
      </c>
      <c r="Q1523" t="n">
        <v>0</v>
      </c>
      <c r="R1523" s="2" t="inlineStr"/>
    </row>
    <row r="1524" ht="15" customHeight="1">
      <c r="A1524" t="inlineStr">
        <is>
          <t>A 25334-2021</t>
        </is>
      </c>
      <c r="B1524" s="1" t="n">
        <v>44342</v>
      </c>
      <c r="C1524" s="1" t="n">
        <v>45224</v>
      </c>
      <c r="D1524" t="inlineStr">
        <is>
          <t>STOCKHOLMS LÄN</t>
        </is>
      </c>
      <c r="E1524" t="inlineStr">
        <is>
          <t>NYNÄSHAMN</t>
        </is>
      </c>
      <c r="F1524" t="inlineStr">
        <is>
          <t>Kommuner</t>
        </is>
      </c>
      <c r="G1524" t="n">
        <v>0.5</v>
      </c>
      <c r="H1524" t="n">
        <v>0</v>
      </c>
      <c r="I1524" t="n">
        <v>0</v>
      </c>
      <c r="J1524" t="n">
        <v>0</v>
      </c>
      <c r="K1524" t="n">
        <v>0</v>
      </c>
      <c r="L1524" t="n">
        <v>0</v>
      </c>
      <c r="M1524" t="n">
        <v>0</v>
      </c>
      <c r="N1524" t="n">
        <v>0</v>
      </c>
      <c r="O1524" t="n">
        <v>0</v>
      </c>
      <c r="P1524" t="n">
        <v>0</v>
      </c>
      <c r="Q1524" t="n">
        <v>0</v>
      </c>
      <c r="R1524" s="2" t="inlineStr"/>
    </row>
    <row r="1525" ht="15" customHeight="1">
      <c r="A1525" t="inlineStr">
        <is>
          <t>A 25463-2021</t>
        </is>
      </c>
      <c r="B1525" s="1" t="n">
        <v>44342</v>
      </c>
      <c r="C1525" s="1" t="n">
        <v>45224</v>
      </c>
      <c r="D1525" t="inlineStr">
        <is>
          <t>STOCKHOLMS LÄN</t>
        </is>
      </c>
      <c r="E1525" t="inlineStr">
        <is>
          <t>NORRTÄLJE</t>
        </is>
      </c>
      <c r="F1525" t="inlineStr">
        <is>
          <t>Holmen skog AB</t>
        </is>
      </c>
      <c r="G1525" t="n">
        <v>1.5</v>
      </c>
      <c r="H1525" t="n">
        <v>0</v>
      </c>
      <c r="I1525" t="n">
        <v>0</v>
      </c>
      <c r="J1525" t="n">
        <v>0</v>
      </c>
      <c r="K1525" t="n">
        <v>0</v>
      </c>
      <c r="L1525" t="n">
        <v>0</v>
      </c>
      <c r="M1525" t="n">
        <v>0</v>
      </c>
      <c r="N1525" t="n">
        <v>0</v>
      </c>
      <c r="O1525" t="n">
        <v>0</v>
      </c>
      <c r="P1525" t="n">
        <v>0</v>
      </c>
      <c r="Q1525" t="n">
        <v>0</v>
      </c>
      <c r="R1525" s="2" t="inlineStr"/>
    </row>
    <row r="1526" ht="15" customHeight="1">
      <c r="A1526" t="inlineStr">
        <is>
          <t>A 25873-2021</t>
        </is>
      </c>
      <c r="B1526" s="1" t="n">
        <v>44344</v>
      </c>
      <c r="C1526" s="1" t="n">
        <v>45224</v>
      </c>
      <c r="D1526" t="inlineStr">
        <is>
          <t>STOCKHOLMS LÄN</t>
        </is>
      </c>
      <c r="E1526" t="inlineStr">
        <is>
          <t>SÖDERTÄLJE</t>
        </is>
      </c>
      <c r="G1526" t="n">
        <v>7.3</v>
      </c>
      <c r="H1526" t="n">
        <v>0</v>
      </c>
      <c r="I1526" t="n">
        <v>0</v>
      </c>
      <c r="J1526" t="n">
        <v>0</v>
      </c>
      <c r="K1526" t="n">
        <v>0</v>
      </c>
      <c r="L1526" t="n">
        <v>0</v>
      </c>
      <c r="M1526" t="n">
        <v>0</v>
      </c>
      <c r="N1526" t="n">
        <v>0</v>
      </c>
      <c r="O1526" t="n">
        <v>0</v>
      </c>
      <c r="P1526" t="n">
        <v>0</v>
      </c>
      <c r="Q1526" t="n">
        <v>0</v>
      </c>
      <c r="R1526" s="2" t="inlineStr"/>
    </row>
    <row r="1527" ht="15" customHeight="1">
      <c r="A1527" t="inlineStr">
        <is>
          <t>A 25871-2021</t>
        </is>
      </c>
      <c r="B1527" s="1" t="n">
        <v>44344</v>
      </c>
      <c r="C1527" s="1" t="n">
        <v>45224</v>
      </c>
      <c r="D1527" t="inlineStr">
        <is>
          <t>STOCKHOLMS LÄN</t>
        </is>
      </c>
      <c r="E1527" t="inlineStr">
        <is>
          <t>SÖDERTÄLJE</t>
        </is>
      </c>
      <c r="G1527" t="n">
        <v>13</v>
      </c>
      <c r="H1527" t="n">
        <v>0</v>
      </c>
      <c r="I1527" t="n">
        <v>0</v>
      </c>
      <c r="J1527" t="n">
        <v>0</v>
      </c>
      <c r="K1527" t="n">
        <v>0</v>
      </c>
      <c r="L1527" t="n">
        <v>0</v>
      </c>
      <c r="M1527" t="n">
        <v>0</v>
      </c>
      <c r="N1527" t="n">
        <v>0</v>
      </c>
      <c r="O1527" t="n">
        <v>0</v>
      </c>
      <c r="P1527" t="n">
        <v>0</v>
      </c>
      <c r="Q1527" t="n">
        <v>0</v>
      </c>
      <c r="R1527" s="2" t="inlineStr"/>
    </row>
    <row r="1528" ht="15" customHeight="1">
      <c r="A1528" t="inlineStr">
        <is>
          <t>A 26757-2021</t>
        </is>
      </c>
      <c r="B1528" s="1" t="n">
        <v>44349</v>
      </c>
      <c r="C1528" s="1" t="n">
        <v>45224</v>
      </c>
      <c r="D1528" t="inlineStr">
        <is>
          <t>STOCKHOLMS LÄN</t>
        </is>
      </c>
      <c r="E1528" t="inlineStr">
        <is>
          <t>NYNÄSHAMN</t>
        </is>
      </c>
      <c r="G1528" t="n">
        <v>4</v>
      </c>
      <c r="H1528" t="n">
        <v>0</v>
      </c>
      <c r="I1528" t="n">
        <v>0</v>
      </c>
      <c r="J1528" t="n">
        <v>0</v>
      </c>
      <c r="K1528" t="n">
        <v>0</v>
      </c>
      <c r="L1528" t="n">
        <v>0</v>
      </c>
      <c r="M1528" t="n">
        <v>0</v>
      </c>
      <c r="N1528" t="n">
        <v>0</v>
      </c>
      <c r="O1528" t="n">
        <v>0</v>
      </c>
      <c r="P1528" t="n">
        <v>0</v>
      </c>
      <c r="Q1528" t="n">
        <v>0</v>
      </c>
      <c r="R1528" s="2" t="inlineStr"/>
    </row>
    <row r="1529" ht="15" customHeight="1">
      <c r="A1529" t="inlineStr">
        <is>
          <t>A 26767-2021</t>
        </is>
      </c>
      <c r="B1529" s="1" t="n">
        <v>44349</v>
      </c>
      <c r="C1529" s="1" t="n">
        <v>45224</v>
      </c>
      <c r="D1529" t="inlineStr">
        <is>
          <t>STOCKHOLMS LÄN</t>
        </is>
      </c>
      <c r="E1529" t="inlineStr">
        <is>
          <t>NYNÄSHAMN</t>
        </is>
      </c>
      <c r="G1529" t="n">
        <v>2.3</v>
      </c>
      <c r="H1529" t="n">
        <v>0</v>
      </c>
      <c r="I1529" t="n">
        <v>0</v>
      </c>
      <c r="J1529" t="n">
        <v>0</v>
      </c>
      <c r="K1529" t="n">
        <v>0</v>
      </c>
      <c r="L1529" t="n">
        <v>0</v>
      </c>
      <c r="M1529" t="n">
        <v>0</v>
      </c>
      <c r="N1529" t="n">
        <v>0</v>
      </c>
      <c r="O1529" t="n">
        <v>0</v>
      </c>
      <c r="P1529" t="n">
        <v>0</v>
      </c>
      <c r="Q1529" t="n">
        <v>0</v>
      </c>
      <c r="R1529" s="2" t="inlineStr"/>
    </row>
    <row r="1530" ht="15" customHeight="1">
      <c r="A1530" t="inlineStr">
        <is>
          <t>A 26750-2021</t>
        </is>
      </c>
      <c r="B1530" s="1" t="n">
        <v>44349</v>
      </c>
      <c r="C1530" s="1" t="n">
        <v>45224</v>
      </c>
      <c r="D1530" t="inlineStr">
        <is>
          <t>STOCKHOLMS LÄN</t>
        </is>
      </c>
      <c r="E1530" t="inlineStr">
        <is>
          <t>NYNÄSHAMN</t>
        </is>
      </c>
      <c r="G1530" t="n">
        <v>3</v>
      </c>
      <c r="H1530" t="n">
        <v>0</v>
      </c>
      <c r="I1530" t="n">
        <v>0</v>
      </c>
      <c r="J1530" t="n">
        <v>0</v>
      </c>
      <c r="K1530" t="n">
        <v>0</v>
      </c>
      <c r="L1530" t="n">
        <v>0</v>
      </c>
      <c r="M1530" t="n">
        <v>0</v>
      </c>
      <c r="N1530" t="n">
        <v>0</v>
      </c>
      <c r="O1530" t="n">
        <v>0</v>
      </c>
      <c r="P1530" t="n">
        <v>0</v>
      </c>
      <c r="Q1530" t="n">
        <v>0</v>
      </c>
      <c r="R1530" s="2" t="inlineStr"/>
    </row>
    <row r="1531" ht="15" customHeight="1">
      <c r="A1531" t="inlineStr">
        <is>
          <t>A 27214-2021</t>
        </is>
      </c>
      <c r="B1531" s="1" t="n">
        <v>44350</v>
      </c>
      <c r="C1531" s="1" t="n">
        <v>45224</v>
      </c>
      <c r="D1531" t="inlineStr">
        <is>
          <t>STOCKHOLMS LÄN</t>
        </is>
      </c>
      <c r="E1531" t="inlineStr">
        <is>
          <t>NORRTÄLJE</t>
        </is>
      </c>
      <c r="G1531" t="n">
        <v>1</v>
      </c>
      <c r="H1531" t="n">
        <v>0</v>
      </c>
      <c r="I1531" t="n">
        <v>0</v>
      </c>
      <c r="J1531" t="n">
        <v>0</v>
      </c>
      <c r="K1531" t="n">
        <v>0</v>
      </c>
      <c r="L1531" t="n">
        <v>0</v>
      </c>
      <c r="M1531" t="n">
        <v>0</v>
      </c>
      <c r="N1531" t="n">
        <v>0</v>
      </c>
      <c r="O1531" t="n">
        <v>0</v>
      </c>
      <c r="P1531" t="n">
        <v>0</v>
      </c>
      <c r="Q1531" t="n">
        <v>0</v>
      </c>
      <c r="R1531" s="2" t="inlineStr"/>
    </row>
    <row r="1532" ht="15" customHeight="1">
      <c r="A1532" t="inlineStr">
        <is>
          <t>A 27217-2021</t>
        </is>
      </c>
      <c r="B1532" s="1" t="n">
        <v>44350</v>
      </c>
      <c r="C1532" s="1" t="n">
        <v>45224</v>
      </c>
      <c r="D1532" t="inlineStr">
        <is>
          <t>STOCKHOLMS LÄN</t>
        </is>
      </c>
      <c r="E1532" t="inlineStr">
        <is>
          <t>NORRTÄLJE</t>
        </is>
      </c>
      <c r="G1532" t="n">
        <v>5.5</v>
      </c>
      <c r="H1532" t="n">
        <v>0</v>
      </c>
      <c r="I1532" t="n">
        <v>0</v>
      </c>
      <c r="J1532" t="n">
        <v>0</v>
      </c>
      <c r="K1532" t="n">
        <v>0</v>
      </c>
      <c r="L1532" t="n">
        <v>0</v>
      </c>
      <c r="M1532" t="n">
        <v>0</v>
      </c>
      <c r="N1532" t="n">
        <v>0</v>
      </c>
      <c r="O1532" t="n">
        <v>0</v>
      </c>
      <c r="P1532" t="n">
        <v>0</v>
      </c>
      <c r="Q1532" t="n">
        <v>0</v>
      </c>
      <c r="R1532" s="2" t="inlineStr"/>
    </row>
    <row r="1533" ht="15" customHeight="1">
      <c r="A1533" t="inlineStr">
        <is>
          <t>A 27715-2021</t>
        </is>
      </c>
      <c r="B1533" s="1" t="n">
        <v>44354</v>
      </c>
      <c r="C1533" s="1" t="n">
        <v>45224</v>
      </c>
      <c r="D1533" t="inlineStr">
        <is>
          <t>STOCKHOLMS LÄN</t>
        </is>
      </c>
      <c r="E1533" t="inlineStr">
        <is>
          <t>SÖDERTÄLJE</t>
        </is>
      </c>
      <c r="F1533" t="inlineStr">
        <is>
          <t>Sveaskog</t>
        </is>
      </c>
      <c r="G1533" t="n">
        <v>1</v>
      </c>
      <c r="H1533" t="n">
        <v>0</v>
      </c>
      <c r="I1533" t="n">
        <v>0</v>
      </c>
      <c r="J1533" t="n">
        <v>0</v>
      </c>
      <c r="K1533" t="n">
        <v>0</v>
      </c>
      <c r="L1533" t="n">
        <v>0</v>
      </c>
      <c r="M1533" t="n">
        <v>0</v>
      </c>
      <c r="N1533" t="n">
        <v>0</v>
      </c>
      <c r="O1533" t="n">
        <v>0</v>
      </c>
      <c r="P1533" t="n">
        <v>0</v>
      </c>
      <c r="Q1533" t="n">
        <v>0</v>
      </c>
      <c r="R1533" s="2" t="inlineStr"/>
    </row>
    <row r="1534" ht="15" customHeight="1">
      <c r="A1534" t="inlineStr">
        <is>
          <t>A 27747-2021</t>
        </is>
      </c>
      <c r="B1534" s="1" t="n">
        <v>44354</v>
      </c>
      <c r="C1534" s="1" t="n">
        <v>45224</v>
      </c>
      <c r="D1534" t="inlineStr">
        <is>
          <t>STOCKHOLMS LÄN</t>
        </is>
      </c>
      <c r="E1534" t="inlineStr">
        <is>
          <t>SÖDERTÄLJE</t>
        </is>
      </c>
      <c r="F1534" t="inlineStr">
        <is>
          <t>Sveaskog</t>
        </is>
      </c>
      <c r="G1534" t="n">
        <v>0.6</v>
      </c>
      <c r="H1534" t="n">
        <v>0</v>
      </c>
      <c r="I1534" t="n">
        <v>0</v>
      </c>
      <c r="J1534" t="n">
        <v>0</v>
      </c>
      <c r="K1534" t="n">
        <v>0</v>
      </c>
      <c r="L1534" t="n">
        <v>0</v>
      </c>
      <c r="M1534" t="n">
        <v>0</v>
      </c>
      <c r="N1534" t="n">
        <v>0</v>
      </c>
      <c r="O1534" t="n">
        <v>0</v>
      </c>
      <c r="P1534" t="n">
        <v>0</v>
      </c>
      <c r="Q1534" t="n">
        <v>0</v>
      </c>
      <c r="R1534" s="2" t="inlineStr"/>
    </row>
    <row r="1535" ht="15" customHeight="1">
      <c r="A1535" t="inlineStr">
        <is>
          <t>A 27769-2021</t>
        </is>
      </c>
      <c r="B1535" s="1" t="n">
        <v>44354</v>
      </c>
      <c r="C1535" s="1" t="n">
        <v>45224</v>
      </c>
      <c r="D1535" t="inlineStr">
        <is>
          <t>STOCKHOLMS LÄN</t>
        </is>
      </c>
      <c r="E1535" t="inlineStr">
        <is>
          <t>SÖDERTÄLJE</t>
        </is>
      </c>
      <c r="F1535" t="inlineStr">
        <is>
          <t>Sveaskog</t>
        </is>
      </c>
      <c r="G1535" t="n">
        <v>3.5</v>
      </c>
      <c r="H1535" t="n">
        <v>0</v>
      </c>
      <c r="I1535" t="n">
        <v>0</v>
      </c>
      <c r="J1535" t="n">
        <v>0</v>
      </c>
      <c r="K1535" t="n">
        <v>0</v>
      </c>
      <c r="L1535" t="n">
        <v>0</v>
      </c>
      <c r="M1535" t="n">
        <v>0</v>
      </c>
      <c r="N1535" t="n">
        <v>0</v>
      </c>
      <c r="O1535" t="n">
        <v>0</v>
      </c>
      <c r="P1535" t="n">
        <v>0</v>
      </c>
      <c r="Q1535" t="n">
        <v>0</v>
      </c>
      <c r="R1535" s="2" t="inlineStr"/>
    </row>
    <row r="1536" ht="15" customHeight="1">
      <c r="A1536" t="inlineStr">
        <is>
          <t>A 27739-2021</t>
        </is>
      </c>
      <c r="B1536" s="1" t="n">
        <v>44354</v>
      </c>
      <c r="C1536" s="1" t="n">
        <v>45224</v>
      </c>
      <c r="D1536" t="inlineStr">
        <is>
          <t>STOCKHOLMS LÄN</t>
        </is>
      </c>
      <c r="E1536" t="inlineStr">
        <is>
          <t>SÖDERTÄLJE</t>
        </is>
      </c>
      <c r="F1536" t="inlineStr">
        <is>
          <t>Sveaskog</t>
        </is>
      </c>
      <c r="G1536" t="n">
        <v>2.5</v>
      </c>
      <c r="H1536" t="n">
        <v>0</v>
      </c>
      <c r="I1536" t="n">
        <v>0</v>
      </c>
      <c r="J1536" t="n">
        <v>0</v>
      </c>
      <c r="K1536" t="n">
        <v>0</v>
      </c>
      <c r="L1536" t="n">
        <v>0</v>
      </c>
      <c r="M1536" t="n">
        <v>0</v>
      </c>
      <c r="N1536" t="n">
        <v>0</v>
      </c>
      <c r="O1536" t="n">
        <v>0</v>
      </c>
      <c r="P1536" t="n">
        <v>0</v>
      </c>
      <c r="Q1536" t="n">
        <v>0</v>
      </c>
      <c r="R1536" s="2" t="inlineStr"/>
    </row>
    <row r="1537" ht="15" customHeight="1">
      <c r="A1537" t="inlineStr">
        <is>
          <t>A 27750-2021</t>
        </is>
      </c>
      <c r="B1537" s="1" t="n">
        <v>44354</v>
      </c>
      <c r="C1537" s="1" t="n">
        <v>45224</v>
      </c>
      <c r="D1537" t="inlineStr">
        <is>
          <t>STOCKHOLMS LÄN</t>
        </is>
      </c>
      <c r="E1537" t="inlineStr">
        <is>
          <t>SÖDERTÄLJE</t>
        </is>
      </c>
      <c r="F1537" t="inlineStr">
        <is>
          <t>Sveaskog</t>
        </is>
      </c>
      <c r="G1537" t="n">
        <v>1.4</v>
      </c>
      <c r="H1537" t="n">
        <v>0</v>
      </c>
      <c r="I1537" t="n">
        <v>0</v>
      </c>
      <c r="J1537" t="n">
        <v>0</v>
      </c>
      <c r="K1537" t="n">
        <v>0</v>
      </c>
      <c r="L1537" t="n">
        <v>0</v>
      </c>
      <c r="M1537" t="n">
        <v>0</v>
      </c>
      <c r="N1537" t="n">
        <v>0</v>
      </c>
      <c r="O1537" t="n">
        <v>0</v>
      </c>
      <c r="P1537" t="n">
        <v>0</v>
      </c>
      <c r="Q1537" t="n">
        <v>0</v>
      </c>
      <c r="R1537" s="2" t="inlineStr"/>
    </row>
    <row r="1538" ht="15" customHeight="1">
      <c r="A1538" t="inlineStr">
        <is>
          <t>A 27771-2021</t>
        </is>
      </c>
      <c r="B1538" s="1" t="n">
        <v>44354</v>
      </c>
      <c r="C1538" s="1" t="n">
        <v>45224</v>
      </c>
      <c r="D1538" t="inlineStr">
        <is>
          <t>STOCKHOLMS LÄN</t>
        </is>
      </c>
      <c r="E1538" t="inlineStr">
        <is>
          <t>SÖDERTÄLJE</t>
        </is>
      </c>
      <c r="F1538" t="inlineStr">
        <is>
          <t>Sveaskog</t>
        </is>
      </c>
      <c r="G1538" t="n">
        <v>7.9</v>
      </c>
      <c r="H1538" t="n">
        <v>0</v>
      </c>
      <c r="I1538" t="n">
        <v>0</v>
      </c>
      <c r="J1538" t="n">
        <v>0</v>
      </c>
      <c r="K1538" t="n">
        <v>0</v>
      </c>
      <c r="L1538" t="n">
        <v>0</v>
      </c>
      <c r="M1538" t="n">
        <v>0</v>
      </c>
      <c r="N1538" t="n">
        <v>0</v>
      </c>
      <c r="O1538" t="n">
        <v>0</v>
      </c>
      <c r="P1538" t="n">
        <v>0</v>
      </c>
      <c r="Q1538" t="n">
        <v>0</v>
      </c>
      <c r="R1538" s="2" t="inlineStr"/>
    </row>
    <row r="1539" ht="15" customHeight="1">
      <c r="A1539" t="inlineStr">
        <is>
          <t>A 27791-2021</t>
        </is>
      </c>
      <c r="B1539" s="1" t="n">
        <v>44354</v>
      </c>
      <c r="C1539" s="1" t="n">
        <v>45224</v>
      </c>
      <c r="D1539" t="inlineStr">
        <is>
          <t>STOCKHOLMS LÄN</t>
        </is>
      </c>
      <c r="E1539" t="inlineStr">
        <is>
          <t>BOTKYRKA</t>
        </is>
      </c>
      <c r="G1539" t="n">
        <v>3.8</v>
      </c>
      <c r="H1539" t="n">
        <v>0</v>
      </c>
      <c r="I1539" t="n">
        <v>0</v>
      </c>
      <c r="J1539" t="n">
        <v>0</v>
      </c>
      <c r="K1539" t="n">
        <v>0</v>
      </c>
      <c r="L1539" t="n">
        <v>0</v>
      </c>
      <c r="M1539" t="n">
        <v>0</v>
      </c>
      <c r="N1539" t="n">
        <v>0</v>
      </c>
      <c r="O1539" t="n">
        <v>0</v>
      </c>
      <c r="P1539" t="n">
        <v>0</v>
      </c>
      <c r="Q1539" t="n">
        <v>0</v>
      </c>
      <c r="R1539" s="2" t="inlineStr"/>
    </row>
    <row r="1540" ht="15" customHeight="1">
      <c r="A1540" t="inlineStr">
        <is>
          <t>A 27706-2021</t>
        </is>
      </c>
      <c r="B1540" s="1" t="n">
        <v>44354</v>
      </c>
      <c r="C1540" s="1" t="n">
        <v>45224</v>
      </c>
      <c r="D1540" t="inlineStr">
        <is>
          <t>STOCKHOLMS LÄN</t>
        </is>
      </c>
      <c r="E1540" t="inlineStr">
        <is>
          <t>SÖDERTÄLJE</t>
        </is>
      </c>
      <c r="F1540" t="inlineStr">
        <is>
          <t>Sveaskog</t>
        </is>
      </c>
      <c r="G1540" t="n">
        <v>5</v>
      </c>
      <c r="H1540" t="n">
        <v>0</v>
      </c>
      <c r="I1540" t="n">
        <v>0</v>
      </c>
      <c r="J1540" t="n">
        <v>0</v>
      </c>
      <c r="K1540" t="n">
        <v>0</v>
      </c>
      <c r="L1540" t="n">
        <v>0</v>
      </c>
      <c r="M1540" t="n">
        <v>0</v>
      </c>
      <c r="N1540" t="n">
        <v>0</v>
      </c>
      <c r="O1540" t="n">
        <v>0</v>
      </c>
      <c r="P1540" t="n">
        <v>0</v>
      </c>
      <c r="Q1540" t="n">
        <v>0</v>
      </c>
      <c r="R1540" s="2" t="inlineStr"/>
    </row>
    <row r="1541" ht="15" customHeight="1">
      <c r="A1541" t="inlineStr">
        <is>
          <t>A 27740-2021</t>
        </is>
      </c>
      <c r="B1541" s="1" t="n">
        <v>44354</v>
      </c>
      <c r="C1541" s="1" t="n">
        <v>45224</v>
      </c>
      <c r="D1541" t="inlineStr">
        <is>
          <t>STOCKHOLMS LÄN</t>
        </is>
      </c>
      <c r="E1541" t="inlineStr">
        <is>
          <t>SÖDERTÄLJE</t>
        </is>
      </c>
      <c r="F1541" t="inlineStr">
        <is>
          <t>Sveaskog</t>
        </is>
      </c>
      <c r="G1541" t="n">
        <v>1.7</v>
      </c>
      <c r="H1541" t="n">
        <v>0</v>
      </c>
      <c r="I1541" t="n">
        <v>0</v>
      </c>
      <c r="J1541" t="n">
        <v>0</v>
      </c>
      <c r="K1541" t="n">
        <v>0</v>
      </c>
      <c r="L1541" t="n">
        <v>0</v>
      </c>
      <c r="M1541" t="n">
        <v>0</v>
      </c>
      <c r="N1541" t="n">
        <v>0</v>
      </c>
      <c r="O1541" t="n">
        <v>0</v>
      </c>
      <c r="P1541" t="n">
        <v>0</v>
      </c>
      <c r="Q1541" t="n">
        <v>0</v>
      </c>
      <c r="R1541" s="2" t="inlineStr"/>
    </row>
    <row r="1542" ht="15" customHeight="1">
      <c r="A1542" t="inlineStr">
        <is>
          <t>A 27753-2021</t>
        </is>
      </c>
      <c r="B1542" s="1" t="n">
        <v>44354</v>
      </c>
      <c r="C1542" s="1" t="n">
        <v>45224</v>
      </c>
      <c r="D1542" t="inlineStr">
        <is>
          <t>STOCKHOLMS LÄN</t>
        </is>
      </c>
      <c r="E1542" t="inlineStr">
        <is>
          <t>SÖDERTÄLJE</t>
        </is>
      </c>
      <c r="F1542" t="inlineStr">
        <is>
          <t>Sveaskog</t>
        </is>
      </c>
      <c r="G1542" t="n">
        <v>2</v>
      </c>
      <c r="H1542" t="n">
        <v>0</v>
      </c>
      <c r="I1542" t="n">
        <v>0</v>
      </c>
      <c r="J1542" t="n">
        <v>0</v>
      </c>
      <c r="K1542" t="n">
        <v>0</v>
      </c>
      <c r="L1542" t="n">
        <v>0</v>
      </c>
      <c r="M1542" t="n">
        <v>0</v>
      </c>
      <c r="N1542" t="n">
        <v>0</v>
      </c>
      <c r="O1542" t="n">
        <v>0</v>
      </c>
      <c r="P1542" t="n">
        <v>0</v>
      </c>
      <c r="Q1542" t="n">
        <v>0</v>
      </c>
      <c r="R1542" s="2" t="inlineStr"/>
    </row>
    <row r="1543" ht="15" customHeight="1">
      <c r="A1543" t="inlineStr">
        <is>
          <t>A 27805-2021</t>
        </is>
      </c>
      <c r="B1543" s="1" t="n">
        <v>44354</v>
      </c>
      <c r="C1543" s="1" t="n">
        <v>45224</v>
      </c>
      <c r="D1543" t="inlineStr">
        <is>
          <t>STOCKHOLMS LÄN</t>
        </is>
      </c>
      <c r="E1543" t="inlineStr">
        <is>
          <t>UPPLANDS-BRO</t>
        </is>
      </c>
      <c r="G1543" t="n">
        <v>0.5</v>
      </c>
      <c r="H1543" t="n">
        <v>0</v>
      </c>
      <c r="I1543" t="n">
        <v>0</v>
      </c>
      <c r="J1543" t="n">
        <v>0</v>
      </c>
      <c r="K1543" t="n">
        <v>0</v>
      </c>
      <c r="L1543" t="n">
        <v>0</v>
      </c>
      <c r="M1543" t="n">
        <v>0</v>
      </c>
      <c r="N1543" t="n">
        <v>0</v>
      </c>
      <c r="O1543" t="n">
        <v>0</v>
      </c>
      <c r="P1543" t="n">
        <v>0</v>
      </c>
      <c r="Q1543" t="n">
        <v>0</v>
      </c>
      <c r="R1543" s="2" t="inlineStr"/>
    </row>
    <row r="1544" ht="15" customHeight="1">
      <c r="A1544" t="inlineStr">
        <is>
          <t>A 28136-2021</t>
        </is>
      </c>
      <c r="B1544" s="1" t="n">
        <v>44355</v>
      </c>
      <c r="C1544" s="1" t="n">
        <v>45224</v>
      </c>
      <c r="D1544" t="inlineStr">
        <is>
          <t>STOCKHOLMS LÄN</t>
        </is>
      </c>
      <c r="E1544" t="inlineStr">
        <is>
          <t>SÖDERTÄLJE</t>
        </is>
      </c>
      <c r="F1544" t="inlineStr">
        <is>
          <t>Kommuner</t>
        </is>
      </c>
      <c r="G1544" t="n">
        <v>0.6</v>
      </c>
      <c r="H1544" t="n">
        <v>0</v>
      </c>
      <c r="I1544" t="n">
        <v>0</v>
      </c>
      <c r="J1544" t="n">
        <v>0</v>
      </c>
      <c r="K1544" t="n">
        <v>0</v>
      </c>
      <c r="L1544" t="n">
        <v>0</v>
      </c>
      <c r="M1544" t="n">
        <v>0</v>
      </c>
      <c r="N1544" t="n">
        <v>0</v>
      </c>
      <c r="O1544" t="n">
        <v>0</v>
      </c>
      <c r="P1544" t="n">
        <v>0</v>
      </c>
      <c r="Q1544" t="n">
        <v>0</v>
      </c>
      <c r="R1544" s="2" t="inlineStr"/>
    </row>
    <row r="1545" ht="15" customHeight="1">
      <c r="A1545" t="inlineStr">
        <is>
          <t>A 28843-2021</t>
        </is>
      </c>
      <c r="B1545" s="1" t="n">
        <v>44357</v>
      </c>
      <c r="C1545" s="1" t="n">
        <v>45224</v>
      </c>
      <c r="D1545" t="inlineStr">
        <is>
          <t>STOCKHOLMS LÄN</t>
        </is>
      </c>
      <c r="E1545" t="inlineStr">
        <is>
          <t>SALEM</t>
        </is>
      </c>
      <c r="G1545" t="n">
        <v>1.3</v>
      </c>
      <c r="H1545" t="n">
        <v>0</v>
      </c>
      <c r="I1545" t="n">
        <v>0</v>
      </c>
      <c r="J1545" t="n">
        <v>0</v>
      </c>
      <c r="K1545" t="n">
        <v>0</v>
      </c>
      <c r="L1545" t="n">
        <v>0</v>
      </c>
      <c r="M1545" t="n">
        <v>0</v>
      </c>
      <c r="N1545" t="n">
        <v>0</v>
      </c>
      <c r="O1545" t="n">
        <v>0</v>
      </c>
      <c r="P1545" t="n">
        <v>0</v>
      </c>
      <c r="Q1545" t="n">
        <v>0</v>
      </c>
      <c r="R1545" s="2" t="inlineStr"/>
    </row>
    <row r="1546" ht="15" customHeight="1">
      <c r="A1546" t="inlineStr">
        <is>
          <t>A 28838-2021</t>
        </is>
      </c>
      <c r="B1546" s="1" t="n">
        <v>44357</v>
      </c>
      <c r="C1546" s="1" t="n">
        <v>45224</v>
      </c>
      <c r="D1546" t="inlineStr">
        <is>
          <t>STOCKHOLMS LÄN</t>
        </is>
      </c>
      <c r="E1546" t="inlineStr">
        <is>
          <t>SALEM</t>
        </is>
      </c>
      <c r="G1546" t="n">
        <v>6.4</v>
      </c>
      <c r="H1546" t="n">
        <v>0</v>
      </c>
      <c r="I1546" t="n">
        <v>0</v>
      </c>
      <c r="J1546" t="n">
        <v>0</v>
      </c>
      <c r="K1546" t="n">
        <v>0</v>
      </c>
      <c r="L1546" t="n">
        <v>0</v>
      </c>
      <c r="M1546" t="n">
        <v>0</v>
      </c>
      <c r="N1546" t="n">
        <v>0</v>
      </c>
      <c r="O1546" t="n">
        <v>0</v>
      </c>
      <c r="P1546" t="n">
        <v>0</v>
      </c>
      <c r="Q1546" t="n">
        <v>0</v>
      </c>
      <c r="R1546" s="2" t="inlineStr"/>
    </row>
    <row r="1547" ht="15" customHeight="1">
      <c r="A1547" t="inlineStr">
        <is>
          <t>A 29357-2021</t>
        </is>
      </c>
      <c r="B1547" s="1" t="n">
        <v>44361</v>
      </c>
      <c r="C1547" s="1" t="n">
        <v>45224</v>
      </c>
      <c r="D1547" t="inlineStr">
        <is>
          <t>STOCKHOLMS LÄN</t>
        </is>
      </c>
      <c r="E1547" t="inlineStr">
        <is>
          <t>NORRTÄLJE</t>
        </is>
      </c>
      <c r="F1547" t="inlineStr">
        <is>
          <t>Holmen skog AB</t>
        </is>
      </c>
      <c r="G1547" t="n">
        <v>1.8</v>
      </c>
      <c r="H1547" t="n">
        <v>0</v>
      </c>
      <c r="I1547" t="n">
        <v>0</v>
      </c>
      <c r="J1547" t="n">
        <v>0</v>
      </c>
      <c r="K1547" t="n">
        <v>0</v>
      </c>
      <c r="L1547" t="n">
        <v>0</v>
      </c>
      <c r="M1547" t="n">
        <v>0</v>
      </c>
      <c r="N1547" t="n">
        <v>0</v>
      </c>
      <c r="O1547" t="n">
        <v>0</v>
      </c>
      <c r="P1547" t="n">
        <v>0</v>
      </c>
      <c r="Q1547" t="n">
        <v>0</v>
      </c>
      <c r="R1547" s="2" t="inlineStr"/>
    </row>
    <row r="1548" ht="15" customHeight="1">
      <c r="A1548" t="inlineStr">
        <is>
          <t>A 29533-2021</t>
        </is>
      </c>
      <c r="B1548" s="1" t="n">
        <v>44361</v>
      </c>
      <c r="C1548" s="1" t="n">
        <v>45224</v>
      </c>
      <c r="D1548" t="inlineStr">
        <is>
          <t>STOCKHOLMS LÄN</t>
        </is>
      </c>
      <c r="E1548" t="inlineStr">
        <is>
          <t>EKERÖ</t>
        </is>
      </c>
      <c r="G1548" t="n">
        <v>2.7</v>
      </c>
      <c r="H1548" t="n">
        <v>0</v>
      </c>
      <c r="I1548" t="n">
        <v>0</v>
      </c>
      <c r="J1548" t="n">
        <v>0</v>
      </c>
      <c r="K1548" t="n">
        <v>0</v>
      </c>
      <c r="L1548" t="n">
        <v>0</v>
      </c>
      <c r="M1548" t="n">
        <v>0</v>
      </c>
      <c r="N1548" t="n">
        <v>0</v>
      </c>
      <c r="O1548" t="n">
        <v>0</v>
      </c>
      <c r="P1548" t="n">
        <v>0</v>
      </c>
      <c r="Q1548" t="n">
        <v>0</v>
      </c>
      <c r="R1548" s="2" t="inlineStr"/>
    </row>
    <row r="1549" ht="15" customHeight="1">
      <c r="A1549" t="inlineStr">
        <is>
          <t>A 30138-2021</t>
        </is>
      </c>
      <c r="B1549" s="1" t="n">
        <v>44363</v>
      </c>
      <c r="C1549" s="1" t="n">
        <v>45224</v>
      </c>
      <c r="D1549" t="inlineStr">
        <is>
          <t>STOCKHOLMS LÄN</t>
        </is>
      </c>
      <c r="E1549" t="inlineStr">
        <is>
          <t>NORRTÄLJE</t>
        </is>
      </c>
      <c r="G1549" t="n">
        <v>4.5</v>
      </c>
      <c r="H1549" t="n">
        <v>0</v>
      </c>
      <c r="I1549" t="n">
        <v>0</v>
      </c>
      <c r="J1549" t="n">
        <v>0</v>
      </c>
      <c r="K1549" t="n">
        <v>0</v>
      </c>
      <c r="L1549" t="n">
        <v>0</v>
      </c>
      <c r="M1549" t="n">
        <v>0</v>
      </c>
      <c r="N1549" t="n">
        <v>0</v>
      </c>
      <c r="O1549" t="n">
        <v>0</v>
      </c>
      <c r="P1549" t="n">
        <v>0</v>
      </c>
      <c r="Q1549" t="n">
        <v>0</v>
      </c>
      <c r="R1549" s="2" t="inlineStr"/>
    </row>
    <row r="1550" ht="15" customHeight="1">
      <c r="A1550" t="inlineStr">
        <is>
          <t>A 30913-2021</t>
        </is>
      </c>
      <c r="B1550" s="1" t="n">
        <v>44365</v>
      </c>
      <c r="C1550" s="1" t="n">
        <v>45224</v>
      </c>
      <c r="D1550" t="inlineStr">
        <is>
          <t>STOCKHOLMS LÄN</t>
        </is>
      </c>
      <c r="E1550" t="inlineStr">
        <is>
          <t>VALLENTUNA</t>
        </is>
      </c>
      <c r="F1550" t="inlineStr">
        <is>
          <t>Övriga Aktiebolag</t>
        </is>
      </c>
      <c r="G1550" t="n">
        <v>3.3</v>
      </c>
      <c r="H1550" t="n">
        <v>0</v>
      </c>
      <c r="I1550" t="n">
        <v>0</v>
      </c>
      <c r="J1550" t="n">
        <v>0</v>
      </c>
      <c r="K1550" t="n">
        <v>0</v>
      </c>
      <c r="L1550" t="n">
        <v>0</v>
      </c>
      <c r="M1550" t="n">
        <v>0</v>
      </c>
      <c r="N1550" t="n">
        <v>0</v>
      </c>
      <c r="O1550" t="n">
        <v>0</v>
      </c>
      <c r="P1550" t="n">
        <v>0</v>
      </c>
      <c r="Q1550" t="n">
        <v>0</v>
      </c>
      <c r="R1550" s="2" t="inlineStr"/>
    </row>
    <row r="1551" ht="15" customHeight="1">
      <c r="A1551" t="inlineStr">
        <is>
          <t>A 31075-2021</t>
        </is>
      </c>
      <c r="B1551" s="1" t="n">
        <v>44368</v>
      </c>
      <c r="C1551" s="1" t="n">
        <v>45224</v>
      </c>
      <c r="D1551" t="inlineStr">
        <is>
          <t>STOCKHOLMS LÄN</t>
        </is>
      </c>
      <c r="E1551" t="inlineStr">
        <is>
          <t>ÖSTERÅKER</t>
        </is>
      </c>
      <c r="F1551" t="inlineStr">
        <is>
          <t>Övriga Aktiebolag</t>
        </is>
      </c>
      <c r="G1551" t="n">
        <v>2.9</v>
      </c>
      <c r="H1551" t="n">
        <v>0</v>
      </c>
      <c r="I1551" t="n">
        <v>0</v>
      </c>
      <c r="J1551" t="n">
        <v>0</v>
      </c>
      <c r="K1551" t="n">
        <v>0</v>
      </c>
      <c r="L1551" t="n">
        <v>0</v>
      </c>
      <c r="M1551" t="n">
        <v>0</v>
      </c>
      <c r="N1551" t="n">
        <v>0</v>
      </c>
      <c r="O1551" t="n">
        <v>0</v>
      </c>
      <c r="P1551" t="n">
        <v>0</v>
      </c>
      <c r="Q1551" t="n">
        <v>0</v>
      </c>
      <c r="R1551" s="2" t="inlineStr"/>
    </row>
    <row r="1552" ht="15" customHeight="1">
      <c r="A1552" t="inlineStr">
        <is>
          <t>A 31370-2021</t>
        </is>
      </c>
      <c r="B1552" s="1" t="n">
        <v>44368</v>
      </c>
      <c r="C1552" s="1" t="n">
        <v>45224</v>
      </c>
      <c r="D1552" t="inlineStr">
        <is>
          <t>STOCKHOLMS LÄN</t>
        </is>
      </c>
      <c r="E1552" t="inlineStr">
        <is>
          <t>UPPLANDS-BRO</t>
        </is>
      </c>
      <c r="G1552" t="n">
        <v>4.8</v>
      </c>
      <c r="H1552" t="n">
        <v>0</v>
      </c>
      <c r="I1552" t="n">
        <v>0</v>
      </c>
      <c r="J1552" t="n">
        <v>0</v>
      </c>
      <c r="K1552" t="n">
        <v>0</v>
      </c>
      <c r="L1552" t="n">
        <v>0</v>
      </c>
      <c r="M1552" t="n">
        <v>0</v>
      </c>
      <c r="N1552" t="n">
        <v>0</v>
      </c>
      <c r="O1552" t="n">
        <v>0</v>
      </c>
      <c r="P1552" t="n">
        <v>0</v>
      </c>
      <c r="Q1552" t="n">
        <v>0</v>
      </c>
      <c r="R1552" s="2" t="inlineStr"/>
    </row>
    <row r="1553" ht="15" customHeight="1">
      <c r="A1553" t="inlineStr">
        <is>
          <t>A 31688-2021</t>
        </is>
      </c>
      <c r="B1553" s="1" t="n">
        <v>44369</v>
      </c>
      <c r="C1553" s="1" t="n">
        <v>45224</v>
      </c>
      <c r="D1553" t="inlineStr">
        <is>
          <t>STOCKHOLMS LÄN</t>
        </is>
      </c>
      <c r="E1553" t="inlineStr">
        <is>
          <t>NORRTÄLJE</t>
        </is>
      </c>
      <c r="G1553" t="n">
        <v>2.9</v>
      </c>
      <c r="H1553" t="n">
        <v>0</v>
      </c>
      <c r="I1553" t="n">
        <v>0</v>
      </c>
      <c r="J1553" t="n">
        <v>0</v>
      </c>
      <c r="K1553" t="n">
        <v>0</v>
      </c>
      <c r="L1553" t="n">
        <v>0</v>
      </c>
      <c r="M1553" t="n">
        <v>0</v>
      </c>
      <c r="N1553" t="n">
        <v>0</v>
      </c>
      <c r="O1553" t="n">
        <v>0</v>
      </c>
      <c r="P1553" t="n">
        <v>0</v>
      </c>
      <c r="Q1553" t="n">
        <v>0</v>
      </c>
      <c r="R1553" s="2" t="inlineStr"/>
    </row>
    <row r="1554" ht="15" customHeight="1">
      <c r="A1554" t="inlineStr">
        <is>
          <t>A 31780-2021</t>
        </is>
      </c>
      <c r="B1554" s="1" t="n">
        <v>44369</v>
      </c>
      <c r="C1554" s="1" t="n">
        <v>45224</v>
      </c>
      <c r="D1554" t="inlineStr">
        <is>
          <t>STOCKHOLMS LÄN</t>
        </is>
      </c>
      <c r="E1554" t="inlineStr">
        <is>
          <t>HANINGE</t>
        </is>
      </c>
      <c r="G1554" t="n">
        <v>11.5</v>
      </c>
      <c r="H1554" t="n">
        <v>0</v>
      </c>
      <c r="I1554" t="n">
        <v>0</v>
      </c>
      <c r="J1554" t="n">
        <v>0</v>
      </c>
      <c r="K1554" t="n">
        <v>0</v>
      </c>
      <c r="L1554" t="n">
        <v>0</v>
      </c>
      <c r="M1554" t="n">
        <v>0</v>
      </c>
      <c r="N1554" t="n">
        <v>0</v>
      </c>
      <c r="O1554" t="n">
        <v>0</v>
      </c>
      <c r="P1554" t="n">
        <v>0</v>
      </c>
      <c r="Q1554" t="n">
        <v>0</v>
      </c>
      <c r="R1554" s="2" t="inlineStr"/>
    </row>
    <row r="1555" ht="15" customHeight="1">
      <c r="A1555" t="inlineStr">
        <is>
          <t>A 32002-2021</t>
        </is>
      </c>
      <c r="B1555" s="1" t="n">
        <v>44370</v>
      </c>
      <c r="C1555" s="1" t="n">
        <v>45224</v>
      </c>
      <c r="D1555" t="inlineStr">
        <is>
          <t>STOCKHOLMS LÄN</t>
        </is>
      </c>
      <c r="E1555" t="inlineStr">
        <is>
          <t>NORRTÄLJE</t>
        </is>
      </c>
      <c r="F1555" t="inlineStr">
        <is>
          <t>Övriga Aktiebolag</t>
        </is>
      </c>
      <c r="G1555" t="n">
        <v>4</v>
      </c>
      <c r="H1555" t="n">
        <v>0</v>
      </c>
      <c r="I1555" t="n">
        <v>0</v>
      </c>
      <c r="J1555" t="n">
        <v>0</v>
      </c>
      <c r="K1555" t="n">
        <v>0</v>
      </c>
      <c r="L1555" t="n">
        <v>0</v>
      </c>
      <c r="M1555" t="n">
        <v>0</v>
      </c>
      <c r="N1555" t="n">
        <v>0</v>
      </c>
      <c r="O1555" t="n">
        <v>0</v>
      </c>
      <c r="P1555" t="n">
        <v>0</v>
      </c>
      <c r="Q1555" t="n">
        <v>0</v>
      </c>
      <c r="R1555" s="2" t="inlineStr"/>
    </row>
    <row r="1556" ht="15" customHeight="1">
      <c r="A1556" t="inlineStr">
        <is>
          <t>A 32857-2021</t>
        </is>
      </c>
      <c r="B1556" s="1" t="n">
        <v>44375</v>
      </c>
      <c r="C1556" s="1" t="n">
        <v>45224</v>
      </c>
      <c r="D1556" t="inlineStr">
        <is>
          <t>STOCKHOLMS LÄN</t>
        </is>
      </c>
      <c r="E1556" t="inlineStr">
        <is>
          <t>NORRTÄLJE</t>
        </is>
      </c>
      <c r="G1556" t="n">
        <v>2.9</v>
      </c>
      <c r="H1556" t="n">
        <v>0</v>
      </c>
      <c r="I1556" t="n">
        <v>0</v>
      </c>
      <c r="J1556" t="n">
        <v>0</v>
      </c>
      <c r="K1556" t="n">
        <v>0</v>
      </c>
      <c r="L1556" t="n">
        <v>0</v>
      </c>
      <c r="M1556" t="n">
        <v>0</v>
      </c>
      <c r="N1556" t="n">
        <v>0</v>
      </c>
      <c r="O1556" t="n">
        <v>0</v>
      </c>
      <c r="P1556" t="n">
        <v>0</v>
      </c>
      <c r="Q1556" t="n">
        <v>0</v>
      </c>
      <c r="R1556" s="2" t="inlineStr"/>
    </row>
    <row r="1557" ht="15" customHeight="1">
      <c r="A1557" t="inlineStr">
        <is>
          <t>A 32561-2021</t>
        </is>
      </c>
      <c r="B1557" s="1" t="n">
        <v>44375</v>
      </c>
      <c r="C1557" s="1" t="n">
        <v>45224</v>
      </c>
      <c r="D1557" t="inlineStr">
        <is>
          <t>STOCKHOLMS LÄN</t>
        </is>
      </c>
      <c r="E1557" t="inlineStr">
        <is>
          <t>NORRTÄLJE</t>
        </is>
      </c>
      <c r="G1557" t="n">
        <v>3.4</v>
      </c>
      <c r="H1557" t="n">
        <v>0</v>
      </c>
      <c r="I1557" t="n">
        <v>0</v>
      </c>
      <c r="J1557" t="n">
        <v>0</v>
      </c>
      <c r="K1557" t="n">
        <v>0</v>
      </c>
      <c r="L1557" t="n">
        <v>0</v>
      </c>
      <c r="M1557" t="n">
        <v>0</v>
      </c>
      <c r="N1557" t="n">
        <v>0</v>
      </c>
      <c r="O1557" t="n">
        <v>0</v>
      </c>
      <c r="P1557" t="n">
        <v>0</v>
      </c>
      <c r="Q1557" t="n">
        <v>0</v>
      </c>
      <c r="R1557" s="2" t="inlineStr"/>
    </row>
    <row r="1558" ht="15" customHeight="1">
      <c r="A1558" t="inlineStr">
        <is>
          <t>A 33046-2021</t>
        </is>
      </c>
      <c r="B1558" s="1" t="n">
        <v>44376</v>
      </c>
      <c r="C1558" s="1" t="n">
        <v>45224</v>
      </c>
      <c r="D1558" t="inlineStr">
        <is>
          <t>STOCKHOLMS LÄN</t>
        </is>
      </c>
      <c r="E1558" t="inlineStr">
        <is>
          <t>NORRTÄLJE</t>
        </is>
      </c>
      <c r="G1558" t="n">
        <v>2.1</v>
      </c>
      <c r="H1558" t="n">
        <v>0</v>
      </c>
      <c r="I1558" t="n">
        <v>0</v>
      </c>
      <c r="J1558" t="n">
        <v>0</v>
      </c>
      <c r="K1558" t="n">
        <v>0</v>
      </c>
      <c r="L1558" t="n">
        <v>0</v>
      </c>
      <c r="M1558" t="n">
        <v>0</v>
      </c>
      <c r="N1558" t="n">
        <v>0</v>
      </c>
      <c r="O1558" t="n">
        <v>0</v>
      </c>
      <c r="P1558" t="n">
        <v>0</v>
      </c>
      <c r="Q1558" t="n">
        <v>0</v>
      </c>
      <c r="R1558" s="2" t="inlineStr"/>
    </row>
    <row r="1559" ht="15" customHeight="1">
      <c r="A1559" t="inlineStr">
        <is>
          <t>A 33015-2021</t>
        </is>
      </c>
      <c r="B1559" s="1" t="n">
        <v>44376</v>
      </c>
      <c r="C1559" s="1" t="n">
        <v>45224</v>
      </c>
      <c r="D1559" t="inlineStr">
        <is>
          <t>STOCKHOLMS LÄN</t>
        </is>
      </c>
      <c r="E1559" t="inlineStr">
        <is>
          <t>BOTKYRKA</t>
        </is>
      </c>
      <c r="G1559" t="n">
        <v>48.7</v>
      </c>
      <c r="H1559" t="n">
        <v>0</v>
      </c>
      <c r="I1559" t="n">
        <v>0</v>
      </c>
      <c r="J1559" t="n">
        <v>0</v>
      </c>
      <c r="K1559" t="n">
        <v>0</v>
      </c>
      <c r="L1559" t="n">
        <v>0</v>
      </c>
      <c r="M1559" t="n">
        <v>0</v>
      </c>
      <c r="N1559" t="n">
        <v>0</v>
      </c>
      <c r="O1559" t="n">
        <v>0</v>
      </c>
      <c r="P1559" t="n">
        <v>0</v>
      </c>
      <c r="Q1559" t="n">
        <v>0</v>
      </c>
      <c r="R1559" s="2" t="inlineStr"/>
    </row>
    <row r="1560" ht="15" customHeight="1">
      <c r="A1560" t="inlineStr">
        <is>
          <t>A 33053-2021</t>
        </is>
      </c>
      <c r="B1560" s="1" t="n">
        <v>44376</v>
      </c>
      <c r="C1560" s="1" t="n">
        <v>45224</v>
      </c>
      <c r="D1560" t="inlineStr">
        <is>
          <t>STOCKHOLMS LÄN</t>
        </is>
      </c>
      <c r="E1560" t="inlineStr">
        <is>
          <t>NORRTÄLJE</t>
        </is>
      </c>
      <c r="G1560" t="n">
        <v>0.9</v>
      </c>
      <c r="H1560" t="n">
        <v>0</v>
      </c>
      <c r="I1560" t="n">
        <v>0</v>
      </c>
      <c r="J1560" t="n">
        <v>0</v>
      </c>
      <c r="K1560" t="n">
        <v>0</v>
      </c>
      <c r="L1560" t="n">
        <v>0</v>
      </c>
      <c r="M1560" t="n">
        <v>0</v>
      </c>
      <c r="N1560" t="n">
        <v>0</v>
      </c>
      <c r="O1560" t="n">
        <v>0</v>
      </c>
      <c r="P1560" t="n">
        <v>0</v>
      </c>
      <c r="Q1560" t="n">
        <v>0</v>
      </c>
      <c r="R1560" s="2" t="inlineStr"/>
    </row>
    <row r="1561" ht="15" customHeight="1">
      <c r="A1561" t="inlineStr">
        <is>
          <t>A 33016-2021</t>
        </is>
      </c>
      <c r="B1561" s="1" t="n">
        <v>44376</v>
      </c>
      <c r="C1561" s="1" t="n">
        <v>45224</v>
      </c>
      <c r="D1561" t="inlineStr">
        <is>
          <t>STOCKHOLMS LÄN</t>
        </is>
      </c>
      <c r="E1561" t="inlineStr">
        <is>
          <t>BOTKYRKA</t>
        </is>
      </c>
      <c r="G1561" t="n">
        <v>3.8</v>
      </c>
      <c r="H1561" t="n">
        <v>0</v>
      </c>
      <c r="I1561" t="n">
        <v>0</v>
      </c>
      <c r="J1561" t="n">
        <v>0</v>
      </c>
      <c r="K1561" t="n">
        <v>0</v>
      </c>
      <c r="L1561" t="n">
        <v>0</v>
      </c>
      <c r="M1561" t="n">
        <v>0</v>
      </c>
      <c r="N1561" t="n">
        <v>0</v>
      </c>
      <c r="O1561" t="n">
        <v>0</v>
      </c>
      <c r="P1561" t="n">
        <v>0</v>
      </c>
      <c r="Q1561" t="n">
        <v>0</v>
      </c>
      <c r="R1561" s="2" t="inlineStr"/>
    </row>
    <row r="1562" ht="15" customHeight="1">
      <c r="A1562" t="inlineStr">
        <is>
          <t>A 33246-2021</t>
        </is>
      </c>
      <c r="B1562" s="1" t="n">
        <v>44377</v>
      </c>
      <c r="C1562" s="1" t="n">
        <v>45224</v>
      </c>
      <c r="D1562" t="inlineStr">
        <is>
          <t>STOCKHOLMS LÄN</t>
        </is>
      </c>
      <c r="E1562" t="inlineStr">
        <is>
          <t>SALEM</t>
        </is>
      </c>
      <c r="G1562" t="n">
        <v>3.4</v>
      </c>
      <c r="H1562" t="n">
        <v>0</v>
      </c>
      <c r="I1562" t="n">
        <v>0</v>
      </c>
      <c r="J1562" t="n">
        <v>0</v>
      </c>
      <c r="K1562" t="n">
        <v>0</v>
      </c>
      <c r="L1562" t="n">
        <v>0</v>
      </c>
      <c r="M1562" t="n">
        <v>0</v>
      </c>
      <c r="N1562" t="n">
        <v>0</v>
      </c>
      <c r="O1562" t="n">
        <v>0</v>
      </c>
      <c r="P1562" t="n">
        <v>0</v>
      </c>
      <c r="Q1562" t="n">
        <v>0</v>
      </c>
      <c r="R1562" s="2" t="inlineStr"/>
    </row>
    <row r="1563" ht="15" customHeight="1">
      <c r="A1563" t="inlineStr">
        <is>
          <t>A 33729-2021</t>
        </is>
      </c>
      <c r="B1563" s="1" t="n">
        <v>44378</v>
      </c>
      <c r="C1563" s="1" t="n">
        <v>45224</v>
      </c>
      <c r="D1563" t="inlineStr">
        <is>
          <t>STOCKHOLMS LÄN</t>
        </is>
      </c>
      <c r="E1563" t="inlineStr">
        <is>
          <t>SALEM</t>
        </is>
      </c>
      <c r="G1563" t="n">
        <v>0.8</v>
      </c>
      <c r="H1563" t="n">
        <v>0</v>
      </c>
      <c r="I1563" t="n">
        <v>0</v>
      </c>
      <c r="J1563" t="n">
        <v>0</v>
      </c>
      <c r="K1563" t="n">
        <v>0</v>
      </c>
      <c r="L1563" t="n">
        <v>0</v>
      </c>
      <c r="M1563" t="n">
        <v>0</v>
      </c>
      <c r="N1563" t="n">
        <v>0</v>
      </c>
      <c r="O1563" t="n">
        <v>0</v>
      </c>
      <c r="P1563" t="n">
        <v>0</v>
      </c>
      <c r="Q1563" t="n">
        <v>0</v>
      </c>
      <c r="R1563" s="2" t="inlineStr"/>
    </row>
    <row r="1564" ht="15" customHeight="1">
      <c r="A1564" t="inlineStr">
        <is>
          <t>A 34520-2021</t>
        </is>
      </c>
      <c r="B1564" s="1" t="n">
        <v>44379</v>
      </c>
      <c r="C1564" s="1" t="n">
        <v>45224</v>
      </c>
      <c r="D1564" t="inlineStr">
        <is>
          <t>STOCKHOLMS LÄN</t>
        </is>
      </c>
      <c r="E1564" t="inlineStr">
        <is>
          <t>NORRTÄLJE</t>
        </is>
      </c>
      <c r="G1564" t="n">
        <v>1.7</v>
      </c>
      <c r="H1564" t="n">
        <v>0</v>
      </c>
      <c r="I1564" t="n">
        <v>0</v>
      </c>
      <c r="J1564" t="n">
        <v>0</v>
      </c>
      <c r="K1564" t="n">
        <v>0</v>
      </c>
      <c r="L1564" t="n">
        <v>0</v>
      </c>
      <c r="M1564" t="n">
        <v>0</v>
      </c>
      <c r="N1564" t="n">
        <v>0</v>
      </c>
      <c r="O1564" t="n">
        <v>0</v>
      </c>
      <c r="P1564" t="n">
        <v>0</v>
      </c>
      <c r="Q1564" t="n">
        <v>0</v>
      </c>
      <c r="R1564" s="2" t="inlineStr"/>
    </row>
    <row r="1565" ht="15" customHeight="1">
      <c r="A1565" t="inlineStr">
        <is>
          <t>A 34436-2021</t>
        </is>
      </c>
      <c r="B1565" s="1" t="n">
        <v>44380</v>
      </c>
      <c r="C1565" s="1" t="n">
        <v>45224</v>
      </c>
      <c r="D1565" t="inlineStr">
        <is>
          <t>STOCKHOLMS LÄN</t>
        </is>
      </c>
      <c r="E1565" t="inlineStr">
        <is>
          <t>NORRTÄLJE</t>
        </is>
      </c>
      <c r="G1565" t="n">
        <v>0.9</v>
      </c>
      <c r="H1565" t="n">
        <v>0</v>
      </c>
      <c r="I1565" t="n">
        <v>0</v>
      </c>
      <c r="J1565" t="n">
        <v>0</v>
      </c>
      <c r="K1565" t="n">
        <v>0</v>
      </c>
      <c r="L1565" t="n">
        <v>0</v>
      </c>
      <c r="M1565" t="n">
        <v>0</v>
      </c>
      <c r="N1565" t="n">
        <v>0</v>
      </c>
      <c r="O1565" t="n">
        <v>0</v>
      </c>
      <c r="P1565" t="n">
        <v>0</v>
      </c>
      <c r="Q1565" t="n">
        <v>0</v>
      </c>
      <c r="R1565" s="2" t="inlineStr"/>
    </row>
    <row r="1566" ht="15" customHeight="1">
      <c r="A1566" t="inlineStr">
        <is>
          <t>A 34431-2021</t>
        </is>
      </c>
      <c r="B1566" s="1" t="n">
        <v>44380</v>
      </c>
      <c r="C1566" s="1" t="n">
        <v>45224</v>
      </c>
      <c r="D1566" t="inlineStr">
        <is>
          <t>STOCKHOLMS LÄN</t>
        </is>
      </c>
      <c r="E1566" t="inlineStr">
        <is>
          <t>NORRTÄLJE</t>
        </is>
      </c>
      <c r="G1566" t="n">
        <v>3</v>
      </c>
      <c r="H1566" t="n">
        <v>0</v>
      </c>
      <c r="I1566" t="n">
        <v>0</v>
      </c>
      <c r="J1566" t="n">
        <v>0</v>
      </c>
      <c r="K1566" t="n">
        <v>0</v>
      </c>
      <c r="L1566" t="n">
        <v>0</v>
      </c>
      <c r="M1566" t="n">
        <v>0</v>
      </c>
      <c r="N1566" t="n">
        <v>0</v>
      </c>
      <c r="O1566" t="n">
        <v>0</v>
      </c>
      <c r="P1566" t="n">
        <v>0</v>
      </c>
      <c r="Q1566" t="n">
        <v>0</v>
      </c>
      <c r="R1566" s="2" t="inlineStr"/>
    </row>
    <row r="1567" ht="15" customHeight="1">
      <c r="A1567" t="inlineStr">
        <is>
          <t>A 34452-2021</t>
        </is>
      </c>
      <c r="B1567" s="1" t="n">
        <v>44381</v>
      </c>
      <c r="C1567" s="1" t="n">
        <v>45224</v>
      </c>
      <c r="D1567" t="inlineStr">
        <is>
          <t>STOCKHOLMS LÄN</t>
        </is>
      </c>
      <c r="E1567" t="inlineStr">
        <is>
          <t>VALLENTUNA</t>
        </is>
      </c>
      <c r="G1567" t="n">
        <v>14.7</v>
      </c>
      <c r="H1567" t="n">
        <v>0</v>
      </c>
      <c r="I1567" t="n">
        <v>0</v>
      </c>
      <c r="J1567" t="n">
        <v>0</v>
      </c>
      <c r="K1567" t="n">
        <v>0</v>
      </c>
      <c r="L1567" t="n">
        <v>0</v>
      </c>
      <c r="M1567" t="n">
        <v>0</v>
      </c>
      <c r="N1567" t="n">
        <v>0</v>
      </c>
      <c r="O1567" t="n">
        <v>0</v>
      </c>
      <c r="P1567" t="n">
        <v>0</v>
      </c>
      <c r="Q1567" t="n">
        <v>0</v>
      </c>
      <c r="R1567" s="2" t="inlineStr"/>
    </row>
    <row r="1568" ht="15" customHeight="1">
      <c r="A1568" t="inlineStr">
        <is>
          <t>A 34450-2021</t>
        </is>
      </c>
      <c r="B1568" s="1" t="n">
        <v>44381</v>
      </c>
      <c r="C1568" s="1" t="n">
        <v>45224</v>
      </c>
      <c r="D1568" t="inlineStr">
        <is>
          <t>STOCKHOLMS LÄN</t>
        </is>
      </c>
      <c r="E1568" t="inlineStr">
        <is>
          <t>SÖDERTÄLJE</t>
        </is>
      </c>
      <c r="G1568" t="n">
        <v>2.3</v>
      </c>
      <c r="H1568" t="n">
        <v>0</v>
      </c>
      <c r="I1568" t="n">
        <v>0</v>
      </c>
      <c r="J1568" t="n">
        <v>0</v>
      </c>
      <c r="K1568" t="n">
        <v>0</v>
      </c>
      <c r="L1568" t="n">
        <v>0</v>
      </c>
      <c r="M1568" t="n">
        <v>0</v>
      </c>
      <c r="N1568" t="n">
        <v>0</v>
      </c>
      <c r="O1568" t="n">
        <v>0</v>
      </c>
      <c r="P1568" t="n">
        <v>0</v>
      </c>
      <c r="Q1568" t="n">
        <v>0</v>
      </c>
      <c r="R1568" s="2" t="inlineStr"/>
    </row>
    <row r="1569" ht="15" customHeight="1">
      <c r="A1569" t="inlineStr">
        <is>
          <t>A 34731-2021</t>
        </is>
      </c>
      <c r="B1569" s="1" t="n">
        <v>44382</v>
      </c>
      <c r="C1569" s="1" t="n">
        <v>45224</v>
      </c>
      <c r="D1569" t="inlineStr">
        <is>
          <t>STOCKHOLMS LÄN</t>
        </is>
      </c>
      <c r="E1569" t="inlineStr">
        <is>
          <t>NORRTÄLJE</t>
        </is>
      </c>
      <c r="G1569" t="n">
        <v>0.2</v>
      </c>
      <c r="H1569" t="n">
        <v>0</v>
      </c>
      <c r="I1569" t="n">
        <v>0</v>
      </c>
      <c r="J1569" t="n">
        <v>0</v>
      </c>
      <c r="K1569" t="n">
        <v>0</v>
      </c>
      <c r="L1569" t="n">
        <v>0</v>
      </c>
      <c r="M1569" t="n">
        <v>0</v>
      </c>
      <c r="N1569" t="n">
        <v>0</v>
      </c>
      <c r="O1569" t="n">
        <v>0</v>
      </c>
      <c r="P1569" t="n">
        <v>0</v>
      </c>
      <c r="Q1569" t="n">
        <v>0</v>
      </c>
      <c r="R1569" s="2" t="inlineStr"/>
    </row>
    <row r="1570" ht="15" customHeight="1">
      <c r="A1570" t="inlineStr">
        <is>
          <t>A 35953-2021</t>
        </is>
      </c>
      <c r="B1570" s="1" t="n">
        <v>44385</v>
      </c>
      <c r="C1570" s="1" t="n">
        <v>45224</v>
      </c>
      <c r="D1570" t="inlineStr">
        <is>
          <t>STOCKHOLMS LÄN</t>
        </is>
      </c>
      <c r="E1570" t="inlineStr">
        <is>
          <t>SIGTUNA</t>
        </is>
      </c>
      <c r="G1570" t="n">
        <v>2</v>
      </c>
      <c r="H1570" t="n">
        <v>0</v>
      </c>
      <c r="I1570" t="n">
        <v>0</v>
      </c>
      <c r="J1570" t="n">
        <v>0</v>
      </c>
      <c r="K1570" t="n">
        <v>0</v>
      </c>
      <c r="L1570" t="n">
        <v>0</v>
      </c>
      <c r="M1570" t="n">
        <v>0</v>
      </c>
      <c r="N1570" t="n">
        <v>0</v>
      </c>
      <c r="O1570" t="n">
        <v>0</v>
      </c>
      <c r="P1570" t="n">
        <v>0</v>
      </c>
      <c r="Q1570" t="n">
        <v>0</v>
      </c>
      <c r="R1570" s="2" t="inlineStr"/>
    </row>
    <row r="1571" ht="15" customHeight="1">
      <c r="A1571" t="inlineStr">
        <is>
          <t>A 35492-2021</t>
        </is>
      </c>
      <c r="B1571" s="1" t="n">
        <v>44385</v>
      </c>
      <c r="C1571" s="1" t="n">
        <v>45224</v>
      </c>
      <c r="D1571" t="inlineStr">
        <is>
          <t>STOCKHOLMS LÄN</t>
        </is>
      </c>
      <c r="E1571" t="inlineStr">
        <is>
          <t>BOTKYRKA</t>
        </is>
      </c>
      <c r="G1571" t="n">
        <v>2.9</v>
      </c>
      <c r="H1571" t="n">
        <v>0</v>
      </c>
      <c r="I1571" t="n">
        <v>0</v>
      </c>
      <c r="J1571" t="n">
        <v>0</v>
      </c>
      <c r="K1571" t="n">
        <v>0</v>
      </c>
      <c r="L1571" t="n">
        <v>0</v>
      </c>
      <c r="M1571" t="n">
        <v>0</v>
      </c>
      <c r="N1571" t="n">
        <v>0</v>
      </c>
      <c r="O1571" t="n">
        <v>0</v>
      </c>
      <c r="P1571" t="n">
        <v>0</v>
      </c>
      <c r="Q1571" t="n">
        <v>0</v>
      </c>
      <c r="R1571" s="2" t="inlineStr"/>
    </row>
    <row r="1572" ht="15" customHeight="1">
      <c r="A1572" t="inlineStr">
        <is>
          <t>A 36097-2021</t>
        </is>
      </c>
      <c r="B1572" s="1" t="n">
        <v>44389</v>
      </c>
      <c r="C1572" s="1" t="n">
        <v>45224</v>
      </c>
      <c r="D1572" t="inlineStr">
        <is>
          <t>STOCKHOLMS LÄN</t>
        </is>
      </c>
      <c r="E1572" t="inlineStr">
        <is>
          <t>BOTKYRKA</t>
        </is>
      </c>
      <c r="F1572" t="inlineStr">
        <is>
          <t>Övriga Aktiebolag</t>
        </is>
      </c>
      <c r="G1572" t="n">
        <v>2.5</v>
      </c>
      <c r="H1572" t="n">
        <v>0</v>
      </c>
      <c r="I1572" t="n">
        <v>0</v>
      </c>
      <c r="J1572" t="n">
        <v>0</v>
      </c>
      <c r="K1572" t="n">
        <v>0</v>
      </c>
      <c r="L1572" t="n">
        <v>0</v>
      </c>
      <c r="M1572" t="n">
        <v>0</v>
      </c>
      <c r="N1572" t="n">
        <v>0</v>
      </c>
      <c r="O1572" t="n">
        <v>0</v>
      </c>
      <c r="P1572" t="n">
        <v>0</v>
      </c>
      <c r="Q1572" t="n">
        <v>0</v>
      </c>
      <c r="R1572" s="2" t="inlineStr"/>
    </row>
    <row r="1573" ht="15" customHeight="1">
      <c r="A1573" t="inlineStr">
        <is>
          <t>A 36246-2021</t>
        </is>
      </c>
      <c r="B1573" s="1" t="n">
        <v>44390</v>
      </c>
      <c r="C1573" s="1" t="n">
        <v>45224</v>
      </c>
      <c r="D1573" t="inlineStr">
        <is>
          <t>STOCKHOLMS LÄN</t>
        </is>
      </c>
      <c r="E1573" t="inlineStr">
        <is>
          <t>NORRTÄLJE</t>
        </is>
      </c>
      <c r="G1573" t="n">
        <v>0.9</v>
      </c>
      <c r="H1573" t="n">
        <v>0</v>
      </c>
      <c r="I1573" t="n">
        <v>0</v>
      </c>
      <c r="J1573" t="n">
        <v>0</v>
      </c>
      <c r="K1573" t="n">
        <v>0</v>
      </c>
      <c r="L1573" t="n">
        <v>0</v>
      </c>
      <c r="M1573" t="n">
        <v>0</v>
      </c>
      <c r="N1573" t="n">
        <v>0</v>
      </c>
      <c r="O1573" t="n">
        <v>0</v>
      </c>
      <c r="P1573" t="n">
        <v>0</v>
      </c>
      <c r="Q1573" t="n">
        <v>0</v>
      </c>
      <c r="R1573" s="2" t="inlineStr"/>
    </row>
    <row r="1574" ht="15" customHeight="1">
      <c r="A1574" t="inlineStr">
        <is>
          <t>A 37095-2021</t>
        </is>
      </c>
      <c r="B1574" s="1" t="n">
        <v>44395</v>
      </c>
      <c r="C1574" s="1" t="n">
        <v>45224</v>
      </c>
      <c r="D1574" t="inlineStr">
        <is>
          <t>STOCKHOLMS LÄN</t>
        </is>
      </c>
      <c r="E1574" t="inlineStr">
        <is>
          <t>BOTKYRKA</t>
        </is>
      </c>
      <c r="G1574" t="n">
        <v>3.5</v>
      </c>
      <c r="H1574" t="n">
        <v>0</v>
      </c>
      <c r="I1574" t="n">
        <v>0</v>
      </c>
      <c r="J1574" t="n">
        <v>0</v>
      </c>
      <c r="K1574" t="n">
        <v>0</v>
      </c>
      <c r="L1574" t="n">
        <v>0</v>
      </c>
      <c r="M1574" t="n">
        <v>0</v>
      </c>
      <c r="N1574" t="n">
        <v>0</v>
      </c>
      <c r="O1574" t="n">
        <v>0</v>
      </c>
      <c r="P1574" t="n">
        <v>0</v>
      </c>
      <c r="Q1574" t="n">
        <v>0</v>
      </c>
      <c r="R1574" s="2" t="inlineStr"/>
    </row>
    <row r="1575" ht="15" customHeight="1">
      <c r="A1575" t="inlineStr">
        <is>
          <t>A 37097-2021</t>
        </is>
      </c>
      <c r="B1575" s="1" t="n">
        <v>44395</v>
      </c>
      <c r="C1575" s="1" t="n">
        <v>45224</v>
      </c>
      <c r="D1575" t="inlineStr">
        <is>
          <t>STOCKHOLMS LÄN</t>
        </is>
      </c>
      <c r="E1575" t="inlineStr">
        <is>
          <t>NYNÄSHAMN</t>
        </is>
      </c>
      <c r="G1575" t="n">
        <v>1.5</v>
      </c>
      <c r="H1575" t="n">
        <v>0</v>
      </c>
      <c r="I1575" t="n">
        <v>0</v>
      </c>
      <c r="J1575" t="n">
        <v>0</v>
      </c>
      <c r="K1575" t="n">
        <v>0</v>
      </c>
      <c r="L1575" t="n">
        <v>0</v>
      </c>
      <c r="M1575" t="n">
        <v>0</v>
      </c>
      <c r="N1575" t="n">
        <v>0</v>
      </c>
      <c r="O1575" t="n">
        <v>0</v>
      </c>
      <c r="P1575" t="n">
        <v>0</v>
      </c>
      <c r="Q1575" t="n">
        <v>0</v>
      </c>
      <c r="R1575" s="2" t="inlineStr"/>
    </row>
    <row r="1576" ht="15" customHeight="1">
      <c r="A1576" t="inlineStr">
        <is>
          <t>A 37085-2021</t>
        </is>
      </c>
      <c r="B1576" s="1" t="n">
        <v>44395</v>
      </c>
      <c r="C1576" s="1" t="n">
        <v>45224</v>
      </c>
      <c r="D1576" t="inlineStr">
        <is>
          <t>STOCKHOLMS LÄN</t>
        </is>
      </c>
      <c r="E1576" t="inlineStr">
        <is>
          <t>NORRTÄLJE</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37099-2021</t>
        </is>
      </c>
      <c r="B1577" s="1" t="n">
        <v>44396</v>
      </c>
      <c r="C1577" s="1" t="n">
        <v>45224</v>
      </c>
      <c r="D1577" t="inlineStr">
        <is>
          <t>STOCKHOLMS LÄN</t>
        </is>
      </c>
      <c r="E1577" t="inlineStr">
        <is>
          <t>NYNÄSHAMN</t>
        </is>
      </c>
      <c r="G1577" t="n">
        <v>6</v>
      </c>
      <c r="H1577" t="n">
        <v>0</v>
      </c>
      <c r="I1577" t="n">
        <v>0</v>
      </c>
      <c r="J1577" t="n">
        <v>0</v>
      </c>
      <c r="K1577" t="n">
        <v>0</v>
      </c>
      <c r="L1577" t="n">
        <v>0</v>
      </c>
      <c r="M1577" t="n">
        <v>0</v>
      </c>
      <c r="N1577" t="n">
        <v>0</v>
      </c>
      <c r="O1577" t="n">
        <v>0</v>
      </c>
      <c r="P1577" t="n">
        <v>0</v>
      </c>
      <c r="Q1577" t="n">
        <v>0</v>
      </c>
      <c r="R1577" s="2" t="inlineStr"/>
    </row>
    <row r="1578" ht="15" customHeight="1">
      <c r="A1578" t="inlineStr">
        <is>
          <t>A 37104-2021</t>
        </is>
      </c>
      <c r="B1578" s="1" t="n">
        <v>44396</v>
      </c>
      <c r="C1578" s="1" t="n">
        <v>45224</v>
      </c>
      <c r="D1578" t="inlineStr">
        <is>
          <t>STOCKHOLMS LÄN</t>
        </is>
      </c>
      <c r="E1578" t="inlineStr">
        <is>
          <t>NYNÄSHAMN</t>
        </is>
      </c>
      <c r="G1578" t="n">
        <v>3.8</v>
      </c>
      <c r="H1578" t="n">
        <v>0</v>
      </c>
      <c r="I1578" t="n">
        <v>0</v>
      </c>
      <c r="J1578" t="n">
        <v>0</v>
      </c>
      <c r="K1578" t="n">
        <v>0</v>
      </c>
      <c r="L1578" t="n">
        <v>0</v>
      </c>
      <c r="M1578" t="n">
        <v>0</v>
      </c>
      <c r="N1578" t="n">
        <v>0</v>
      </c>
      <c r="O1578" t="n">
        <v>0</v>
      </c>
      <c r="P1578" t="n">
        <v>0</v>
      </c>
      <c r="Q1578" t="n">
        <v>0</v>
      </c>
      <c r="R1578" s="2" t="inlineStr"/>
    </row>
    <row r="1579" ht="15" customHeight="1">
      <c r="A1579" t="inlineStr">
        <is>
          <t>A 37098-2021</t>
        </is>
      </c>
      <c r="B1579" s="1" t="n">
        <v>44396</v>
      </c>
      <c r="C1579" s="1" t="n">
        <v>45224</v>
      </c>
      <c r="D1579" t="inlineStr">
        <is>
          <t>STOCKHOLMS LÄN</t>
        </is>
      </c>
      <c r="E1579" t="inlineStr">
        <is>
          <t>NYNÄSHAMN</t>
        </is>
      </c>
      <c r="G1579" t="n">
        <v>12.9</v>
      </c>
      <c r="H1579" t="n">
        <v>0</v>
      </c>
      <c r="I1579" t="n">
        <v>0</v>
      </c>
      <c r="J1579" t="n">
        <v>0</v>
      </c>
      <c r="K1579" t="n">
        <v>0</v>
      </c>
      <c r="L1579" t="n">
        <v>0</v>
      </c>
      <c r="M1579" t="n">
        <v>0</v>
      </c>
      <c r="N1579" t="n">
        <v>0</v>
      </c>
      <c r="O1579" t="n">
        <v>0</v>
      </c>
      <c r="P1579" t="n">
        <v>0</v>
      </c>
      <c r="Q1579" t="n">
        <v>0</v>
      </c>
      <c r="R1579" s="2" t="inlineStr"/>
    </row>
    <row r="1580" ht="15" customHeight="1">
      <c r="A1580" t="inlineStr">
        <is>
          <t>A 37103-2021</t>
        </is>
      </c>
      <c r="B1580" s="1" t="n">
        <v>44396</v>
      </c>
      <c r="C1580" s="1" t="n">
        <v>45224</v>
      </c>
      <c r="D1580" t="inlineStr">
        <is>
          <t>STOCKHOLMS LÄN</t>
        </is>
      </c>
      <c r="E1580" t="inlineStr">
        <is>
          <t>NYNÄSHAMN</t>
        </is>
      </c>
      <c r="G1580" t="n">
        <v>12.4</v>
      </c>
      <c r="H1580" t="n">
        <v>0</v>
      </c>
      <c r="I1580" t="n">
        <v>0</v>
      </c>
      <c r="J1580" t="n">
        <v>0</v>
      </c>
      <c r="K1580" t="n">
        <v>0</v>
      </c>
      <c r="L1580" t="n">
        <v>0</v>
      </c>
      <c r="M1580" t="n">
        <v>0</v>
      </c>
      <c r="N1580" t="n">
        <v>0</v>
      </c>
      <c r="O1580" t="n">
        <v>0</v>
      </c>
      <c r="P1580" t="n">
        <v>0</v>
      </c>
      <c r="Q1580" t="n">
        <v>0</v>
      </c>
      <c r="R1580" s="2" t="inlineStr"/>
    </row>
    <row r="1581" ht="15" customHeight="1">
      <c r="A1581" t="inlineStr">
        <is>
          <t>A 37101-2021</t>
        </is>
      </c>
      <c r="B1581" s="1" t="n">
        <v>44396</v>
      </c>
      <c r="C1581" s="1" t="n">
        <v>45224</v>
      </c>
      <c r="D1581" t="inlineStr">
        <is>
          <t>STOCKHOLMS LÄN</t>
        </is>
      </c>
      <c r="E1581" t="inlineStr">
        <is>
          <t>NYNÄSHAMN</t>
        </is>
      </c>
      <c r="G1581" t="n">
        <v>5.9</v>
      </c>
      <c r="H1581" t="n">
        <v>0</v>
      </c>
      <c r="I1581" t="n">
        <v>0</v>
      </c>
      <c r="J1581" t="n">
        <v>0</v>
      </c>
      <c r="K1581" t="n">
        <v>0</v>
      </c>
      <c r="L1581" t="n">
        <v>0</v>
      </c>
      <c r="M1581" t="n">
        <v>0</v>
      </c>
      <c r="N1581" t="n">
        <v>0</v>
      </c>
      <c r="O1581" t="n">
        <v>0</v>
      </c>
      <c r="P1581" t="n">
        <v>0</v>
      </c>
      <c r="Q1581" t="n">
        <v>0</v>
      </c>
      <c r="R1581" s="2" t="inlineStr"/>
    </row>
    <row r="1582" ht="15" customHeight="1">
      <c r="A1582" t="inlineStr">
        <is>
          <t>A 37415-2021</t>
        </is>
      </c>
      <c r="B1582" s="1" t="n">
        <v>44397</v>
      </c>
      <c r="C1582" s="1" t="n">
        <v>45224</v>
      </c>
      <c r="D1582" t="inlineStr">
        <is>
          <t>STOCKHOLMS LÄN</t>
        </is>
      </c>
      <c r="E1582" t="inlineStr">
        <is>
          <t>NORRTÄLJE</t>
        </is>
      </c>
      <c r="F1582" t="inlineStr">
        <is>
          <t>Övriga Aktiebolag</t>
        </is>
      </c>
      <c r="G1582" t="n">
        <v>3</v>
      </c>
      <c r="H1582" t="n">
        <v>0</v>
      </c>
      <c r="I1582" t="n">
        <v>0</v>
      </c>
      <c r="J1582" t="n">
        <v>0</v>
      </c>
      <c r="K1582" t="n">
        <v>0</v>
      </c>
      <c r="L1582" t="n">
        <v>0</v>
      </c>
      <c r="M1582" t="n">
        <v>0</v>
      </c>
      <c r="N1582" t="n">
        <v>0</v>
      </c>
      <c r="O1582" t="n">
        <v>0</v>
      </c>
      <c r="P1582" t="n">
        <v>0</v>
      </c>
      <c r="Q1582" t="n">
        <v>0</v>
      </c>
      <c r="R1582" s="2" t="inlineStr"/>
    </row>
    <row r="1583" ht="15" customHeight="1">
      <c r="A1583" t="inlineStr">
        <is>
          <t>A 37335-2021</t>
        </is>
      </c>
      <c r="B1583" s="1" t="n">
        <v>44397</v>
      </c>
      <c r="C1583" s="1" t="n">
        <v>45224</v>
      </c>
      <c r="D1583" t="inlineStr">
        <is>
          <t>STOCKHOLMS LÄN</t>
        </is>
      </c>
      <c r="E1583" t="inlineStr">
        <is>
          <t>UPPLANDS-BRO</t>
        </is>
      </c>
      <c r="G1583" t="n">
        <v>1.4</v>
      </c>
      <c r="H1583" t="n">
        <v>0</v>
      </c>
      <c r="I1583" t="n">
        <v>0</v>
      </c>
      <c r="J1583" t="n">
        <v>0</v>
      </c>
      <c r="K1583" t="n">
        <v>0</v>
      </c>
      <c r="L1583" t="n">
        <v>0</v>
      </c>
      <c r="M1583" t="n">
        <v>0</v>
      </c>
      <c r="N1583" t="n">
        <v>0</v>
      </c>
      <c r="O1583" t="n">
        <v>0</v>
      </c>
      <c r="P1583" t="n">
        <v>0</v>
      </c>
      <c r="Q1583" t="n">
        <v>0</v>
      </c>
      <c r="R1583" s="2" t="inlineStr"/>
    </row>
    <row r="1584" ht="15" customHeight="1">
      <c r="A1584" t="inlineStr">
        <is>
          <t>A 37344-2021</t>
        </is>
      </c>
      <c r="B1584" s="1" t="n">
        <v>44397</v>
      </c>
      <c r="C1584" s="1" t="n">
        <v>45224</v>
      </c>
      <c r="D1584" t="inlineStr">
        <is>
          <t>STOCKHOLMS LÄN</t>
        </is>
      </c>
      <c r="E1584" t="inlineStr">
        <is>
          <t>NORRTÄLJE</t>
        </is>
      </c>
      <c r="G1584" t="n">
        <v>1.6</v>
      </c>
      <c r="H1584" t="n">
        <v>0</v>
      </c>
      <c r="I1584" t="n">
        <v>0</v>
      </c>
      <c r="J1584" t="n">
        <v>0</v>
      </c>
      <c r="K1584" t="n">
        <v>0</v>
      </c>
      <c r="L1584" t="n">
        <v>0</v>
      </c>
      <c r="M1584" t="n">
        <v>0</v>
      </c>
      <c r="N1584" t="n">
        <v>0</v>
      </c>
      <c r="O1584" t="n">
        <v>0</v>
      </c>
      <c r="P1584" t="n">
        <v>0</v>
      </c>
      <c r="Q1584" t="n">
        <v>0</v>
      </c>
      <c r="R1584" s="2" t="inlineStr"/>
    </row>
    <row r="1585" ht="15" customHeight="1">
      <c r="A1585" t="inlineStr">
        <is>
          <t>A 37421-2021</t>
        </is>
      </c>
      <c r="B1585" s="1" t="n">
        <v>44397</v>
      </c>
      <c r="C1585" s="1" t="n">
        <v>45224</v>
      </c>
      <c r="D1585" t="inlineStr">
        <is>
          <t>STOCKHOLMS LÄN</t>
        </is>
      </c>
      <c r="E1585" t="inlineStr">
        <is>
          <t>UPPLANDS-BRO</t>
        </is>
      </c>
      <c r="F1585" t="inlineStr">
        <is>
          <t>Allmännings- och besparingsskogar</t>
        </is>
      </c>
      <c r="G1585" t="n">
        <v>2</v>
      </c>
      <c r="H1585" t="n">
        <v>0</v>
      </c>
      <c r="I1585" t="n">
        <v>0</v>
      </c>
      <c r="J1585" t="n">
        <v>0</v>
      </c>
      <c r="K1585" t="n">
        <v>0</v>
      </c>
      <c r="L1585" t="n">
        <v>0</v>
      </c>
      <c r="M1585" t="n">
        <v>0</v>
      </c>
      <c r="N1585" t="n">
        <v>0</v>
      </c>
      <c r="O1585" t="n">
        <v>0</v>
      </c>
      <c r="P1585" t="n">
        <v>0</v>
      </c>
      <c r="Q1585" t="n">
        <v>0</v>
      </c>
      <c r="R1585" s="2" t="inlineStr"/>
    </row>
    <row r="1586" ht="15" customHeight="1">
      <c r="A1586" t="inlineStr">
        <is>
          <t>A 37444-2021</t>
        </is>
      </c>
      <c r="B1586" s="1" t="n">
        <v>44398</v>
      </c>
      <c r="C1586" s="1" t="n">
        <v>45224</v>
      </c>
      <c r="D1586" t="inlineStr">
        <is>
          <t>STOCKHOLMS LÄN</t>
        </is>
      </c>
      <c r="E1586" t="inlineStr">
        <is>
          <t>NORRTÄLJE</t>
        </is>
      </c>
      <c r="F1586" t="inlineStr">
        <is>
          <t>Holmen skog AB</t>
        </is>
      </c>
      <c r="G1586" t="n">
        <v>3.2</v>
      </c>
      <c r="H1586" t="n">
        <v>0</v>
      </c>
      <c r="I1586" t="n">
        <v>0</v>
      </c>
      <c r="J1586" t="n">
        <v>0</v>
      </c>
      <c r="K1586" t="n">
        <v>0</v>
      </c>
      <c r="L1586" t="n">
        <v>0</v>
      </c>
      <c r="M1586" t="n">
        <v>0</v>
      </c>
      <c r="N1586" t="n">
        <v>0</v>
      </c>
      <c r="O1586" t="n">
        <v>0</v>
      </c>
      <c r="P1586" t="n">
        <v>0</v>
      </c>
      <c r="Q1586" t="n">
        <v>0</v>
      </c>
      <c r="R1586" s="2" t="inlineStr"/>
    </row>
    <row r="1587" ht="15" customHeight="1">
      <c r="A1587" t="inlineStr">
        <is>
          <t>A 37462-2021</t>
        </is>
      </c>
      <c r="B1587" s="1" t="n">
        <v>44398</v>
      </c>
      <c r="C1587" s="1" t="n">
        <v>45224</v>
      </c>
      <c r="D1587" t="inlineStr">
        <is>
          <t>STOCKHOLMS LÄN</t>
        </is>
      </c>
      <c r="E1587" t="inlineStr">
        <is>
          <t>NORRTÄLJE</t>
        </is>
      </c>
      <c r="G1587" t="n">
        <v>3.5</v>
      </c>
      <c r="H1587" t="n">
        <v>0</v>
      </c>
      <c r="I1587" t="n">
        <v>0</v>
      </c>
      <c r="J1587" t="n">
        <v>0</v>
      </c>
      <c r="K1587" t="n">
        <v>0</v>
      </c>
      <c r="L1587" t="n">
        <v>0</v>
      </c>
      <c r="M1587" t="n">
        <v>0</v>
      </c>
      <c r="N1587" t="n">
        <v>0</v>
      </c>
      <c r="O1587" t="n">
        <v>0</v>
      </c>
      <c r="P1587" t="n">
        <v>0</v>
      </c>
      <c r="Q1587" t="n">
        <v>0</v>
      </c>
      <c r="R1587" s="2" t="inlineStr"/>
    </row>
    <row r="1588" ht="15" customHeight="1">
      <c r="A1588" t="inlineStr">
        <is>
          <t>A 37422-2021</t>
        </is>
      </c>
      <c r="B1588" s="1" t="n">
        <v>44398</v>
      </c>
      <c r="C1588" s="1" t="n">
        <v>45224</v>
      </c>
      <c r="D1588" t="inlineStr">
        <is>
          <t>STOCKHOLMS LÄN</t>
        </is>
      </c>
      <c r="E1588" t="inlineStr">
        <is>
          <t>NYNÄSHAMN</t>
        </is>
      </c>
      <c r="G1588" t="n">
        <v>25.8</v>
      </c>
      <c r="H1588" t="n">
        <v>0</v>
      </c>
      <c r="I1588" t="n">
        <v>0</v>
      </c>
      <c r="J1588" t="n">
        <v>0</v>
      </c>
      <c r="K1588" t="n">
        <v>0</v>
      </c>
      <c r="L1588" t="n">
        <v>0</v>
      </c>
      <c r="M1588" t="n">
        <v>0</v>
      </c>
      <c r="N1588" t="n">
        <v>0</v>
      </c>
      <c r="O1588" t="n">
        <v>0</v>
      </c>
      <c r="P1588" t="n">
        <v>0</v>
      </c>
      <c r="Q1588" t="n">
        <v>0</v>
      </c>
      <c r="R1588" s="2" t="inlineStr"/>
    </row>
    <row r="1589" ht="15" customHeight="1">
      <c r="A1589" t="inlineStr">
        <is>
          <t>A 37657-2021</t>
        </is>
      </c>
      <c r="B1589" s="1" t="n">
        <v>44400</v>
      </c>
      <c r="C1589" s="1" t="n">
        <v>45224</v>
      </c>
      <c r="D1589" t="inlineStr">
        <is>
          <t>STOCKHOLMS LÄN</t>
        </is>
      </c>
      <c r="E1589" t="inlineStr">
        <is>
          <t>VALLENTUNA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37712-2021</t>
        </is>
      </c>
      <c r="B1590" s="1" t="n">
        <v>44400</v>
      </c>
      <c r="C1590" s="1" t="n">
        <v>45224</v>
      </c>
      <c r="D1590" t="inlineStr">
        <is>
          <t>STOCKHOLMS LÄN</t>
        </is>
      </c>
      <c r="E1590" t="inlineStr">
        <is>
          <t>NORRTÄLJE</t>
        </is>
      </c>
      <c r="G1590" t="n">
        <v>22.9</v>
      </c>
      <c r="H1590" t="n">
        <v>0</v>
      </c>
      <c r="I1590" t="n">
        <v>0</v>
      </c>
      <c r="J1590" t="n">
        <v>0</v>
      </c>
      <c r="K1590" t="n">
        <v>0</v>
      </c>
      <c r="L1590" t="n">
        <v>0</v>
      </c>
      <c r="M1590" t="n">
        <v>0</v>
      </c>
      <c r="N1590" t="n">
        <v>0</v>
      </c>
      <c r="O1590" t="n">
        <v>0</v>
      </c>
      <c r="P1590" t="n">
        <v>0</v>
      </c>
      <c r="Q1590" t="n">
        <v>0</v>
      </c>
      <c r="R1590" s="2" t="inlineStr"/>
    </row>
    <row r="1591" ht="15" customHeight="1">
      <c r="A1591" t="inlineStr">
        <is>
          <t>A 37676-2021</t>
        </is>
      </c>
      <c r="B1591" s="1" t="n">
        <v>44400</v>
      </c>
      <c r="C1591" s="1" t="n">
        <v>45224</v>
      </c>
      <c r="D1591" t="inlineStr">
        <is>
          <t>STOCKHOLMS LÄN</t>
        </is>
      </c>
      <c r="E1591" t="inlineStr">
        <is>
          <t>SÖDERTÄLJE</t>
        </is>
      </c>
      <c r="F1591" t="inlineStr">
        <is>
          <t>Sveaskog</t>
        </is>
      </c>
      <c r="G1591" t="n">
        <v>7.1</v>
      </c>
      <c r="H1591" t="n">
        <v>0</v>
      </c>
      <c r="I1591" t="n">
        <v>0</v>
      </c>
      <c r="J1591" t="n">
        <v>0</v>
      </c>
      <c r="K1591" t="n">
        <v>0</v>
      </c>
      <c r="L1591" t="n">
        <v>0</v>
      </c>
      <c r="M1591" t="n">
        <v>0</v>
      </c>
      <c r="N1591" t="n">
        <v>0</v>
      </c>
      <c r="O1591" t="n">
        <v>0</v>
      </c>
      <c r="P1591" t="n">
        <v>0</v>
      </c>
      <c r="Q1591" t="n">
        <v>0</v>
      </c>
      <c r="R1591" s="2" t="inlineStr"/>
    </row>
    <row r="1592" ht="15" customHeight="1">
      <c r="A1592" t="inlineStr">
        <is>
          <t>A 37681-2021</t>
        </is>
      </c>
      <c r="B1592" s="1" t="n">
        <v>44400</v>
      </c>
      <c r="C1592" s="1" t="n">
        <v>45224</v>
      </c>
      <c r="D1592" t="inlineStr">
        <is>
          <t>STOCKHOLMS LÄN</t>
        </is>
      </c>
      <c r="E1592" t="inlineStr">
        <is>
          <t>SÖDERTÄLJE</t>
        </is>
      </c>
      <c r="F1592" t="inlineStr">
        <is>
          <t>Sveaskog</t>
        </is>
      </c>
      <c r="G1592" t="n">
        <v>3.6</v>
      </c>
      <c r="H1592" t="n">
        <v>0</v>
      </c>
      <c r="I1592" t="n">
        <v>0</v>
      </c>
      <c r="J1592" t="n">
        <v>0</v>
      </c>
      <c r="K1592" t="n">
        <v>0</v>
      </c>
      <c r="L1592" t="n">
        <v>0</v>
      </c>
      <c r="M1592" t="n">
        <v>0</v>
      </c>
      <c r="N1592" t="n">
        <v>0</v>
      </c>
      <c r="O1592" t="n">
        <v>0</v>
      </c>
      <c r="P1592" t="n">
        <v>0</v>
      </c>
      <c r="Q1592" t="n">
        <v>0</v>
      </c>
      <c r="R1592" s="2" t="inlineStr"/>
    </row>
    <row r="1593" ht="15" customHeight="1">
      <c r="A1593" t="inlineStr">
        <is>
          <t>A 37859-2021</t>
        </is>
      </c>
      <c r="B1593" s="1" t="n">
        <v>44403</v>
      </c>
      <c r="C1593" s="1" t="n">
        <v>45224</v>
      </c>
      <c r="D1593" t="inlineStr">
        <is>
          <t>STOCKHOLMS LÄN</t>
        </is>
      </c>
      <c r="E1593" t="inlineStr">
        <is>
          <t>NORRTÄLJE</t>
        </is>
      </c>
      <c r="F1593" t="inlineStr">
        <is>
          <t>Holmen skog AB</t>
        </is>
      </c>
      <c r="G1593" t="n">
        <v>6.9</v>
      </c>
      <c r="H1593" t="n">
        <v>0</v>
      </c>
      <c r="I1593" t="n">
        <v>0</v>
      </c>
      <c r="J1593" t="n">
        <v>0</v>
      </c>
      <c r="K1593" t="n">
        <v>0</v>
      </c>
      <c r="L1593" t="n">
        <v>0</v>
      </c>
      <c r="M1593" t="n">
        <v>0</v>
      </c>
      <c r="N1593" t="n">
        <v>0</v>
      </c>
      <c r="O1593" t="n">
        <v>0</v>
      </c>
      <c r="P1593" t="n">
        <v>0</v>
      </c>
      <c r="Q1593" t="n">
        <v>0</v>
      </c>
      <c r="R1593" s="2" t="inlineStr"/>
    </row>
    <row r="1594" ht="15" customHeight="1">
      <c r="A1594" t="inlineStr">
        <is>
          <t>A 37967-2021</t>
        </is>
      </c>
      <c r="B1594" s="1" t="n">
        <v>44403</v>
      </c>
      <c r="C1594" s="1" t="n">
        <v>45224</v>
      </c>
      <c r="D1594" t="inlineStr">
        <is>
          <t>STOCKHOLMS LÄN</t>
        </is>
      </c>
      <c r="E1594" t="inlineStr">
        <is>
          <t>NYKVARN</t>
        </is>
      </c>
      <c r="G1594" t="n">
        <v>0.6</v>
      </c>
      <c r="H1594" t="n">
        <v>0</v>
      </c>
      <c r="I1594" t="n">
        <v>0</v>
      </c>
      <c r="J1594" t="n">
        <v>0</v>
      </c>
      <c r="K1594" t="n">
        <v>0</v>
      </c>
      <c r="L1594" t="n">
        <v>0</v>
      </c>
      <c r="M1594" t="n">
        <v>0</v>
      </c>
      <c r="N1594" t="n">
        <v>0</v>
      </c>
      <c r="O1594" t="n">
        <v>0</v>
      </c>
      <c r="P1594" t="n">
        <v>0</v>
      </c>
      <c r="Q1594" t="n">
        <v>0</v>
      </c>
      <c r="R1594" s="2" t="inlineStr"/>
    </row>
    <row r="1595" ht="15" customHeight="1">
      <c r="A1595" t="inlineStr">
        <is>
          <t>A 38595-2021</t>
        </is>
      </c>
      <c r="B1595" s="1" t="n">
        <v>44407</v>
      </c>
      <c r="C1595" s="1" t="n">
        <v>45224</v>
      </c>
      <c r="D1595" t="inlineStr">
        <is>
          <t>STOCKHOLMS LÄN</t>
        </is>
      </c>
      <c r="E1595" t="inlineStr">
        <is>
          <t>HANINGE</t>
        </is>
      </c>
      <c r="G1595" t="n">
        <v>1.1</v>
      </c>
      <c r="H1595" t="n">
        <v>0</v>
      </c>
      <c r="I1595" t="n">
        <v>0</v>
      </c>
      <c r="J1595" t="n">
        <v>0</v>
      </c>
      <c r="K1595" t="n">
        <v>0</v>
      </c>
      <c r="L1595" t="n">
        <v>0</v>
      </c>
      <c r="M1595" t="n">
        <v>0</v>
      </c>
      <c r="N1595" t="n">
        <v>0</v>
      </c>
      <c r="O1595" t="n">
        <v>0</v>
      </c>
      <c r="P1595" t="n">
        <v>0</v>
      </c>
      <c r="Q1595" t="n">
        <v>0</v>
      </c>
      <c r="R1595" s="2" t="inlineStr"/>
    </row>
    <row r="1596" ht="15" customHeight="1">
      <c r="A1596" t="inlineStr">
        <is>
          <t>A 38771-2021</t>
        </is>
      </c>
      <c r="B1596" s="1" t="n">
        <v>44410</v>
      </c>
      <c r="C1596" s="1" t="n">
        <v>45224</v>
      </c>
      <c r="D1596" t="inlineStr">
        <is>
          <t>STOCKHOLMS LÄN</t>
        </is>
      </c>
      <c r="E1596" t="inlineStr">
        <is>
          <t>NYNÄSHAMN</t>
        </is>
      </c>
      <c r="G1596" t="n">
        <v>0.4</v>
      </c>
      <c r="H1596" t="n">
        <v>0</v>
      </c>
      <c r="I1596" t="n">
        <v>0</v>
      </c>
      <c r="J1596" t="n">
        <v>0</v>
      </c>
      <c r="K1596" t="n">
        <v>0</v>
      </c>
      <c r="L1596" t="n">
        <v>0</v>
      </c>
      <c r="M1596" t="n">
        <v>0</v>
      </c>
      <c r="N1596" t="n">
        <v>0</v>
      </c>
      <c r="O1596" t="n">
        <v>0</v>
      </c>
      <c r="P1596" t="n">
        <v>0</v>
      </c>
      <c r="Q1596" t="n">
        <v>0</v>
      </c>
      <c r="R1596" s="2" t="inlineStr"/>
    </row>
    <row r="1597" ht="15" customHeight="1">
      <c r="A1597" t="inlineStr">
        <is>
          <t>A 39157-2021</t>
        </is>
      </c>
      <c r="B1597" s="1" t="n">
        <v>44412</v>
      </c>
      <c r="C1597" s="1" t="n">
        <v>45224</v>
      </c>
      <c r="D1597" t="inlineStr">
        <is>
          <t>STOCKHOLMS LÄN</t>
        </is>
      </c>
      <c r="E1597" t="inlineStr">
        <is>
          <t>NORRTÄLJE</t>
        </is>
      </c>
      <c r="G1597" t="n">
        <v>3.1</v>
      </c>
      <c r="H1597" t="n">
        <v>0</v>
      </c>
      <c r="I1597" t="n">
        <v>0</v>
      </c>
      <c r="J1597" t="n">
        <v>0</v>
      </c>
      <c r="K1597" t="n">
        <v>0</v>
      </c>
      <c r="L1597" t="n">
        <v>0</v>
      </c>
      <c r="M1597" t="n">
        <v>0</v>
      </c>
      <c r="N1597" t="n">
        <v>0</v>
      </c>
      <c r="O1597" t="n">
        <v>0</v>
      </c>
      <c r="P1597" t="n">
        <v>0</v>
      </c>
      <c r="Q1597" t="n">
        <v>0</v>
      </c>
      <c r="R1597" s="2" t="inlineStr"/>
    </row>
    <row r="1598" ht="15" customHeight="1">
      <c r="A1598" t="inlineStr">
        <is>
          <t>A 39070-2021</t>
        </is>
      </c>
      <c r="B1598" s="1" t="n">
        <v>44412</v>
      </c>
      <c r="C1598" s="1" t="n">
        <v>45224</v>
      </c>
      <c r="D1598" t="inlineStr">
        <is>
          <t>STOCKHOLMS LÄN</t>
        </is>
      </c>
      <c r="E1598" t="inlineStr">
        <is>
          <t>VÄRMDÖ</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39133-2021</t>
        </is>
      </c>
      <c r="B1599" s="1" t="n">
        <v>44412</v>
      </c>
      <c r="C1599" s="1" t="n">
        <v>45224</v>
      </c>
      <c r="D1599" t="inlineStr">
        <is>
          <t>STOCKHOLMS LÄN</t>
        </is>
      </c>
      <c r="E1599" t="inlineStr">
        <is>
          <t>SÖDERTÄLJE</t>
        </is>
      </c>
      <c r="G1599" t="n">
        <v>2.8</v>
      </c>
      <c r="H1599" t="n">
        <v>0</v>
      </c>
      <c r="I1599" t="n">
        <v>0</v>
      </c>
      <c r="J1599" t="n">
        <v>0</v>
      </c>
      <c r="K1599" t="n">
        <v>0</v>
      </c>
      <c r="L1599" t="n">
        <v>0</v>
      </c>
      <c r="M1599" t="n">
        <v>0</v>
      </c>
      <c r="N1599" t="n">
        <v>0</v>
      </c>
      <c r="O1599" t="n">
        <v>0</v>
      </c>
      <c r="P1599" t="n">
        <v>0</v>
      </c>
      <c r="Q1599" t="n">
        <v>0</v>
      </c>
      <c r="R1599" s="2" t="inlineStr"/>
    </row>
    <row r="1600" ht="15" customHeight="1">
      <c r="A1600" t="inlineStr">
        <is>
          <t>A 39082-2021</t>
        </is>
      </c>
      <c r="B1600" s="1" t="n">
        <v>44412</v>
      </c>
      <c r="C1600" s="1" t="n">
        <v>45224</v>
      </c>
      <c r="D1600" t="inlineStr">
        <is>
          <t>STOCKHOLMS LÄN</t>
        </is>
      </c>
      <c r="E1600" t="inlineStr">
        <is>
          <t>VÄRMDÖ</t>
        </is>
      </c>
      <c r="G1600" t="n">
        <v>2.9</v>
      </c>
      <c r="H1600" t="n">
        <v>0</v>
      </c>
      <c r="I1600" t="n">
        <v>0</v>
      </c>
      <c r="J1600" t="n">
        <v>0</v>
      </c>
      <c r="K1600" t="n">
        <v>0</v>
      </c>
      <c r="L1600" t="n">
        <v>0</v>
      </c>
      <c r="M1600" t="n">
        <v>0</v>
      </c>
      <c r="N1600" t="n">
        <v>0</v>
      </c>
      <c r="O1600" t="n">
        <v>0</v>
      </c>
      <c r="P1600" t="n">
        <v>0</v>
      </c>
      <c r="Q1600" t="n">
        <v>0</v>
      </c>
      <c r="R1600" s="2" t="inlineStr"/>
    </row>
    <row r="1601" ht="15" customHeight="1">
      <c r="A1601" t="inlineStr">
        <is>
          <t>A 39651-2021</t>
        </is>
      </c>
      <c r="B1601" s="1" t="n">
        <v>44417</v>
      </c>
      <c r="C1601" s="1" t="n">
        <v>45224</v>
      </c>
      <c r="D1601" t="inlineStr">
        <is>
          <t>STOCKHOLMS LÄN</t>
        </is>
      </c>
      <c r="E1601" t="inlineStr">
        <is>
          <t>HANINGE</t>
        </is>
      </c>
      <c r="G1601" t="n">
        <v>3.6</v>
      </c>
      <c r="H1601" t="n">
        <v>0</v>
      </c>
      <c r="I1601" t="n">
        <v>0</v>
      </c>
      <c r="J1601" t="n">
        <v>0</v>
      </c>
      <c r="K1601" t="n">
        <v>0</v>
      </c>
      <c r="L1601" t="n">
        <v>0</v>
      </c>
      <c r="M1601" t="n">
        <v>0</v>
      </c>
      <c r="N1601" t="n">
        <v>0</v>
      </c>
      <c r="O1601" t="n">
        <v>0</v>
      </c>
      <c r="P1601" t="n">
        <v>0</v>
      </c>
      <c r="Q1601" t="n">
        <v>0</v>
      </c>
      <c r="R1601" s="2" t="inlineStr"/>
    </row>
    <row r="1602" ht="15" customHeight="1">
      <c r="A1602" t="inlineStr">
        <is>
          <t>A 40158-2021</t>
        </is>
      </c>
      <c r="B1602" s="1" t="n">
        <v>44418</v>
      </c>
      <c r="C1602" s="1" t="n">
        <v>45224</v>
      </c>
      <c r="D1602" t="inlineStr">
        <is>
          <t>STOCKHOLMS LÄN</t>
        </is>
      </c>
      <c r="E1602" t="inlineStr">
        <is>
          <t>NYNÄSHAMN</t>
        </is>
      </c>
      <c r="F1602" t="inlineStr">
        <is>
          <t>Kommuner</t>
        </is>
      </c>
      <c r="G1602" t="n">
        <v>1.3</v>
      </c>
      <c r="H1602" t="n">
        <v>0</v>
      </c>
      <c r="I1602" t="n">
        <v>0</v>
      </c>
      <c r="J1602" t="n">
        <v>0</v>
      </c>
      <c r="K1602" t="n">
        <v>0</v>
      </c>
      <c r="L1602" t="n">
        <v>0</v>
      </c>
      <c r="M1602" t="n">
        <v>0</v>
      </c>
      <c r="N1602" t="n">
        <v>0</v>
      </c>
      <c r="O1602" t="n">
        <v>0</v>
      </c>
      <c r="P1602" t="n">
        <v>0</v>
      </c>
      <c r="Q1602" t="n">
        <v>0</v>
      </c>
      <c r="R1602" s="2" t="inlineStr"/>
    </row>
    <row r="1603" ht="15" customHeight="1">
      <c r="A1603" t="inlineStr">
        <is>
          <t>A 40143-2021</t>
        </is>
      </c>
      <c r="B1603" s="1" t="n">
        <v>44418</v>
      </c>
      <c r="C1603" s="1" t="n">
        <v>45224</v>
      </c>
      <c r="D1603" t="inlineStr">
        <is>
          <t>STOCKHOLMS LÄN</t>
        </is>
      </c>
      <c r="E1603" t="inlineStr">
        <is>
          <t>NYNÄSHAMN</t>
        </is>
      </c>
      <c r="F1603" t="inlineStr">
        <is>
          <t>Kommuner</t>
        </is>
      </c>
      <c r="G1603" t="n">
        <v>1.8</v>
      </c>
      <c r="H1603" t="n">
        <v>0</v>
      </c>
      <c r="I1603" t="n">
        <v>0</v>
      </c>
      <c r="J1603" t="n">
        <v>0</v>
      </c>
      <c r="K1603" t="n">
        <v>0</v>
      </c>
      <c r="L1603" t="n">
        <v>0</v>
      </c>
      <c r="M1603" t="n">
        <v>0</v>
      </c>
      <c r="N1603" t="n">
        <v>0</v>
      </c>
      <c r="O1603" t="n">
        <v>0</v>
      </c>
      <c r="P1603" t="n">
        <v>0</v>
      </c>
      <c r="Q1603" t="n">
        <v>0</v>
      </c>
      <c r="R1603" s="2" t="inlineStr"/>
    </row>
    <row r="1604" ht="15" customHeight="1">
      <c r="A1604" t="inlineStr">
        <is>
          <t>A 40183-2021</t>
        </is>
      </c>
      <c r="B1604" s="1" t="n">
        <v>44418</v>
      </c>
      <c r="C1604" s="1" t="n">
        <v>45224</v>
      </c>
      <c r="D1604" t="inlineStr">
        <is>
          <t>STOCKHOLMS LÄN</t>
        </is>
      </c>
      <c r="E1604" t="inlineStr">
        <is>
          <t>NYNÄSHAMN</t>
        </is>
      </c>
      <c r="F1604" t="inlineStr">
        <is>
          <t>Kommuner</t>
        </is>
      </c>
      <c r="G1604" t="n">
        <v>4.5</v>
      </c>
      <c r="H1604" t="n">
        <v>0</v>
      </c>
      <c r="I1604" t="n">
        <v>0</v>
      </c>
      <c r="J1604" t="n">
        <v>0</v>
      </c>
      <c r="K1604" t="n">
        <v>0</v>
      </c>
      <c r="L1604" t="n">
        <v>0</v>
      </c>
      <c r="M1604" t="n">
        <v>0</v>
      </c>
      <c r="N1604" t="n">
        <v>0</v>
      </c>
      <c r="O1604" t="n">
        <v>0</v>
      </c>
      <c r="P1604" t="n">
        <v>0</v>
      </c>
      <c r="Q1604" t="n">
        <v>0</v>
      </c>
      <c r="R1604" s="2" t="inlineStr"/>
    </row>
    <row r="1605" ht="15" customHeight="1">
      <c r="A1605" t="inlineStr">
        <is>
          <t>A 40425-2021</t>
        </is>
      </c>
      <c r="B1605" s="1" t="n">
        <v>44419</v>
      </c>
      <c r="C1605" s="1" t="n">
        <v>45224</v>
      </c>
      <c r="D1605" t="inlineStr">
        <is>
          <t>STOCKHOLMS LÄN</t>
        </is>
      </c>
      <c r="E1605" t="inlineStr">
        <is>
          <t>NORRTÄLJE</t>
        </is>
      </c>
      <c r="G1605" t="n">
        <v>5</v>
      </c>
      <c r="H1605" t="n">
        <v>0</v>
      </c>
      <c r="I1605" t="n">
        <v>0</v>
      </c>
      <c r="J1605" t="n">
        <v>0</v>
      </c>
      <c r="K1605" t="n">
        <v>0</v>
      </c>
      <c r="L1605" t="n">
        <v>0</v>
      </c>
      <c r="M1605" t="n">
        <v>0</v>
      </c>
      <c r="N1605" t="n">
        <v>0</v>
      </c>
      <c r="O1605" t="n">
        <v>0</v>
      </c>
      <c r="P1605" t="n">
        <v>0</v>
      </c>
      <c r="Q1605" t="n">
        <v>0</v>
      </c>
      <c r="R1605" s="2" t="inlineStr"/>
    </row>
    <row r="1606" ht="15" customHeight="1">
      <c r="A1606" t="inlineStr">
        <is>
          <t>A 40542-2021</t>
        </is>
      </c>
      <c r="B1606" s="1" t="n">
        <v>44420</v>
      </c>
      <c r="C1606" s="1" t="n">
        <v>45224</v>
      </c>
      <c r="D1606" t="inlineStr">
        <is>
          <t>STOCKHOLMS LÄN</t>
        </is>
      </c>
      <c r="E1606" t="inlineStr">
        <is>
          <t>NORRTÄLJE</t>
        </is>
      </c>
      <c r="G1606" t="n">
        <v>0.4</v>
      </c>
      <c r="H1606" t="n">
        <v>0</v>
      </c>
      <c r="I1606" t="n">
        <v>0</v>
      </c>
      <c r="J1606" t="n">
        <v>0</v>
      </c>
      <c r="K1606" t="n">
        <v>0</v>
      </c>
      <c r="L1606" t="n">
        <v>0</v>
      </c>
      <c r="M1606" t="n">
        <v>0</v>
      </c>
      <c r="N1606" t="n">
        <v>0</v>
      </c>
      <c r="O1606" t="n">
        <v>0</v>
      </c>
      <c r="P1606" t="n">
        <v>0</v>
      </c>
      <c r="Q1606" t="n">
        <v>0</v>
      </c>
      <c r="R1606" s="2" t="inlineStr"/>
    </row>
    <row r="1607" ht="15" customHeight="1">
      <c r="A1607" t="inlineStr">
        <is>
          <t>A 40753-2021</t>
        </is>
      </c>
      <c r="B1607" s="1" t="n">
        <v>44420</v>
      </c>
      <c r="C1607" s="1" t="n">
        <v>45224</v>
      </c>
      <c r="D1607" t="inlineStr">
        <is>
          <t>STOCKHOLMS LÄN</t>
        </is>
      </c>
      <c r="E1607" t="inlineStr">
        <is>
          <t>NYNÄSHAMN</t>
        </is>
      </c>
      <c r="F1607" t="inlineStr">
        <is>
          <t>Kommuner</t>
        </is>
      </c>
      <c r="G1607" t="n">
        <v>6.2</v>
      </c>
      <c r="H1607" t="n">
        <v>0</v>
      </c>
      <c r="I1607" t="n">
        <v>0</v>
      </c>
      <c r="J1607" t="n">
        <v>0</v>
      </c>
      <c r="K1607" t="n">
        <v>0</v>
      </c>
      <c r="L1607" t="n">
        <v>0</v>
      </c>
      <c r="M1607" t="n">
        <v>0</v>
      </c>
      <c r="N1607" t="n">
        <v>0</v>
      </c>
      <c r="O1607" t="n">
        <v>0</v>
      </c>
      <c r="P1607" t="n">
        <v>0</v>
      </c>
      <c r="Q1607" t="n">
        <v>0</v>
      </c>
      <c r="R1607" s="2" t="inlineStr"/>
    </row>
    <row r="1608" ht="15" customHeight="1">
      <c r="A1608" t="inlineStr">
        <is>
          <t>A 40546-2021</t>
        </is>
      </c>
      <c r="B1608" s="1" t="n">
        <v>44420</v>
      </c>
      <c r="C1608" s="1" t="n">
        <v>45224</v>
      </c>
      <c r="D1608" t="inlineStr">
        <is>
          <t>STOCKHOLMS LÄN</t>
        </is>
      </c>
      <c r="E1608" t="inlineStr">
        <is>
          <t>NORRTÄLJE</t>
        </is>
      </c>
      <c r="G1608" t="n">
        <v>0.4</v>
      </c>
      <c r="H1608" t="n">
        <v>0</v>
      </c>
      <c r="I1608" t="n">
        <v>0</v>
      </c>
      <c r="J1608" t="n">
        <v>0</v>
      </c>
      <c r="K1608" t="n">
        <v>0</v>
      </c>
      <c r="L1608" t="n">
        <v>0</v>
      </c>
      <c r="M1608" t="n">
        <v>0</v>
      </c>
      <c r="N1608" t="n">
        <v>0</v>
      </c>
      <c r="O1608" t="n">
        <v>0</v>
      </c>
      <c r="P1608" t="n">
        <v>0</v>
      </c>
      <c r="Q1608" t="n">
        <v>0</v>
      </c>
      <c r="R1608" s="2" t="inlineStr"/>
    </row>
    <row r="1609" ht="15" customHeight="1">
      <c r="A1609" t="inlineStr">
        <is>
          <t>A 40514-2021</t>
        </is>
      </c>
      <c r="B1609" s="1" t="n">
        <v>44420</v>
      </c>
      <c r="C1609" s="1" t="n">
        <v>45224</v>
      </c>
      <c r="D1609" t="inlineStr">
        <is>
          <t>STOCKHOLMS LÄN</t>
        </is>
      </c>
      <c r="E1609" t="inlineStr">
        <is>
          <t>UPPLANDS-BRO</t>
        </is>
      </c>
      <c r="G1609" t="n">
        <v>0.5</v>
      </c>
      <c r="H1609" t="n">
        <v>0</v>
      </c>
      <c r="I1609" t="n">
        <v>0</v>
      </c>
      <c r="J1609" t="n">
        <v>0</v>
      </c>
      <c r="K1609" t="n">
        <v>0</v>
      </c>
      <c r="L1609" t="n">
        <v>0</v>
      </c>
      <c r="M1609" t="n">
        <v>0</v>
      </c>
      <c r="N1609" t="n">
        <v>0</v>
      </c>
      <c r="O1609" t="n">
        <v>0</v>
      </c>
      <c r="P1609" t="n">
        <v>0</v>
      </c>
      <c r="Q1609" t="n">
        <v>0</v>
      </c>
      <c r="R1609" s="2" t="inlineStr"/>
    </row>
    <row r="1610" ht="15" customHeight="1">
      <c r="A1610" t="inlineStr">
        <is>
          <t>A 40510-2021</t>
        </is>
      </c>
      <c r="B1610" s="1" t="n">
        <v>44420</v>
      </c>
      <c r="C1610" s="1" t="n">
        <v>45224</v>
      </c>
      <c r="D1610" t="inlineStr">
        <is>
          <t>STOCKHOLMS LÄN</t>
        </is>
      </c>
      <c r="E1610" t="inlineStr">
        <is>
          <t>UPPLANDS-BRO</t>
        </is>
      </c>
      <c r="G1610" t="n">
        <v>1.3</v>
      </c>
      <c r="H1610" t="n">
        <v>0</v>
      </c>
      <c r="I1610" t="n">
        <v>0</v>
      </c>
      <c r="J1610" t="n">
        <v>0</v>
      </c>
      <c r="K1610" t="n">
        <v>0</v>
      </c>
      <c r="L1610" t="n">
        <v>0</v>
      </c>
      <c r="M1610" t="n">
        <v>0</v>
      </c>
      <c r="N1610" t="n">
        <v>0</v>
      </c>
      <c r="O1610" t="n">
        <v>0</v>
      </c>
      <c r="P1610" t="n">
        <v>0</v>
      </c>
      <c r="Q1610" t="n">
        <v>0</v>
      </c>
      <c r="R1610" s="2" t="inlineStr"/>
    </row>
    <row r="1611" ht="15" customHeight="1">
      <c r="A1611" t="inlineStr">
        <is>
          <t>A 40751-2021</t>
        </is>
      </c>
      <c r="B1611" s="1" t="n">
        <v>44420</v>
      </c>
      <c r="C1611" s="1" t="n">
        <v>45224</v>
      </c>
      <c r="D1611" t="inlineStr">
        <is>
          <t>STOCKHOLMS LÄN</t>
        </is>
      </c>
      <c r="E1611" t="inlineStr">
        <is>
          <t>SÖDERTÄLJE</t>
        </is>
      </c>
      <c r="G1611" t="n">
        <v>2</v>
      </c>
      <c r="H1611" t="n">
        <v>0</v>
      </c>
      <c r="I1611" t="n">
        <v>0</v>
      </c>
      <c r="J1611" t="n">
        <v>0</v>
      </c>
      <c r="K1611" t="n">
        <v>0</v>
      </c>
      <c r="L1611" t="n">
        <v>0</v>
      </c>
      <c r="M1611" t="n">
        <v>0</v>
      </c>
      <c r="N1611" t="n">
        <v>0</v>
      </c>
      <c r="O1611" t="n">
        <v>0</v>
      </c>
      <c r="P1611" t="n">
        <v>0</v>
      </c>
      <c r="Q1611" t="n">
        <v>0</v>
      </c>
      <c r="R1611" s="2" t="inlineStr"/>
    </row>
    <row r="1612" ht="15" customHeight="1">
      <c r="A1612" t="inlineStr">
        <is>
          <t>A 41465-2021</t>
        </is>
      </c>
      <c r="B1612" s="1" t="n">
        <v>44424</v>
      </c>
      <c r="C1612" s="1" t="n">
        <v>45224</v>
      </c>
      <c r="D1612" t="inlineStr">
        <is>
          <t>STOCKHOLMS LÄN</t>
        </is>
      </c>
      <c r="E1612" t="inlineStr">
        <is>
          <t>UPPLANDS-BRO</t>
        </is>
      </c>
      <c r="G1612" t="n">
        <v>2.2</v>
      </c>
      <c r="H1612" t="n">
        <v>0</v>
      </c>
      <c r="I1612" t="n">
        <v>0</v>
      </c>
      <c r="J1612" t="n">
        <v>0</v>
      </c>
      <c r="K1612" t="n">
        <v>0</v>
      </c>
      <c r="L1612" t="n">
        <v>0</v>
      </c>
      <c r="M1612" t="n">
        <v>0</v>
      </c>
      <c r="N1612" t="n">
        <v>0</v>
      </c>
      <c r="O1612" t="n">
        <v>0</v>
      </c>
      <c r="P1612" t="n">
        <v>0</v>
      </c>
      <c r="Q1612" t="n">
        <v>0</v>
      </c>
      <c r="R1612" s="2" t="inlineStr"/>
    </row>
    <row r="1613" ht="15" customHeight="1">
      <c r="A1613" t="inlineStr">
        <is>
          <t>A 41378-2021</t>
        </is>
      </c>
      <c r="B1613" s="1" t="n">
        <v>44424</v>
      </c>
      <c r="C1613" s="1" t="n">
        <v>45224</v>
      </c>
      <c r="D1613" t="inlineStr">
        <is>
          <t>STOCKHOLMS LÄN</t>
        </is>
      </c>
      <c r="E1613" t="inlineStr">
        <is>
          <t>NYNÄSHAMN</t>
        </is>
      </c>
      <c r="G1613" t="n">
        <v>1.1</v>
      </c>
      <c r="H1613" t="n">
        <v>0</v>
      </c>
      <c r="I1613" t="n">
        <v>0</v>
      </c>
      <c r="J1613" t="n">
        <v>0</v>
      </c>
      <c r="K1613" t="n">
        <v>0</v>
      </c>
      <c r="L1613" t="n">
        <v>0</v>
      </c>
      <c r="M1613" t="n">
        <v>0</v>
      </c>
      <c r="N1613" t="n">
        <v>0</v>
      </c>
      <c r="O1613" t="n">
        <v>0</v>
      </c>
      <c r="P1613" t="n">
        <v>0</v>
      </c>
      <c r="Q1613" t="n">
        <v>0</v>
      </c>
      <c r="R1613" s="2" t="inlineStr"/>
    </row>
    <row r="1614" ht="15" customHeight="1">
      <c r="A1614" t="inlineStr">
        <is>
          <t>A 41281-2021</t>
        </is>
      </c>
      <c r="B1614" s="1" t="n">
        <v>44424</v>
      </c>
      <c r="C1614" s="1" t="n">
        <v>45224</v>
      </c>
      <c r="D1614" t="inlineStr">
        <is>
          <t>STOCKHOLMS LÄN</t>
        </is>
      </c>
      <c r="E1614" t="inlineStr">
        <is>
          <t>NYNÄSHAMN</t>
        </is>
      </c>
      <c r="G1614" t="n">
        <v>0.7</v>
      </c>
      <c r="H1614" t="n">
        <v>0</v>
      </c>
      <c r="I1614" t="n">
        <v>0</v>
      </c>
      <c r="J1614" t="n">
        <v>0</v>
      </c>
      <c r="K1614" t="n">
        <v>0</v>
      </c>
      <c r="L1614" t="n">
        <v>0</v>
      </c>
      <c r="M1614" t="n">
        <v>0</v>
      </c>
      <c r="N1614" t="n">
        <v>0</v>
      </c>
      <c r="O1614" t="n">
        <v>0</v>
      </c>
      <c r="P1614" t="n">
        <v>0</v>
      </c>
      <c r="Q1614" t="n">
        <v>0</v>
      </c>
      <c r="R1614" s="2" t="inlineStr"/>
    </row>
    <row r="1615" ht="15" customHeight="1">
      <c r="A1615" t="inlineStr">
        <is>
          <t>A 41463-2021</t>
        </is>
      </c>
      <c r="B1615" s="1" t="n">
        <v>44424</v>
      </c>
      <c r="C1615" s="1" t="n">
        <v>45224</v>
      </c>
      <c r="D1615" t="inlineStr">
        <is>
          <t>STOCKHOLMS LÄN</t>
        </is>
      </c>
      <c r="E1615" t="inlineStr">
        <is>
          <t>UPPLANDS-BRO</t>
        </is>
      </c>
      <c r="G1615" t="n">
        <v>4</v>
      </c>
      <c r="H1615" t="n">
        <v>0</v>
      </c>
      <c r="I1615" t="n">
        <v>0</v>
      </c>
      <c r="J1615" t="n">
        <v>0</v>
      </c>
      <c r="K1615" t="n">
        <v>0</v>
      </c>
      <c r="L1615" t="n">
        <v>0</v>
      </c>
      <c r="M1615" t="n">
        <v>0</v>
      </c>
      <c r="N1615" t="n">
        <v>0</v>
      </c>
      <c r="O1615" t="n">
        <v>0</v>
      </c>
      <c r="P1615" t="n">
        <v>0</v>
      </c>
      <c r="Q1615" t="n">
        <v>0</v>
      </c>
      <c r="R1615" s="2" t="inlineStr"/>
    </row>
    <row r="1616" ht="15" customHeight="1">
      <c r="A1616" t="inlineStr">
        <is>
          <t>A 41822-2021</t>
        </is>
      </c>
      <c r="B1616" s="1" t="n">
        <v>44425</v>
      </c>
      <c r="C1616" s="1" t="n">
        <v>45224</v>
      </c>
      <c r="D1616" t="inlineStr">
        <is>
          <t>STOCKHOLMS LÄN</t>
        </is>
      </c>
      <c r="E1616" t="inlineStr">
        <is>
          <t>NORRTÄLJE</t>
        </is>
      </c>
      <c r="G1616" t="n">
        <v>0.9</v>
      </c>
      <c r="H1616" t="n">
        <v>0</v>
      </c>
      <c r="I1616" t="n">
        <v>0</v>
      </c>
      <c r="J1616" t="n">
        <v>0</v>
      </c>
      <c r="K1616" t="n">
        <v>0</v>
      </c>
      <c r="L1616" t="n">
        <v>0</v>
      </c>
      <c r="M1616" t="n">
        <v>0</v>
      </c>
      <c r="N1616" t="n">
        <v>0</v>
      </c>
      <c r="O1616" t="n">
        <v>0</v>
      </c>
      <c r="P1616" t="n">
        <v>0</v>
      </c>
      <c r="Q1616" t="n">
        <v>0</v>
      </c>
      <c r="R1616" s="2" t="inlineStr"/>
    </row>
    <row r="1617" ht="15" customHeight="1">
      <c r="A1617" t="inlineStr">
        <is>
          <t>A 41595-2021</t>
        </is>
      </c>
      <c r="B1617" s="1" t="n">
        <v>44425</v>
      </c>
      <c r="C1617" s="1" t="n">
        <v>45224</v>
      </c>
      <c r="D1617" t="inlineStr">
        <is>
          <t>STOCKHOLMS LÄN</t>
        </is>
      </c>
      <c r="E1617" t="inlineStr">
        <is>
          <t>NORRTÄLJE</t>
        </is>
      </c>
      <c r="G1617" t="n">
        <v>3.2</v>
      </c>
      <c r="H1617" t="n">
        <v>0</v>
      </c>
      <c r="I1617" t="n">
        <v>0</v>
      </c>
      <c r="J1617" t="n">
        <v>0</v>
      </c>
      <c r="K1617" t="n">
        <v>0</v>
      </c>
      <c r="L1617" t="n">
        <v>0</v>
      </c>
      <c r="M1617" t="n">
        <v>0</v>
      </c>
      <c r="N1617" t="n">
        <v>0</v>
      </c>
      <c r="O1617" t="n">
        <v>0</v>
      </c>
      <c r="P1617" t="n">
        <v>0</v>
      </c>
      <c r="Q1617" t="n">
        <v>0</v>
      </c>
      <c r="R1617" s="2" t="inlineStr"/>
    </row>
    <row r="1618" ht="15" customHeight="1">
      <c r="A1618" t="inlineStr">
        <is>
          <t>A 41809-2021</t>
        </is>
      </c>
      <c r="B1618" s="1" t="n">
        <v>44425</v>
      </c>
      <c r="C1618" s="1" t="n">
        <v>45224</v>
      </c>
      <c r="D1618" t="inlineStr">
        <is>
          <t>STOCKHOLMS LÄN</t>
        </is>
      </c>
      <c r="E1618" t="inlineStr">
        <is>
          <t>HANINGE</t>
        </is>
      </c>
      <c r="G1618" t="n">
        <v>0.9</v>
      </c>
      <c r="H1618" t="n">
        <v>0</v>
      </c>
      <c r="I1618" t="n">
        <v>0</v>
      </c>
      <c r="J1618" t="n">
        <v>0</v>
      </c>
      <c r="K1618" t="n">
        <v>0</v>
      </c>
      <c r="L1618" t="n">
        <v>0</v>
      </c>
      <c r="M1618" t="n">
        <v>0</v>
      </c>
      <c r="N1618" t="n">
        <v>0</v>
      </c>
      <c r="O1618" t="n">
        <v>0</v>
      </c>
      <c r="P1618" t="n">
        <v>0</v>
      </c>
      <c r="Q1618" t="n">
        <v>0</v>
      </c>
      <c r="R1618" s="2" t="inlineStr"/>
    </row>
    <row r="1619" ht="15" customHeight="1">
      <c r="A1619" t="inlineStr">
        <is>
          <t>A 41823-2021</t>
        </is>
      </c>
      <c r="B1619" s="1" t="n">
        <v>44425</v>
      </c>
      <c r="C1619" s="1" t="n">
        <v>45224</v>
      </c>
      <c r="D1619" t="inlineStr">
        <is>
          <t>STOCKHOLMS LÄN</t>
        </is>
      </c>
      <c r="E1619" t="inlineStr">
        <is>
          <t>NORRTÄLJE</t>
        </is>
      </c>
      <c r="G1619" t="n">
        <v>2.4</v>
      </c>
      <c r="H1619" t="n">
        <v>0</v>
      </c>
      <c r="I1619" t="n">
        <v>0</v>
      </c>
      <c r="J1619" t="n">
        <v>0</v>
      </c>
      <c r="K1619" t="n">
        <v>0</v>
      </c>
      <c r="L1619" t="n">
        <v>0</v>
      </c>
      <c r="M1619" t="n">
        <v>0</v>
      </c>
      <c r="N1619" t="n">
        <v>0</v>
      </c>
      <c r="O1619" t="n">
        <v>0</v>
      </c>
      <c r="P1619" t="n">
        <v>0</v>
      </c>
      <c r="Q1619" t="n">
        <v>0</v>
      </c>
      <c r="R1619" s="2" t="inlineStr"/>
    </row>
    <row r="1620" ht="15" customHeight="1">
      <c r="A1620" t="inlineStr">
        <is>
          <t>A 42396-2021</t>
        </is>
      </c>
      <c r="B1620" s="1" t="n">
        <v>44427</v>
      </c>
      <c r="C1620" s="1" t="n">
        <v>45224</v>
      </c>
      <c r="D1620" t="inlineStr">
        <is>
          <t>STOCKHOLMS LÄN</t>
        </is>
      </c>
      <c r="E1620" t="inlineStr">
        <is>
          <t>NORRTÄLJE</t>
        </is>
      </c>
      <c r="G1620" t="n">
        <v>2</v>
      </c>
      <c r="H1620" t="n">
        <v>0</v>
      </c>
      <c r="I1620" t="n">
        <v>0</v>
      </c>
      <c r="J1620" t="n">
        <v>0</v>
      </c>
      <c r="K1620" t="n">
        <v>0</v>
      </c>
      <c r="L1620" t="n">
        <v>0</v>
      </c>
      <c r="M1620" t="n">
        <v>0</v>
      </c>
      <c r="N1620" t="n">
        <v>0</v>
      </c>
      <c r="O1620" t="n">
        <v>0</v>
      </c>
      <c r="P1620" t="n">
        <v>0</v>
      </c>
      <c r="Q1620" t="n">
        <v>0</v>
      </c>
      <c r="R1620" s="2" t="inlineStr"/>
    </row>
    <row r="1621" ht="15" customHeight="1">
      <c r="A1621" t="inlineStr">
        <is>
          <t>A 42624-2021</t>
        </is>
      </c>
      <c r="B1621" s="1" t="n">
        <v>44428</v>
      </c>
      <c r="C1621" s="1" t="n">
        <v>45224</v>
      </c>
      <c r="D1621" t="inlineStr">
        <is>
          <t>STOCKHOLMS LÄN</t>
        </is>
      </c>
      <c r="E1621" t="inlineStr">
        <is>
          <t>VALLENTUNA</t>
        </is>
      </c>
      <c r="G1621" t="n">
        <v>0.7</v>
      </c>
      <c r="H1621" t="n">
        <v>0</v>
      </c>
      <c r="I1621" t="n">
        <v>0</v>
      </c>
      <c r="J1621" t="n">
        <v>0</v>
      </c>
      <c r="K1621" t="n">
        <v>0</v>
      </c>
      <c r="L1621" t="n">
        <v>0</v>
      </c>
      <c r="M1621" t="n">
        <v>0</v>
      </c>
      <c r="N1621" t="n">
        <v>0</v>
      </c>
      <c r="O1621" t="n">
        <v>0</v>
      </c>
      <c r="P1621" t="n">
        <v>0</v>
      </c>
      <c r="Q1621" t="n">
        <v>0</v>
      </c>
      <c r="R1621" s="2" t="inlineStr"/>
    </row>
    <row r="1622" ht="15" customHeight="1">
      <c r="A1622" t="inlineStr">
        <is>
          <t>A 44346-2021</t>
        </is>
      </c>
      <c r="B1622" s="1" t="n">
        <v>44434</v>
      </c>
      <c r="C1622" s="1" t="n">
        <v>45224</v>
      </c>
      <c r="D1622" t="inlineStr">
        <is>
          <t>STOCKHOLMS LÄN</t>
        </is>
      </c>
      <c r="E1622" t="inlineStr">
        <is>
          <t>VALLENTUNA</t>
        </is>
      </c>
      <c r="G1622" t="n">
        <v>3</v>
      </c>
      <c r="H1622" t="n">
        <v>0</v>
      </c>
      <c r="I1622" t="n">
        <v>0</v>
      </c>
      <c r="J1622" t="n">
        <v>0</v>
      </c>
      <c r="K1622" t="n">
        <v>0</v>
      </c>
      <c r="L1622" t="n">
        <v>0</v>
      </c>
      <c r="M1622" t="n">
        <v>0</v>
      </c>
      <c r="N1622" t="n">
        <v>0</v>
      </c>
      <c r="O1622" t="n">
        <v>0</v>
      </c>
      <c r="P1622" t="n">
        <v>0</v>
      </c>
      <c r="Q1622" t="n">
        <v>0</v>
      </c>
      <c r="R1622" s="2" t="inlineStr"/>
    </row>
    <row r="1623" ht="15" customHeight="1">
      <c r="A1623" t="inlineStr">
        <is>
          <t>A 43893-2021</t>
        </is>
      </c>
      <c r="B1623" s="1" t="n">
        <v>44434</v>
      </c>
      <c r="C1623" s="1" t="n">
        <v>45224</v>
      </c>
      <c r="D1623" t="inlineStr">
        <is>
          <t>STOCKHOLMS LÄN</t>
        </is>
      </c>
      <c r="E1623" t="inlineStr">
        <is>
          <t>SALEM</t>
        </is>
      </c>
      <c r="F1623" t="inlineStr">
        <is>
          <t>Kommuner</t>
        </is>
      </c>
      <c r="G1623" t="n">
        <v>2.2</v>
      </c>
      <c r="H1623" t="n">
        <v>0</v>
      </c>
      <c r="I1623" t="n">
        <v>0</v>
      </c>
      <c r="J1623" t="n">
        <v>0</v>
      </c>
      <c r="K1623" t="n">
        <v>0</v>
      </c>
      <c r="L1623" t="n">
        <v>0</v>
      </c>
      <c r="M1623" t="n">
        <v>0</v>
      </c>
      <c r="N1623" t="n">
        <v>0</v>
      </c>
      <c r="O1623" t="n">
        <v>0</v>
      </c>
      <c r="P1623" t="n">
        <v>0</v>
      </c>
      <c r="Q1623" t="n">
        <v>0</v>
      </c>
      <c r="R1623" s="2" t="inlineStr"/>
    </row>
    <row r="1624" ht="15" customHeight="1">
      <c r="A1624" t="inlineStr">
        <is>
          <t>A 43922-2021</t>
        </is>
      </c>
      <c r="B1624" s="1" t="n">
        <v>44434</v>
      </c>
      <c r="C1624" s="1" t="n">
        <v>45224</v>
      </c>
      <c r="D1624" t="inlineStr">
        <is>
          <t>STOCKHOLMS LÄN</t>
        </is>
      </c>
      <c r="E1624" t="inlineStr">
        <is>
          <t>NYKVARN</t>
        </is>
      </c>
      <c r="G1624" t="n">
        <v>0.7</v>
      </c>
      <c r="H1624" t="n">
        <v>0</v>
      </c>
      <c r="I1624" t="n">
        <v>0</v>
      </c>
      <c r="J1624" t="n">
        <v>0</v>
      </c>
      <c r="K1624" t="n">
        <v>0</v>
      </c>
      <c r="L1624" t="n">
        <v>0</v>
      </c>
      <c r="M1624" t="n">
        <v>0</v>
      </c>
      <c r="N1624" t="n">
        <v>0</v>
      </c>
      <c r="O1624" t="n">
        <v>0</v>
      </c>
      <c r="P1624" t="n">
        <v>0</v>
      </c>
      <c r="Q1624" t="n">
        <v>0</v>
      </c>
      <c r="R1624" s="2" t="inlineStr"/>
    </row>
    <row r="1625" ht="15" customHeight="1">
      <c r="A1625" t="inlineStr">
        <is>
          <t>A 44274-2021</t>
        </is>
      </c>
      <c r="B1625" s="1" t="n">
        <v>44435</v>
      </c>
      <c r="C1625" s="1" t="n">
        <v>45224</v>
      </c>
      <c r="D1625" t="inlineStr">
        <is>
          <t>STOCKHOLMS LÄN</t>
        </is>
      </c>
      <c r="E1625" t="inlineStr">
        <is>
          <t>NORRTÄLJE</t>
        </is>
      </c>
      <c r="G1625" t="n">
        <v>1</v>
      </c>
      <c r="H1625" t="n">
        <v>0</v>
      </c>
      <c r="I1625" t="n">
        <v>0</v>
      </c>
      <c r="J1625" t="n">
        <v>0</v>
      </c>
      <c r="K1625" t="n">
        <v>0</v>
      </c>
      <c r="L1625" t="n">
        <v>0</v>
      </c>
      <c r="M1625" t="n">
        <v>0</v>
      </c>
      <c r="N1625" t="n">
        <v>0</v>
      </c>
      <c r="O1625" t="n">
        <v>0</v>
      </c>
      <c r="P1625" t="n">
        <v>0</v>
      </c>
      <c r="Q1625" t="n">
        <v>0</v>
      </c>
      <c r="R1625" s="2" t="inlineStr"/>
    </row>
    <row r="1626" ht="15" customHeight="1">
      <c r="A1626" t="inlineStr">
        <is>
          <t>A 44650-2021</t>
        </is>
      </c>
      <c r="B1626" s="1" t="n">
        <v>44437</v>
      </c>
      <c r="C1626" s="1" t="n">
        <v>45224</v>
      </c>
      <c r="D1626" t="inlineStr">
        <is>
          <t>STOCKHOLMS LÄN</t>
        </is>
      </c>
      <c r="E1626" t="inlineStr">
        <is>
          <t>SÖDERTÄLJE</t>
        </is>
      </c>
      <c r="G1626" t="n">
        <v>3.3</v>
      </c>
      <c r="H1626" t="n">
        <v>0</v>
      </c>
      <c r="I1626" t="n">
        <v>0</v>
      </c>
      <c r="J1626" t="n">
        <v>0</v>
      </c>
      <c r="K1626" t="n">
        <v>0</v>
      </c>
      <c r="L1626" t="n">
        <v>0</v>
      </c>
      <c r="M1626" t="n">
        <v>0</v>
      </c>
      <c r="N1626" t="n">
        <v>0</v>
      </c>
      <c r="O1626" t="n">
        <v>0</v>
      </c>
      <c r="P1626" t="n">
        <v>0</v>
      </c>
      <c r="Q1626" t="n">
        <v>0</v>
      </c>
      <c r="R1626" s="2" t="inlineStr"/>
    </row>
    <row r="1627" ht="15" customHeight="1">
      <c r="A1627" t="inlineStr">
        <is>
          <t>A 45572-2021</t>
        </is>
      </c>
      <c r="B1627" s="1" t="n">
        <v>44440</v>
      </c>
      <c r="C1627" s="1" t="n">
        <v>45224</v>
      </c>
      <c r="D1627" t="inlineStr">
        <is>
          <t>STOCKHOLMS LÄN</t>
        </is>
      </c>
      <c r="E1627" t="inlineStr">
        <is>
          <t>VÄRMDÖ</t>
        </is>
      </c>
      <c r="G1627" t="n">
        <v>0.7</v>
      </c>
      <c r="H1627" t="n">
        <v>0</v>
      </c>
      <c r="I1627" t="n">
        <v>0</v>
      </c>
      <c r="J1627" t="n">
        <v>0</v>
      </c>
      <c r="K1627" t="n">
        <v>0</v>
      </c>
      <c r="L1627" t="n">
        <v>0</v>
      </c>
      <c r="M1627" t="n">
        <v>0</v>
      </c>
      <c r="N1627" t="n">
        <v>0</v>
      </c>
      <c r="O1627" t="n">
        <v>0</v>
      </c>
      <c r="P1627" t="n">
        <v>0</v>
      </c>
      <c r="Q1627" t="n">
        <v>0</v>
      </c>
      <c r="R1627" s="2" t="inlineStr"/>
    </row>
    <row r="1628" ht="15" customHeight="1">
      <c r="A1628" t="inlineStr">
        <is>
          <t>A 45395-2021</t>
        </is>
      </c>
      <c r="B1628" s="1" t="n">
        <v>44440</v>
      </c>
      <c r="C1628" s="1" t="n">
        <v>45224</v>
      </c>
      <c r="D1628" t="inlineStr">
        <is>
          <t>STOCKHOLMS LÄN</t>
        </is>
      </c>
      <c r="E1628" t="inlineStr">
        <is>
          <t>HANINGE</t>
        </is>
      </c>
      <c r="F1628" t="inlineStr">
        <is>
          <t>Övriga statliga verk och myndigheter</t>
        </is>
      </c>
      <c r="G1628" t="n">
        <v>3.5</v>
      </c>
      <c r="H1628" t="n">
        <v>0</v>
      </c>
      <c r="I1628" t="n">
        <v>0</v>
      </c>
      <c r="J1628" t="n">
        <v>0</v>
      </c>
      <c r="K1628" t="n">
        <v>0</v>
      </c>
      <c r="L1628" t="n">
        <v>0</v>
      </c>
      <c r="M1628" t="n">
        <v>0</v>
      </c>
      <c r="N1628" t="n">
        <v>0</v>
      </c>
      <c r="O1628" t="n">
        <v>0</v>
      </c>
      <c r="P1628" t="n">
        <v>0</v>
      </c>
      <c r="Q1628" t="n">
        <v>0</v>
      </c>
      <c r="R1628" s="2" t="inlineStr"/>
    </row>
    <row r="1629" ht="15" customHeight="1">
      <c r="A1629" t="inlineStr">
        <is>
          <t>A 45674-2021</t>
        </is>
      </c>
      <c r="B1629" s="1" t="n">
        <v>44441</v>
      </c>
      <c r="C1629" s="1" t="n">
        <v>45224</v>
      </c>
      <c r="D1629" t="inlineStr">
        <is>
          <t>STOCKHOLMS LÄN</t>
        </is>
      </c>
      <c r="E1629" t="inlineStr">
        <is>
          <t>SÖDERTÄLJE</t>
        </is>
      </c>
      <c r="G1629" t="n">
        <v>2</v>
      </c>
      <c r="H1629" t="n">
        <v>0</v>
      </c>
      <c r="I1629" t="n">
        <v>0</v>
      </c>
      <c r="J1629" t="n">
        <v>0</v>
      </c>
      <c r="K1629" t="n">
        <v>0</v>
      </c>
      <c r="L1629" t="n">
        <v>0</v>
      </c>
      <c r="M1629" t="n">
        <v>0</v>
      </c>
      <c r="N1629" t="n">
        <v>0</v>
      </c>
      <c r="O1629" t="n">
        <v>0</v>
      </c>
      <c r="P1629" t="n">
        <v>0</v>
      </c>
      <c r="Q1629" t="n">
        <v>0</v>
      </c>
      <c r="R1629" s="2" t="inlineStr"/>
    </row>
    <row r="1630" ht="15" customHeight="1">
      <c r="A1630" t="inlineStr">
        <is>
          <t>A 46244-2021</t>
        </is>
      </c>
      <c r="B1630" s="1" t="n">
        <v>44442</v>
      </c>
      <c r="C1630" s="1" t="n">
        <v>45224</v>
      </c>
      <c r="D1630" t="inlineStr">
        <is>
          <t>STOCKHOLMS LÄN</t>
        </is>
      </c>
      <c r="E1630" t="inlineStr">
        <is>
          <t>UPPLANDS-BRO</t>
        </is>
      </c>
      <c r="G1630" t="n">
        <v>0.9</v>
      </c>
      <c r="H1630" t="n">
        <v>0</v>
      </c>
      <c r="I1630" t="n">
        <v>0</v>
      </c>
      <c r="J1630" t="n">
        <v>0</v>
      </c>
      <c r="K1630" t="n">
        <v>0</v>
      </c>
      <c r="L1630" t="n">
        <v>0</v>
      </c>
      <c r="M1630" t="n">
        <v>0</v>
      </c>
      <c r="N1630" t="n">
        <v>0</v>
      </c>
      <c r="O1630" t="n">
        <v>0</v>
      </c>
      <c r="P1630" t="n">
        <v>0</v>
      </c>
      <c r="Q1630" t="n">
        <v>0</v>
      </c>
      <c r="R1630" s="2" t="inlineStr"/>
    </row>
    <row r="1631" ht="15" customHeight="1">
      <c r="A1631" t="inlineStr">
        <is>
          <t>A 46671-2021</t>
        </is>
      </c>
      <c r="B1631" s="1" t="n">
        <v>44445</v>
      </c>
      <c r="C1631" s="1" t="n">
        <v>45224</v>
      </c>
      <c r="D1631" t="inlineStr">
        <is>
          <t>STOCKHOLMS LÄN</t>
        </is>
      </c>
      <c r="E1631" t="inlineStr">
        <is>
          <t>SÖDERTÄLJE</t>
        </is>
      </c>
      <c r="G1631" t="n">
        <v>8.1</v>
      </c>
      <c r="H1631" t="n">
        <v>0</v>
      </c>
      <c r="I1631" t="n">
        <v>0</v>
      </c>
      <c r="J1631" t="n">
        <v>0</v>
      </c>
      <c r="K1631" t="n">
        <v>0</v>
      </c>
      <c r="L1631" t="n">
        <v>0</v>
      </c>
      <c r="M1631" t="n">
        <v>0</v>
      </c>
      <c r="N1631" t="n">
        <v>0</v>
      </c>
      <c r="O1631" t="n">
        <v>0</v>
      </c>
      <c r="P1631" t="n">
        <v>0</v>
      </c>
      <c r="Q1631" t="n">
        <v>0</v>
      </c>
      <c r="R1631" s="2" t="inlineStr"/>
    </row>
    <row r="1632" ht="15" customHeight="1">
      <c r="A1632" t="inlineStr">
        <is>
          <t>A 46924-2021</t>
        </is>
      </c>
      <c r="B1632" s="1" t="n">
        <v>44446</v>
      </c>
      <c r="C1632" s="1" t="n">
        <v>45224</v>
      </c>
      <c r="D1632" t="inlineStr">
        <is>
          <t>STOCKHOLMS LÄN</t>
        </is>
      </c>
      <c r="E1632" t="inlineStr">
        <is>
          <t>VALLENTUNA</t>
        </is>
      </c>
      <c r="G1632" t="n">
        <v>0.6</v>
      </c>
      <c r="H1632" t="n">
        <v>0</v>
      </c>
      <c r="I1632" t="n">
        <v>0</v>
      </c>
      <c r="J1632" t="n">
        <v>0</v>
      </c>
      <c r="K1632" t="n">
        <v>0</v>
      </c>
      <c r="L1632" t="n">
        <v>0</v>
      </c>
      <c r="M1632" t="n">
        <v>0</v>
      </c>
      <c r="N1632" t="n">
        <v>0</v>
      </c>
      <c r="O1632" t="n">
        <v>0</v>
      </c>
      <c r="P1632" t="n">
        <v>0</v>
      </c>
      <c r="Q1632" t="n">
        <v>0</v>
      </c>
      <c r="R1632" s="2" t="inlineStr"/>
    </row>
    <row r="1633" ht="15" customHeight="1">
      <c r="A1633" t="inlineStr">
        <is>
          <t>A 46935-2021</t>
        </is>
      </c>
      <c r="B1633" s="1" t="n">
        <v>44446</v>
      </c>
      <c r="C1633" s="1" t="n">
        <v>45224</v>
      </c>
      <c r="D1633" t="inlineStr">
        <is>
          <t>STOCKHOLMS LÄN</t>
        </is>
      </c>
      <c r="E1633" t="inlineStr">
        <is>
          <t>VALLENTUNA</t>
        </is>
      </c>
      <c r="G1633" t="n">
        <v>0.4</v>
      </c>
      <c r="H1633" t="n">
        <v>0</v>
      </c>
      <c r="I1633" t="n">
        <v>0</v>
      </c>
      <c r="J1633" t="n">
        <v>0</v>
      </c>
      <c r="K1633" t="n">
        <v>0</v>
      </c>
      <c r="L1633" t="n">
        <v>0</v>
      </c>
      <c r="M1633" t="n">
        <v>0</v>
      </c>
      <c r="N1633" t="n">
        <v>0</v>
      </c>
      <c r="O1633" t="n">
        <v>0</v>
      </c>
      <c r="P1633" t="n">
        <v>0</v>
      </c>
      <c r="Q1633" t="n">
        <v>0</v>
      </c>
      <c r="R1633" s="2" t="inlineStr"/>
    </row>
    <row r="1634" ht="15" customHeight="1">
      <c r="A1634" t="inlineStr">
        <is>
          <t>A 47344-2021</t>
        </is>
      </c>
      <c r="B1634" s="1" t="n">
        <v>44447</v>
      </c>
      <c r="C1634" s="1" t="n">
        <v>45224</v>
      </c>
      <c r="D1634" t="inlineStr">
        <is>
          <t>STOCKHOLMS LÄN</t>
        </is>
      </c>
      <c r="E1634" t="inlineStr">
        <is>
          <t>NORRTÄLJE</t>
        </is>
      </c>
      <c r="G1634" t="n">
        <v>3.3</v>
      </c>
      <c r="H1634" t="n">
        <v>0</v>
      </c>
      <c r="I1634" t="n">
        <v>0</v>
      </c>
      <c r="J1634" t="n">
        <v>0</v>
      </c>
      <c r="K1634" t="n">
        <v>0</v>
      </c>
      <c r="L1634" t="n">
        <v>0</v>
      </c>
      <c r="M1634" t="n">
        <v>0</v>
      </c>
      <c r="N1634" t="n">
        <v>0</v>
      </c>
      <c r="O1634" t="n">
        <v>0</v>
      </c>
      <c r="P1634" t="n">
        <v>0</v>
      </c>
      <c r="Q1634" t="n">
        <v>0</v>
      </c>
      <c r="R1634" s="2" t="inlineStr"/>
    </row>
    <row r="1635" ht="15" customHeight="1">
      <c r="A1635" t="inlineStr">
        <is>
          <t>A 47349-2021</t>
        </is>
      </c>
      <c r="B1635" s="1" t="n">
        <v>44447</v>
      </c>
      <c r="C1635" s="1" t="n">
        <v>45224</v>
      </c>
      <c r="D1635" t="inlineStr">
        <is>
          <t>STOCKHOLMS LÄN</t>
        </is>
      </c>
      <c r="E1635" t="inlineStr">
        <is>
          <t>NORRTÄLJE</t>
        </is>
      </c>
      <c r="G1635" t="n">
        <v>3.3</v>
      </c>
      <c r="H1635" t="n">
        <v>0</v>
      </c>
      <c r="I1635" t="n">
        <v>0</v>
      </c>
      <c r="J1635" t="n">
        <v>0</v>
      </c>
      <c r="K1635" t="n">
        <v>0</v>
      </c>
      <c r="L1635" t="n">
        <v>0</v>
      </c>
      <c r="M1635" t="n">
        <v>0</v>
      </c>
      <c r="N1635" t="n">
        <v>0</v>
      </c>
      <c r="O1635" t="n">
        <v>0</v>
      </c>
      <c r="P1635" t="n">
        <v>0</v>
      </c>
      <c r="Q1635" t="n">
        <v>0</v>
      </c>
      <c r="R1635" s="2" t="inlineStr"/>
    </row>
    <row r="1636" ht="15" customHeight="1">
      <c r="A1636" t="inlineStr">
        <is>
          <t>A 47691-2021</t>
        </is>
      </c>
      <c r="B1636" s="1" t="n">
        <v>44448</v>
      </c>
      <c r="C1636" s="1" t="n">
        <v>45224</v>
      </c>
      <c r="D1636" t="inlineStr">
        <is>
          <t>STOCKHOLMS LÄN</t>
        </is>
      </c>
      <c r="E1636" t="inlineStr">
        <is>
          <t>NORRTÄLJE</t>
        </is>
      </c>
      <c r="G1636" t="n">
        <v>2.8</v>
      </c>
      <c r="H1636" t="n">
        <v>0</v>
      </c>
      <c r="I1636" t="n">
        <v>0</v>
      </c>
      <c r="J1636" t="n">
        <v>0</v>
      </c>
      <c r="K1636" t="n">
        <v>0</v>
      </c>
      <c r="L1636" t="n">
        <v>0</v>
      </c>
      <c r="M1636" t="n">
        <v>0</v>
      </c>
      <c r="N1636" t="n">
        <v>0</v>
      </c>
      <c r="O1636" t="n">
        <v>0</v>
      </c>
      <c r="P1636" t="n">
        <v>0</v>
      </c>
      <c r="Q1636" t="n">
        <v>0</v>
      </c>
      <c r="R1636" s="2" t="inlineStr"/>
    </row>
    <row r="1637" ht="15" customHeight="1">
      <c r="A1637" t="inlineStr">
        <is>
          <t>A 48387-2021</t>
        </is>
      </c>
      <c r="B1637" s="1" t="n">
        <v>44451</v>
      </c>
      <c r="C1637" s="1" t="n">
        <v>45224</v>
      </c>
      <c r="D1637" t="inlineStr">
        <is>
          <t>STOCKHOLMS LÄN</t>
        </is>
      </c>
      <c r="E1637" t="inlineStr">
        <is>
          <t>SÖDERTÄLJE</t>
        </is>
      </c>
      <c r="G1637" t="n">
        <v>0.8</v>
      </c>
      <c r="H1637" t="n">
        <v>0</v>
      </c>
      <c r="I1637" t="n">
        <v>0</v>
      </c>
      <c r="J1637" t="n">
        <v>0</v>
      </c>
      <c r="K1637" t="n">
        <v>0</v>
      </c>
      <c r="L1637" t="n">
        <v>0</v>
      </c>
      <c r="M1637" t="n">
        <v>0</v>
      </c>
      <c r="N1637" t="n">
        <v>0</v>
      </c>
      <c r="O1637" t="n">
        <v>0</v>
      </c>
      <c r="P1637" t="n">
        <v>0</v>
      </c>
      <c r="Q1637" t="n">
        <v>0</v>
      </c>
      <c r="R1637" s="2" t="inlineStr"/>
    </row>
    <row r="1638" ht="15" customHeight="1">
      <c r="A1638" t="inlineStr">
        <is>
          <t>A 48384-2021</t>
        </is>
      </c>
      <c r="B1638" s="1" t="n">
        <v>44451</v>
      </c>
      <c r="C1638" s="1" t="n">
        <v>45224</v>
      </c>
      <c r="D1638" t="inlineStr">
        <is>
          <t>STOCKHOLMS LÄN</t>
        </is>
      </c>
      <c r="E1638" t="inlineStr">
        <is>
          <t>NORRTÄLJE</t>
        </is>
      </c>
      <c r="G1638" t="n">
        <v>1.4</v>
      </c>
      <c r="H1638" t="n">
        <v>0</v>
      </c>
      <c r="I1638" t="n">
        <v>0</v>
      </c>
      <c r="J1638" t="n">
        <v>0</v>
      </c>
      <c r="K1638" t="n">
        <v>0</v>
      </c>
      <c r="L1638" t="n">
        <v>0</v>
      </c>
      <c r="M1638" t="n">
        <v>0</v>
      </c>
      <c r="N1638" t="n">
        <v>0</v>
      </c>
      <c r="O1638" t="n">
        <v>0</v>
      </c>
      <c r="P1638" t="n">
        <v>0</v>
      </c>
      <c r="Q1638" t="n">
        <v>0</v>
      </c>
      <c r="R1638" s="2" t="inlineStr"/>
    </row>
    <row r="1639" ht="15" customHeight="1">
      <c r="A1639" t="inlineStr">
        <is>
          <t>A 48798-2021</t>
        </is>
      </c>
      <c r="B1639" s="1" t="n">
        <v>44452</v>
      </c>
      <c r="C1639" s="1" t="n">
        <v>45224</v>
      </c>
      <c r="D1639" t="inlineStr">
        <is>
          <t>STOCKHOLMS LÄN</t>
        </is>
      </c>
      <c r="E1639" t="inlineStr">
        <is>
          <t>NORRTÄLJE</t>
        </is>
      </c>
      <c r="G1639" t="n">
        <v>2</v>
      </c>
      <c r="H1639" t="n">
        <v>0</v>
      </c>
      <c r="I1639" t="n">
        <v>0</v>
      </c>
      <c r="J1639" t="n">
        <v>0</v>
      </c>
      <c r="K1639" t="n">
        <v>0</v>
      </c>
      <c r="L1639" t="n">
        <v>0</v>
      </c>
      <c r="M1639" t="n">
        <v>0</v>
      </c>
      <c r="N1639" t="n">
        <v>0</v>
      </c>
      <c r="O1639" t="n">
        <v>0</v>
      </c>
      <c r="P1639" t="n">
        <v>0</v>
      </c>
      <c r="Q1639" t="n">
        <v>0</v>
      </c>
      <c r="R1639" s="2" t="inlineStr"/>
    </row>
    <row r="1640" ht="15" customHeight="1">
      <c r="A1640" t="inlineStr">
        <is>
          <t>A 48932-2021</t>
        </is>
      </c>
      <c r="B1640" s="1" t="n">
        <v>44453</v>
      </c>
      <c r="C1640" s="1" t="n">
        <v>45224</v>
      </c>
      <c r="D1640" t="inlineStr">
        <is>
          <t>STOCKHOLMS LÄN</t>
        </is>
      </c>
      <c r="E1640" t="inlineStr">
        <is>
          <t>NORRTÄLJE</t>
        </is>
      </c>
      <c r="G1640" t="n">
        <v>11.2</v>
      </c>
      <c r="H1640" t="n">
        <v>0</v>
      </c>
      <c r="I1640" t="n">
        <v>0</v>
      </c>
      <c r="J1640" t="n">
        <v>0</v>
      </c>
      <c r="K1640" t="n">
        <v>0</v>
      </c>
      <c r="L1640" t="n">
        <v>0</v>
      </c>
      <c r="M1640" t="n">
        <v>0</v>
      </c>
      <c r="N1640" t="n">
        <v>0</v>
      </c>
      <c r="O1640" t="n">
        <v>0</v>
      </c>
      <c r="P1640" t="n">
        <v>0</v>
      </c>
      <c r="Q1640" t="n">
        <v>0</v>
      </c>
      <c r="R1640" s="2" t="inlineStr"/>
    </row>
    <row r="1641" ht="15" customHeight="1">
      <c r="A1641" t="inlineStr">
        <is>
          <t>A 49113-2021</t>
        </is>
      </c>
      <c r="B1641" s="1" t="n">
        <v>44453</v>
      </c>
      <c r="C1641" s="1" t="n">
        <v>45224</v>
      </c>
      <c r="D1641" t="inlineStr">
        <is>
          <t>STOCKHOLMS LÄN</t>
        </is>
      </c>
      <c r="E1641" t="inlineStr">
        <is>
          <t>NORRTÄLJE</t>
        </is>
      </c>
      <c r="G1641" t="n">
        <v>0.7</v>
      </c>
      <c r="H1641" t="n">
        <v>0</v>
      </c>
      <c r="I1641" t="n">
        <v>0</v>
      </c>
      <c r="J1641" t="n">
        <v>0</v>
      </c>
      <c r="K1641" t="n">
        <v>0</v>
      </c>
      <c r="L1641" t="n">
        <v>0</v>
      </c>
      <c r="M1641" t="n">
        <v>0</v>
      </c>
      <c r="N1641" t="n">
        <v>0</v>
      </c>
      <c r="O1641" t="n">
        <v>0</v>
      </c>
      <c r="P1641" t="n">
        <v>0</v>
      </c>
      <c r="Q1641" t="n">
        <v>0</v>
      </c>
      <c r="R1641" s="2" t="inlineStr"/>
    </row>
    <row r="1642" ht="15" customHeight="1">
      <c r="A1642" t="inlineStr">
        <is>
          <t>A 49622-2021</t>
        </is>
      </c>
      <c r="B1642" s="1" t="n">
        <v>44455</v>
      </c>
      <c r="C1642" s="1" t="n">
        <v>45224</v>
      </c>
      <c r="D1642" t="inlineStr">
        <is>
          <t>STOCKHOLMS LÄN</t>
        </is>
      </c>
      <c r="E1642" t="inlineStr">
        <is>
          <t>UPPLANDS-BRO</t>
        </is>
      </c>
      <c r="G1642" t="n">
        <v>3.8</v>
      </c>
      <c r="H1642" t="n">
        <v>0</v>
      </c>
      <c r="I1642" t="n">
        <v>0</v>
      </c>
      <c r="J1642" t="n">
        <v>0</v>
      </c>
      <c r="K1642" t="n">
        <v>0</v>
      </c>
      <c r="L1642" t="n">
        <v>0</v>
      </c>
      <c r="M1642" t="n">
        <v>0</v>
      </c>
      <c r="N1642" t="n">
        <v>0</v>
      </c>
      <c r="O1642" t="n">
        <v>0</v>
      </c>
      <c r="P1642" t="n">
        <v>0</v>
      </c>
      <c r="Q1642" t="n">
        <v>0</v>
      </c>
      <c r="R1642" s="2" t="inlineStr"/>
    </row>
    <row r="1643" ht="15" customHeight="1">
      <c r="A1643" t="inlineStr">
        <is>
          <t>A 50059-2021</t>
        </is>
      </c>
      <c r="B1643" s="1" t="n">
        <v>44455</v>
      </c>
      <c r="C1643" s="1" t="n">
        <v>45224</v>
      </c>
      <c r="D1643" t="inlineStr">
        <is>
          <t>STOCKHOLMS LÄN</t>
        </is>
      </c>
      <c r="E1643" t="inlineStr">
        <is>
          <t>SÖDERTÄLJE</t>
        </is>
      </c>
      <c r="G1643" t="n">
        <v>4</v>
      </c>
      <c r="H1643" t="n">
        <v>0</v>
      </c>
      <c r="I1643" t="n">
        <v>0</v>
      </c>
      <c r="J1643" t="n">
        <v>0</v>
      </c>
      <c r="K1643" t="n">
        <v>0</v>
      </c>
      <c r="L1643" t="n">
        <v>0</v>
      </c>
      <c r="M1643" t="n">
        <v>0</v>
      </c>
      <c r="N1643" t="n">
        <v>0</v>
      </c>
      <c r="O1643" t="n">
        <v>0</v>
      </c>
      <c r="P1643" t="n">
        <v>0</v>
      </c>
      <c r="Q1643" t="n">
        <v>0</v>
      </c>
      <c r="R1643" s="2" t="inlineStr"/>
    </row>
    <row r="1644" ht="15" customHeight="1">
      <c r="A1644" t="inlineStr">
        <is>
          <t>A 50108-2021</t>
        </is>
      </c>
      <c r="B1644" s="1" t="n">
        <v>44456</v>
      </c>
      <c r="C1644" s="1" t="n">
        <v>45224</v>
      </c>
      <c r="D1644" t="inlineStr">
        <is>
          <t>STOCKHOLMS LÄN</t>
        </is>
      </c>
      <c r="E1644" t="inlineStr">
        <is>
          <t>NORRTÄLJE</t>
        </is>
      </c>
      <c r="G1644" t="n">
        <v>0.7</v>
      </c>
      <c r="H1644" t="n">
        <v>0</v>
      </c>
      <c r="I1644" t="n">
        <v>0</v>
      </c>
      <c r="J1644" t="n">
        <v>0</v>
      </c>
      <c r="K1644" t="n">
        <v>0</v>
      </c>
      <c r="L1644" t="n">
        <v>0</v>
      </c>
      <c r="M1644" t="n">
        <v>0</v>
      </c>
      <c r="N1644" t="n">
        <v>0</v>
      </c>
      <c r="O1644" t="n">
        <v>0</v>
      </c>
      <c r="P1644" t="n">
        <v>0</v>
      </c>
      <c r="Q1644" t="n">
        <v>0</v>
      </c>
      <c r="R1644" s="2" t="inlineStr"/>
    </row>
    <row r="1645" ht="15" customHeight="1">
      <c r="A1645" t="inlineStr">
        <is>
          <t>A 50038-2021</t>
        </is>
      </c>
      <c r="B1645" s="1" t="n">
        <v>44456</v>
      </c>
      <c r="C1645" s="1" t="n">
        <v>45224</v>
      </c>
      <c r="D1645" t="inlineStr">
        <is>
          <t>STOCKHOLMS LÄN</t>
        </is>
      </c>
      <c r="E1645" t="inlineStr">
        <is>
          <t>NORRTÄLJE</t>
        </is>
      </c>
      <c r="G1645" t="n">
        <v>4.2</v>
      </c>
      <c r="H1645" t="n">
        <v>0</v>
      </c>
      <c r="I1645" t="n">
        <v>0</v>
      </c>
      <c r="J1645" t="n">
        <v>0</v>
      </c>
      <c r="K1645" t="n">
        <v>0</v>
      </c>
      <c r="L1645" t="n">
        <v>0</v>
      </c>
      <c r="M1645" t="n">
        <v>0</v>
      </c>
      <c r="N1645" t="n">
        <v>0</v>
      </c>
      <c r="O1645" t="n">
        <v>0</v>
      </c>
      <c r="P1645" t="n">
        <v>0</v>
      </c>
      <c r="Q1645" t="n">
        <v>0</v>
      </c>
      <c r="R1645" s="2" t="inlineStr"/>
    </row>
    <row r="1646" ht="15" customHeight="1">
      <c r="A1646" t="inlineStr">
        <is>
          <t>A 50252-2021</t>
        </is>
      </c>
      <c r="B1646" s="1" t="n">
        <v>44458</v>
      </c>
      <c r="C1646" s="1" t="n">
        <v>45224</v>
      </c>
      <c r="D1646" t="inlineStr">
        <is>
          <t>STOCKHOLMS LÄN</t>
        </is>
      </c>
      <c r="E1646" t="inlineStr">
        <is>
          <t>NORRTÄLJE</t>
        </is>
      </c>
      <c r="G1646" t="n">
        <v>1.5</v>
      </c>
      <c r="H1646" t="n">
        <v>0</v>
      </c>
      <c r="I1646" t="n">
        <v>0</v>
      </c>
      <c r="J1646" t="n">
        <v>0</v>
      </c>
      <c r="K1646" t="n">
        <v>0</v>
      </c>
      <c r="L1646" t="n">
        <v>0</v>
      </c>
      <c r="M1646" t="n">
        <v>0</v>
      </c>
      <c r="N1646" t="n">
        <v>0</v>
      </c>
      <c r="O1646" t="n">
        <v>0</v>
      </c>
      <c r="P1646" t="n">
        <v>0</v>
      </c>
      <c r="Q1646" t="n">
        <v>0</v>
      </c>
      <c r="R1646" s="2" t="inlineStr"/>
    </row>
    <row r="1647" ht="15" customHeight="1">
      <c r="A1647" t="inlineStr">
        <is>
          <t>A 50602-2021</t>
        </is>
      </c>
      <c r="B1647" s="1" t="n">
        <v>44459</v>
      </c>
      <c r="C1647" s="1" t="n">
        <v>45224</v>
      </c>
      <c r="D1647" t="inlineStr">
        <is>
          <t>STOCKHOLMS LÄN</t>
        </is>
      </c>
      <c r="E1647" t="inlineStr">
        <is>
          <t>NORRTÄLJE</t>
        </is>
      </c>
      <c r="F1647" t="inlineStr">
        <is>
          <t>Holmen skog AB</t>
        </is>
      </c>
      <c r="G1647" t="n">
        <v>2</v>
      </c>
      <c r="H1647" t="n">
        <v>0</v>
      </c>
      <c r="I1647" t="n">
        <v>0</v>
      </c>
      <c r="J1647" t="n">
        <v>0</v>
      </c>
      <c r="K1647" t="n">
        <v>0</v>
      </c>
      <c r="L1647" t="n">
        <v>0</v>
      </c>
      <c r="M1647" t="n">
        <v>0</v>
      </c>
      <c r="N1647" t="n">
        <v>0</v>
      </c>
      <c r="O1647" t="n">
        <v>0</v>
      </c>
      <c r="P1647" t="n">
        <v>0</v>
      </c>
      <c r="Q1647" t="n">
        <v>0</v>
      </c>
      <c r="R1647" s="2" t="inlineStr"/>
    </row>
    <row r="1648" ht="15" customHeight="1">
      <c r="A1648" t="inlineStr">
        <is>
          <t>A 50903-2021</t>
        </is>
      </c>
      <c r="B1648" s="1" t="n">
        <v>44460</v>
      </c>
      <c r="C1648" s="1" t="n">
        <v>45224</v>
      </c>
      <c r="D1648" t="inlineStr">
        <is>
          <t>STOCKHOLMS LÄN</t>
        </is>
      </c>
      <c r="E1648" t="inlineStr">
        <is>
          <t>HANINGE</t>
        </is>
      </c>
      <c r="G1648" t="n">
        <v>1.5</v>
      </c>
      <c r="H1648" t="n">
        <v>0</v>
      </c>
      <c r="I1648" t="n">
        <v>0</v>
      </c>
      <c r="J1648" t="n">
        <v>0</v>
      </c>
      <c r="K1648" t="n">
        <v>0</v>
      </c>
      <c r="L1648" t="n">
        <v>0</v>
      </c>
      <c r="M1648" t="n">
        <v>0</v>
      </c>
      <c r="N1648" t="n">
        <v>0</v>
      </c>
      <c r="O1648" t="n">
        <v>0</v>
      </c>
      <c r="P1648" t="n">
        <v>0</v>
      </c>
      <c r="Q1648" t="n">
        <v>0</v>
      </c>
      <c r="R1648" s="2" t="inlineStr"/>
    </row>
    <row r="1649" ht="15" customHeight="1">
      <c r="A1649" t="inlineStr">
        <is>
          <t>A 51482-2021</t>
        </is>
      </c>
      <c r="B1649" s="1" t="n">
        <v>44460</v>
      </c>
      <c r="C1649" s="1" t="n">
        <v>45224</v>
      </c>
      <c r="D1649" t="inlineStr">
        <is>
          <t>STOCKHOLMS LÄN</t>
        </is>
      </c>
      <c r="E1649" t="inlineStr">
        <is>
          <t>SÖDERTÄLJE</t>
        </is>
      </c>
      <c r="G1649" t="n">
        <v>7</v>
      </c>
      <c r="H1649" t="n">
        <v>0</v>
      </c>
      <c r="I1649" t="n">
        <v>0</v>
      </c>
      <c r="J1649" t="n">
        <v>0</v>
      </c>
      <c r="K1649" t="n">
        <v>0</v>
      </c>
      <c r="L1649" t="n">
        <v>0</v>
      </c>
      <c r="M1649" t="n">
        <v>0</v>
      </c>
      <c r="N1649" t="n">
        <v>0</v>
      </c>
      <c r="O1649" t="n">
        <v>0</v>
      </c>
      <c r="P1649" t="n">
        <v>0</v>
      </c>
      <c r="Q1649" t="n">
        <v>0</v>
      </c>
      <c r="R1649" s="2" t="inlineStr"/>
    </row>
    <row r="1650" ht="15" customHeight="1">
      <c r="A1650" t="inlineStr">
        <is>
          <t>A 51454-2021</t>
        </is>
      </c>
      <c r="B1650" s="1" t="n">
        <v>44460</v>
      </c>
      <c r="C1650" s="1" t="n">
        <v>45224</v>
      </c>
      <c r="D1650" t="inlineStr">
        <is>
          <t>STOCKHOLMS LÄN</t>
        </is>
      </c>
      <c r="E1650" t="inlineStr">
        <is>
          <t>SÖDERTÄLJE</t>
        </is>
      </c>
      <c r="G1650" t="n">
        <v>5.6</v>
      </c>
      <c r="H1650" t="n">
        <v>0</v>
      </c>
      <c r="I1650" t="n">
        <v>0</v>
      </c>
      <c r="J1650" t="n">
        <v>0</v>
      </c>
      <c r="K1650" t="n">
        <v>0</v>
      </c>
      <c r="L1650" t="n">
        <v>0</v>
      </c>
      <c r="M1650" t="n">
        <v>0</v>
      </c>
      <c r="N1650" t="n">
        <v>0</v>
      </c>
      <c r="O1650" t="n">
        <v>0</v>
      </c>
      <c r="P1650" t="n">
        <v>0</v>
      </c>
      <c r="Q1650" t="n">
        <v>0</v>
      </c>
      <c r="R1650" s="2" t="inlineStr"/>
    </row>
    <row r="1651" ht="15" customHeight="1">
      <c r="A1651" t="inlineStr">
        <is>
          <t>A 50692-2021</t>
        </is>
      </c>
      <c r="B1651" s="1" t="n">
        <v>44460</v>
      </c>
      <c r="C1651" s="1" t="n">
        <v>45224</v>
      </c>
      <c r="D1651" t="inlineStr">
        <is>
          <t>STOCKHOLMS LÄN</t>
        </is>
      </c>
      <c r="E1651" t="inlineStr">
        <is>
          <t>SALEM</t>
        </is>
      </c>
      <c r="F1651" t="inlineStr">
        <is>
          <t>Kommuner</t>
        </is>
      </c>
      <c r="G1651" t="n">
        <v>6.4</v>
      </c>
      <c r="H1651" t="n">
        <v>0</v>
      </c>
      <c r="I1651" t="n">
        <v>0</v>
      </c>
      <c r="J1651" t="n">
        <v>0</v>
      </c>
      <c r="K1651" t="n">
        <v>0</v>
      </c>
      <c r="L1651" t="n">
        <v>0</v>
      </c>
      <c r="M1651" t="n">
        <v>0</v>
      </c>
      <c r="N1651" t="n">
        <v>0</v>
      </c>
      <c r="O1651" t="n">
        <v>0</v>
      </c>
      <c r="P1651" t="n">
        <v>0</v>
      </c>
      <c r="Q1651" t="n">
        <v>0</v>
      </c>
      <c r="R1651" s="2" t="inlineStr"/>
    </row>
    <row r="1652" ht="15" customHeight="1">
      <c r="A1652" t="inlineStr">
        <is>
          <t>A 51279-2021</t>
        </is>
      </c>
      <c r="B1652" s="1" t="n">
        <v>44461</v>
      </c>
      <c r="C1652" s="1" t="n">
        <v>45224</v>
      </c>
      <c r="D1652" t="inlineStr">
        <is>
          <t>STOCKHOLMS LÄN</t>
        </is>
      </c>
      <c r="E1652" t="inlineStr">
        <is>
          <t>NORRTÄLJE</t>
        </is>
      </c>
      <c r="F1652" t="inlineStr">
        <is>
          <t>Holmen skog AB</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51315-2021</t>
        </is>
      </c>
      <c r="B1653" s="1" t="n">
        <v>44461</v>
      </c>
      <c r="C1653" s="1" t="n">
        <v>45224</v>
      </c>
      <c r="D1653" t="inlineStr">
        <is>
          <t>STOCKHOLMS LÄN</t>
        </is>
      </c>
      <c r="E1653" t="inlineStr">
        <is>
          <t>NORRTÄLJE</t>
        </is>
      </c>
      <c r="F1653" t="inlineStr">
        <is>
          <t>Holmen skog AB</t>
        </is>
      </c>
      <c r="G1653" t="n">
        <v>2.2</v>
      </c>
      <c r="H1653" t="n">
        <v>0</v>
      </c>
      <c r="I1653" t="n">
        <v>0</v>
      </c>
      <c r="J1653" t="n">
        <v>0</v>
      </c>
      <c r="K1653" t="n">
        <v>0</v>
      </c>
      <c r="L1653" t="n">
        <v>0</v>
      </c>
      <c r="M1653" t="n">
        <v>0</v>
      </c>
      <c r="N1653" t="n">
        <v>0</v>
      </c>
      <c r="O1653" t="n">
        <v>0</v>
      </c>
      <c r="P1653" t="n">
        <v>0</v>
      </c>
      <c r="Q1653" t="n">
        <v>0</v>
      </c>
      <c r="R1653" s="2" t="inlineStr"/>
    </row>
    <row r="1654" ht="15" customHeight="1">
      <c r="A1654" t="inlineStr">
        <is>
          <t>A 51787-2021</t>
        </is>
      </c>
      <c r="B1654" s="1" t="n">
        <v>44462</v>
      </c>
      <c r="C1654" s="1" t="n">
        <v>45224</v>
      </c>
      <c r="D1654" t="inlineStr">
        <is>
          <t>STOCKHOLMS LÄN</t>
        </is>
      </c>
      <c r="E1654" t="inlineStr">
        <is>
          <t>NYKVARN</t>
        </is>
      </c>
      <c r="G1654" t="n">
        <v>1.5</v>
      </c>
      <c r="H1654" t="n">
        <v>0</v>
      </c>
      <c r="I1654" t="n">
        <v>0</v>
      </c>
      <c r="J1654" t="n">
        <v>0</v>
      </c>
      <c r="K1654" t="n">
        <v>0</v>
      </c>
      <c r="L1654" t="n">
        <v>0</v>
      </c>
      <c r="M1654" t="n">
        <v>0</v>
      </c>
      <c r="N1654" t="n">
        <v>0</v>
      </c>
      <c r="O1654" t="n">
        <v>0</v>
      </c>
      <c r="P1654" t="n">
        <v>0</v>
      </c>
      <c r="Q1654" t="n">
        <v>0</v>
      </c>
      <c r="R1654" s="2" t="inlineStr"/>
    </row>
    <row r="1655" ht="15" customHeight="1">
      <c r="A1655" t="inlineStr">
        <is>
          <t>A 52214-2021</t>
        </is>
      </c>
      <c r="B1655" s="1" t="n">
        <v>44462</v>
      </c>
      <c r="C1655" s="1" t="n">
        <v>45224</v>
      </c>
      <c r="D1655" t="inlineStr">
        <is>
          <t>STOCKHOLMS LÄN</t>
        </is>
      </c>
      <c r="E1655" t="inlineStr">
        <is>
          <t>SÖDERTÄLJE</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52035-2021</t>
        </is>
      </c>
      <c r="B1656" s="1" t="n">
        <v>44463</v>
      </c>
      <c r="C1656" s="1" t="n">
        <v>45224</v>
      </c>
      <c r="D1656" t="inlineStr">
        <is>
          <t>STOCKHOLMS LÄN</t>
        </is>
      </c>
      <c r="E1656" t="inlineStr">
        <is>
          <t>BOTKYRKA</t>
        </is>
      </c>
      <c r="G1656" t="n">
        <v>1.2</v>
      </c>
      <c r="H1656" t="n">
        <v>0</v>
      </c>
      <c r="I1656" t="n">
        <v>0</v>
      </c>
      <c r="J1656" t="n">
        <v>0</v>
      </c>
      <c r="K1656" t="n">
        <v>0</v>
      </c>
      <c r="L1656" t="n">
        <v>0</v>
      </c>
      <c r="M1656" t="n">
        <v>0</v>
      </c>
      <c r="N1656" t="n">
        <v>0</v>
      </c>
      <c r="O1656" t="n">
        <v>0</v>
      </c>
      <c r="P1656" t="n">
        <v>0</v>
      </c>
      <c r="Q1656" t="n">
        <v>0</v>
      </c>
      <c r="R1656" s="2" t="inlineStr"/>
    </row>
    <row r="1657" ht="15" customHeight="1">
      <c r="A1657" t="inlineStr">
        <is>
          <t>A 52090-2021</t>
        </is>
      </c>
      <c r="B1657" s="1" t="n">
        <v>44463</v>
      </c>
      <c r="C1657" s="1" t="n">
        <v>45224</v>
      </c>
      <c r="D1657" t="inlineStr">
        <is>
          <t>STOCKHOLMS LÄN</t>
        </is>
      </c>
      <c r="E1657" t="inlineStr">
        <is>
          <t>NORRTÄLJE</t>
        </is>
      </c>
      <c r="G1657" t="n">
        <v>3.6</v>
      </c>
      <c r="H1657" t="n">
        <v>0</v>
      </c>
      <c r="I1657" t="n">
        <v>0</v>
      </c>
      <c r="J1657" t="n">
        <v>0</v>
      </c>
      <c r="K1657" t="n">
        <v>0</v>
      </c>
      <c r="L1657" t="n">
        <v>0</v>
      </c>
      <c r="M1657" t="n">
        <v>0</v>
      </c>
      <c r="N1657" t="n">
        <v>0</v>
      </c>
      <c r="O1657" t="n">
        <v>0</v>
      </c>
      <c r="P1657" t="n">
        <v>0</v>
      </c>
      <c r="Q1657" t="n">
        <v>0</v>
      </c>
      <c r="R1657" s="2" t="inlineStr"/>
    </row>
    <row r="1658" ht="15" customHeight="1">
      <c r="A1658" t="inlineStr">
        <is>
          <t>A 52377-2021</t>
        </is>
      </c>
      <c r="B1658" s="1" t="n">
        <v>44465</v>
      </c>
      <c r="C1658" s="1" t="n">
        <v>45224</v>
      </c>
      <c r="D1658" t="inlineStr">
        <is>
          <t>STOCKHOLMS LÄN</t>
        </is>
      </c>
      <c r="E1658" t="inlineStr">
        <is>
          <t>VALLENTUNA</t>
        </is>
      </c>
      <c r="G1658" t="n">
        <v>1.4</v>
      </c>
      <c r="H1658" t="n">
        <v>0</v>
      </c>
      <c r="I1658" t="n">
        <v>0</v>
      </c>
      <c r="J1658" t="n">
        <v>0</v>
      </c>
      <c r="K1658" t="n">
        <v>0</v>
      </c>
      <c r="L1658" t="n">
        <v>0</v>
      </c>
      <c r="M1658" t="n">
        <v>0</v>
      </c>
      <c r="N1658" t="n">
        <v>0</v>
      </c>
      <c r="O1658" t="n">
        <v>0</v>
      </c>
      <c r="P1658" t="n">
        <v>0</v>
      </c>
      <c r="Q1658" t="n">
        <v>0</v>
      </c>
      <c r="R1658" s="2" t="inlineStr"/>
    </row>
    <row r="1659" ht="15" customHeight="1">
      <c r="A1659" t="inlineStr">
        <is>
          <t>A 53042-2021</t>
        </is>
      </c>
      <c r="B1659" s="1" t="n">
        <v>44467</v>
      </c>
      <c r="C1659" s="1" t="n">
        <v>45224</v>
      </c>
      <c r="D1659" t="inlineStr">
        <is>
          <t>STOCKHOLMS LÄN</t>
        </is>
      </c>
      <c r="E1659" t="inlineStr">
        <is>
          <t>SÖDERTÄLJE</t>
        </is>
      </c>
      <c r="G1659" t="n">
        <v>6.8</v>
      </c>
      <c r="H1659" t="n">
        <v>0</v>
      </c>
      <c r="I1659" t="n">
        <v>0</v>
      </c>
      <c r="J1659" t="n">
        <v>0</v>
      </c>
      <c r="K1659" t="n">
        <v>0</v>
      </c>
      <c r="L1659" t="n">
        <v>0</v>
      </c>
      <c r="M1659" t="n">
        <v>0</v>
      </c>
      <c r="N1659" t="n">
        <v>0</v>
      </c>
      <c r="O1659" t="n">
        <v>0</v>
      </c>
      <c r="P1659" t="n">
        <v>0</v>
      </c>
      <c r="Q1659" t="n">
        <v>0</v>
      </c>
      <c r="R1659" s="2" t="inlineStr"/>
    </row>
    <row r="1660" ht="15" customHeight="1">
      <c r="A1660" t="inlineStr">
        <is>
          <t>A 53090-2021</t>
        </is>
      </c>
      <c r="B1660" s="1" t="n">
        <v>44467</v>
      </c>
      <c r="C1660" s="1" t="n">
        <v>45224</v>
      </c>
      <c r="D1660" t="inlineStr">
        <is>
          <t>STOCKHOLMS LÄN</t>
        </is>
      </c>
      <c r="E1660" t="inlineStr">
        <is>
          <t>SIGTUNA</t>
        </is>
      </c>
      <c r="G1660" t="n">
        <v>0.7</v>
      </c>
      <c r="H1660" t="n">
        <v>0</v>
      </c>
      <c r="I1660" t="n">
        <v>0</v>
      </c>
      <c r="J1660" t="n">
        <v>0</v>
      </c>
      <c r="K1660" t="n">
        <v>0</v>
      </c>
      <c r="L1660" t="n">
        <v>0</v>
      </c>
      <c r="M1660" t="n">
        <v>0</v>
      </c>
      <c r="N1660" t="n">
        <v>0</v>
      </c>
      <c r="O1660" t="n">
        <v>0</v>
      </c>
      <c r="P1660" t="n">
        <v>0</v>
      </c>
      <c r="Q1660" t="n">
        <v>0</v>
      </c>
      <c r="R1660" s="2" t="inlineStr"/>
    </row>
    <row r="1661" ht="15" customHeight="1">
      <c r="A1661" t="inlineStr">
        <is>
          <t>A 53462-2021</t>
        </is>
      </c>
      <c r="B1661" s="1" t="n">
        <v>44468</v>
      </c>
      <c r="C1661" s="1" t="n">
        <v>45224</v>
      </c>
      <c r="D1661" t="inlineStr">
        <is>
          <t>STOCKHOLMS LÄN</t>
        </is>
      </c>
      <c r="E1661" t="inlineStr">
        <is>
          <t>SIGTUNA</t>
        </is>
      </c>
      <c r="F1661" t="inlineStr">
        <is>
          <t>Kyrkan</t>
        </is>
      </c>
      <c r="G1661" t="n">
        <v>2</v>
      </c>
      <c r="H1661" t="n">
        <v>0</v>
      </c>
      <c r="I1661" t="n">
        <v>0</v>
      </c>
      <c r="J1661" t="n">
        <v>0</v>
      </c>
      <c r="K1661" t="n">
        <v>0</v>
      </c>
      <c r="L1661" t="n">
        <v>0</v>
      </c>
      <c r="M1661" t="n">
        <v>0</v>
      </c>
      <c r="N1661" t="n">
        <v>0</v>
      </c>
      <c r="O1661" t="n">
        <v>0</v>
      </c>
      <c r="P1661" t="n">
        <v>0</v>
      </c>
      <c r="Q1661" t="n">
        <v>0</v>
      </c>
      <c r="R1661" s="2" t="inlineStr"/>
    </row>
    <row r="1662" ht="15" customHeight="1">
      <c r="A1662" t="inlineStr">
        <is>
          <t>A 54276-2021</t>
        </is>
      </c>
      <c r="B1662" s="1" t="n">
        <v>44470</v>
      </c>
      <c r="C1662" s="1" t="n">
        <v>45224</v>
      </c>
      <c r="D1662" t="inlineStr">
        <is>
          <t>STOCKHOLMS LÄN</t>
        </is>
      </c>
      <c r="E1662" t="inlineStr">
        <is>
          <t>NORRTÄLJE</t>
        </is>
      </c>
      <c r="G1662" t="n">
        <v>7.3</v>
      </c>
      <c r="H1662" t="n">
        <v>0</v>
      </c>
      <c r="I1662" t="n">
        <v>0</v>
      </c>
      <c r="J1662" t="n">
        <v>0</v>
      </c>
      <c r="K1662" t="n">
        <v>0</v>
      </c>
      <c r="L1662" t="n">
        <v>0</v>
      </c>
      <c r="M1662" t="n">
        <v>0</v>
      </c>
      <c r="N1662" t="n">
        <v>0</v>
      </c>
      <c r="O1662" t="n">
        <v>0</v>
      </c>
      <c r="P1662" t="n">
        <v>0</v>
      </c>
      <c r="Q1662" t="n">
        <v>0</v>
      </c>
      <c r="R1662" s="2" t="inlineStr"/>
    </row>
    <row r="1663" ht="15" customHeight="1">
      <c r="A1663" t="inlineStr">
        <is>
          <t>A 54396-2021</t>
        </is>
      </c>
      <c r="B1663" s="1" t="n">
        <v>44472</v>
      </c>
      <c r="C1663" s="1" t="n">
        <v>45224</v>
      </c>
      <c r="D1663" t="inlineStr">
        <is>
          <t>STOCKHOLMS LÄN</t>
        </is>
      </c>
      <c r="E1663" t="inlineStr">
        <is>
          <t>NORRTÄLJE</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54418-2021</t>
        </is>
      </c>
      <c r="B1664" s="1" t="n">
        <v>44473</v>
      </c>
      <c r="C1664" s="1" t="n">
        <v>45224</v>
      </c>
      <c r="D1664" t="inlineStr">
        <is>
          <t>STOCKHOLMS LÄN</t>
        </is>
      </c>
      <c r="E1664" t="inlineStr">
        <is>
          <t>NYKVARN</t>
        </is>
      </c>
      <c r="G1664" t="n">
        <v>2</v>
      </c>
      <c r="H1664" t="n">
        <v>0</v>
      </c>
      <c r="I1664" t="n">
        <v>0</v>
      </c>
      <c r="J1664" t="n">
        <v>0</v>
      </c>
      <c r="K1664" t="n">
        <v>0</v>
      </c>
      <c r="L1664" t="n">
        <v>0</v>
      </c>
      <c r="M1664" t="n">
        <v>0</v>
      </c>
      <c r="N1664" t="n">
        <v>0</v>
      </c>
      <c r="O1664" t="n">
        <v>0</v>
      </c>
      <c r="P1664" t="n">
        <v>0</v>
      </c>
      <c r="Q1664" t="n">
        <v>0</v>
      </c>
      <c r="R1664" s="2" t="inlineStr"/>
    </row>
    <row r="1665" ht="15" customHeight="1">
      <c r="A1665" t="inlineStr">
        <is>
          <t>A 55112-2021</t>
        </is>
      </c>
      <c r="B1665" s="1" t="n">
        <v>44474</v>
      </c>
      <c r="C1665" s="1" t="n">
        <v>45224</v>
      </c>
      <c r="D1665" t="inlineStr">
        <is>
          <t>STOCKHOLMS LÄN</t>
        </is>
      </c>
      <c r="E1665" t="inlineStr">
        <is>
          <t>SIGTUNA</t>
        </is>
      </c>
      <c r="G1665" t="n">
        <v>0.6</v>
      </c>
      <c r="H1665" t="n">
        <v>0</v>
      </c>
      <c r="I1665" t="n">
        <v>0</v>
      </c>
      <c r="J1665" t="n">
        <v>0</v>
      </c>
      <c r="K1665" t="n">
        <v>0</v>
      </c>
      <c r="L1665" t="n">
        <v>0</v>
      </c>
      <c r="M1665" t="n">
        <v>0</v>
      </c>
      <c r="N1665" t="n">
        <v>0</v>
      </c>
      <c r="O1665" t="n">
        <v>0</v>
      </c>
      <c r="P1665" t="n">
        <v>0</v>
      </c>
      <c r="Q1665" t="n">
        <v>0</v>
      </c>
      <c r="R1665" s="2" t="inlineStr"/>
    </row>
    <row r="1666" ht="15" customHeight="1">
      <c r="A1666" t="inlineStr">
        <is>
          <t>A 55861-2021</t>
        </is>
      </c>
      <c r="B1666" s="1" t="n">
        <v>44476</v>
      </c>
      <c r="C1666" s="1" t="n">
        <v>45224</v>
      </c>
      <c r="D1666" t="inlineStr">
        <is>
          <t>STOCKHOLMS LÄN</t>
        </is>
      </c>
      <c r="E1666" t="inlineStr">
        <is>
          <t>HANINGE</t>
        </is>
      </c>
      <c r="F1666" t="inlineStr">
        <is>
          <t>Kommuner</t>
        </is>
      </c>
      <c r="G1666" t="n">
        <v>1.3</v>
      </c>
      <c r="H1666" t="n">
        <v>0</v>
      </c>
      <c r="I1666" t="n">
        <v>0</v>
      </c>
      <c r="J1666" t="n">
        <v>0</v>
      </c>
      <c r="K1666" t="n">
        <v>0</v>
      </c>
      <c r="L1666" t="n">
        <v>0</v>
      </c>
      <c r="M1666" t="n">
        <v>0</v>
      </c>
      <c r="N1666" t="n">
        <v>0</v>
      </c>
      <c r="O1666" t="n">
        <v>0</v>
      </c>
      <c r="P1666" t="n">
        <v>0</v>
      </c>
      <c r="Q1666" t="n">
        <v>0</v>
      </c>
      <c r="R1666" s="2" t="inlineStr"/>
    </row>
    <row r="1667" ht="15" customHeight="1">
      <c r="A1667" t="inlineStr">
        <is>
          <t>A 55853-2021</t>
        </is>
      </c>
      <c r="B1667" s="1" t="n">
        <v>44476</v>
      </c>
      <c r="C1667" s="1" t="n">
        <v>45224</v>
      </c>
      <c r="D1667" t="inlineStr">
        <is>
          <t>STOCKHOLMS LÄN</t>
        </is>
      </c>
      <c r="E1667" t="inlineStr">
        <is>
          <t>HANINGE</t>
        </is>
      </c>
      <c r="F1667" t="inlineStr">
        <is>
          <t>Kommuner</t>
        </is>
      </c>
      <c r="G1667" t="n">
        <v>1.3</v>
      </c>
      <c r="H1667" t="n">
        <v>0</v>
      </c>
      <c r="I1667" t="n">
        <v>0</v>
      </c>
      <c r="J1667" t="n">
        <v>0</v>
      </c>
      <c r="K1667" t="n">
        <v>0</v>
      </c>
      <c r="L1667" t="n">
        <v>0</v>
      </c>
      <c r="M1667" t="n">
        <v>0</v>
      </c>
      <c r="N1667" t="n">
        <v>0</v>
      </c>
      <c r="O1667" t="n">
        <v>0</v>
      </c>
      <c r="P1667" t="n">
        <v>0</v>
      </c>
      <c r="Q1667" t="n">
        <v>0</v>
      </c>
      <c r="R1667" s="2" t="inlineStr"/>
    </row>
    <row r="1668" ht="15" customHeight="1">
      <c r="A1668" t="inlineStr">
        <is>
          <t>A 55857-2021</t>
        </is>
      </c>
      <c r="B1668" s="1" t="n">
        <v>44476</v>
      </c>
      <c r="C1668" s="1" t="n">
        <v>45224</v>
      </c>
      <c r="D1668" t="inlineStr">
        <is>
          <t>STOCKHOLMS LÄN</t>
        </is>
      </c>
      <c r="E1668" t="inlineStr">
        <is>
          <t>HANINGE</t>
        </is>
      </c>
      <c r="F1668" t="inlineStr">
        <is>
          <t>Kommuner</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56219-2021</t>
        </is>
      </c>
      <c r="B1669" s="1" t="n">
        <v>44477</v>
      </c>
      <c r="C1669" s="1" t="n">
        <v>45224</v>
      </c>
      <c r="D1669" t="inlineStr">
        <is>
          <t>STOCKHOLMS LÄN</t>
        </is>
      </c>
      <c r="E1669" t="inlineStr">
        <is>
          <t>NORRTÄLJE</t>
        </is>
      </c>
      <c r="F1669" t="inlineStr">
        <is>
          <t>Kommuner</t>
        </is>
      </c>
      <c r="G1669" t="n">
        <v>2.3</v>
      </c>
      <c r="H1669" t="n">
        <v>0</v>
      </c>
      <c r="I1669" t="n">
        <v>0</v>
      </c>
      <c r="J1669" t="n">
        <v>0</v>
      </c>
      <c r="K1669" t="n">
        <v>0</v>
      </c>
      <c r="L1669" t="n">
        <v>0</v>
      </c>
      <c r="M1669" t="n">
        <v>0</v>
      </c>
      <c r="N1669" t="n">
        <v>0</v>
      </c>
      <c r="O1669" t="n">
        <v>0</v>
      </c>
      <c r="P1669" t="n">
        <v>0</v>
      </c>
      <c r="Q1669" t="n">
        <v>0</v>
      </c>
      <c r="R1669" s="2" t="inlineStr"/>
    </row>
    <row r="1670" ht="15" customHeight="1">
      <c r="A1670" t="inlineStr">
        <is>
          <t>A 56724-2021</t>
        </is>
      </c>
      <c r="B1670" s="1" t="n">
        <v>44480</v>
      </c>
      <c r="C1670" s="1" t="n">
        <v>45224</v>
      </c>
      <c r="D1670" t="inlineStr">
        <is>
          <t>STOCKHOLMS LÄN</t>
        </is>
      </c>
      <c r="E1670" t="inlineStr">
        <is>
          <t>SIGTUNA</t>
        </is>
      </c>
      <c r="G1670" t="n">
        <v>1</v>
      </c>
      <c r="H1670" t="n">
        <v>0</v>
      </c>
      <c r="I1670" t="n">
        <v>0</v>
      </c>
      <c r="J1670" t="n">
        <v>0</v>
      </c>
      <c r="K1670" t="n">
        <v>0</v>
      </c>
      <c r="L1670" t="n">
        <v>0</v>
      </c>
      <c r="M1670" t="n">
        <v>0</v>
      </c>
      <c r="N1670" t="n">
        <v>0</v>
      </c>
      <c r="O1670" t="n">
        <v>0</v>
      </c>
      <c r="P1670" t="n">
        <v>0</v>
      </c>
      <c r="Q1670" t="n">
        <v>0</v>
      </c>
      <c r="R1670" s="2" t="inlineStr"/>
    </row>
    <row r="1671" ht="15" customHeight="1">
      <c r="A1671" t="inlineStr">
        <is>
          <t>A 56756-2021</t>
        </is>
      </c>
      <c r="B1671" s="1" t="n">
        <v>44481</v>
      </c>
      <c r="C1671" s="1" t="n">
        <v>45224</v>
      </c>
      <c r="D1671" t="inlineStr">
        <is>
          <t>STOCKHOLMS LÄN</t>
        </is>
      </c>
      <c r="E1671" t="inlineStr">
        <is>
          <t>UPPLANDS-BRO</t>
        </is>
      </c>
      <c r="G1671" t="n">
        <v>1.1</v>
      </c>
      <c r="H1671" t="n">
        <v>0</v>
      </c>
      <c r="I1671" t="n">
        <v>0</v>
      </c>
      <c r="J1671" t="n">
        <v>0</v>
      </c>
      <c r="K1671" t="n">
        <v>0</v>
      </c>
      <c r="L1671" t="n">
        <v>0</v>
      </c>
      <c r="M1671" t="n">
        <v>0</v>
      </c>
      <c r="N1671" t="n">
        <v>0</v>
      </c>
      <c r="O1671" t="n">
        <v>0</v>
      </c>
      <c r="P1671" t="n">
        <v>0</v>
      </c>
      <c r="Q1671" t="n">
        <v>0</v>
      </c>
      <c r="R1671" s="2" t="inlineStr"/>
    </row>
    <row r="1672" ht="15" customHeight="1">
      <c r="A1672" t="inlineStr">
        <is>
          <t>A 56816-2021</t>
        </is>
      </c>
      <c r="B1672" s="1" t="n">
        <v>44481</v>
      </c>
      <c r="C1672" s="1" t="n">
        <v>45224</v>
      </c>
      <c r="D1672" t="inlineStr">
        <is>
          <t>STOCKHOLMS LÄN</t>
        </is>
      </c>
      <c r="E1672" t="inlineStr">
        <is>
          <t>BOTKYRKA</t>
        </is>
      </c>
      <c r="G1672" t="n">
        <v>10.9</v>
      </c>
      <c r="H1672" t="n">
        <v>0</v>
      </c>
      <c r="I1672" t="n">
        <v>0</v>
      </c>
      <c r="J1672" t="n">
        <v>0</v>
      </c>
      <c r="K1672" t="n">
        <v>0</v>
      </c>
      <c r="L1672" t="n">
        <v>0</v>
      </c>
      <c r="M1672" t="n">
        <v>0</v>
      </c>
      <c r="N1672" t="n">
        <v>0</v>
      </c>
      <c r="O1672" t="n">
        <v>0</v>
      </c>
      <c r="P1672" t="n">
        <v>0</v>
      </c>
      <c r="Q1672" t="n">
        <v>0</v>
      </c>
      <c r="R1672" s="2" t="inlineStr"/>
    </row>
    <row r="1673" ht="15" customHeight="1">
      <c r="A1673" t="inlineStr">
        <is>
          <t>A 56878-2021</t>
        </is>
      </c>
      <c r="B1673" s="1" t="n">
        <v>44481</v>
      </c>
      <c r="C1673" s="1" t="n">
        <v>45224</v>
      </c>
      <c r="D1673" t="inlineStr">
        <is>
          <t>STOCKHOLMS LÄN</t>
        </is>
      </c>
      <c r="E1673" t="inlineStr">
        <is>
          <t>NORRTÄLJE</t>
        </is>
      </c>
      <c r="G1673" t="n">
        <v>4.5</v>
      </c>
      <c r="H1673" t="n">
        <v>0</v>
      </c>
      <c r="I1673" t="n">
        <v>0</v>
      </c>
      <c r="J1673" t="n">
        <v>0</v>
      </c>
      <c r="K1673" t="n">
        <v>0</v>
      </c>
      <c r="L1673" t="n">
        <v>0</v>
      </c>
      <c r="M1673" t="n">
        <v>0</v>
      </c>
      <c r="N1673" t="n">
        <v>0</v>
      </c>
      <c r="O1673" t="n">
        <v>0</v>
      </c>
      <c r="P1673" t="n">
        <v>0</v>
      </c>
      <c r="Q1673" t="n">
        <v>0</v>
      </c>
      <c r="R1673" s="2" t="inlineStr"/>
    </row>
    <row r="1674" ht="15" customHeight="1">
      <c r="A1674" t="inlineStr">
        <is>
          <t>A 57039-2021</t>
        </is>
      </c>
      <c r="B1674" s="1" t="n">
        <v>44482</v>
      </c>
      <c r="C1674" s="1" t="n">
        <v>45224</v>
      </c>
      <c r="D1674" t="inlineStr">
        <is>
          <t>STOCKHOLMS LÄN</t>
        </is>
      </c>
      <c r="E1674" t="inlineStr">
        <is>
          <t>SÖDERTÄLJE</t>
        </is>
      </c>
      <c r="G1674" t="n">
        <v>3.8</v>
      </c>
      <c r="H1674" t="n">
        <v>0</v>
      </c>
      <c r="I1674" t="n">
        <v>0</v>
      </c>
      <c r="J1674" t="n">
        <v>0</v>
      </c>
      <c r="K1674" t="n">
        <v>0</v>
      </c>
      <c r="L1674" t="n">
        <v>0</v>
      </c>
      <c r="M1674" t="n">
        <v>0</v>
      </c>
      <c r="N1674" t="n">
        <v>0</v>
      </c>
      <c r="O1674" t="n">
        <v>0</v>
      </c>
      <c r="P1674" t="n">
        <v>0</v>
      </c>
      <c r="Q1674" t="n">
        <v>0</v>
      </c>
      <c r="R1674" s="2" t="inlineStr"/>
    </row>
    <row r="1675" ht="15" customHeight="1">
      <c r="A1675" t="inlineStr">
        <is>
          <t>A 57442-2021</t>
        </is>
      </c>
      <c r="B1675" s="1" t="n">
        <v>44483</v>
      </c>
      <c r="C1675" s="1" t="n">
        <v>45224</v>
      </c>
      <c r="D1675" t="inlineStr">
        <is>
          <t>STOCKHOLMS LÄN</t>
        </is>
      </c>
      <c r="E1675" t="inlineStr">
        <is>
          <t>NORRTÄLJE</t>
        </is>
      </c>
      <c r="G1675" t="n">
        <v>3.3</v>
      </c>
      <c r="H1675" t="n">
        <v>0</v>
      </c>
      <c r="I1675" t="n">
        <v>0</v>
      </c>
      <c r="J1675" t="n">
        <v>0</v>
      </c>
      <c r="K1675" t="n">
        <v>0</v>
      </c>
      <c r="L1675" t="n">
        <v>0</v>
      </c>
      <c r="M1675" t="n">
        <v>0</v>
      </c>
      <c r="N1675" t="n">
        <v>0</v>
      </c>
      <c r="O1675" t="n">
        <v>0</v>
      </c>
      <c r="P1675" t="n">
        <v>0</v>
      </c>
      <c r="Q1675" t="n">
        <v>0</v>
      </c>
      <c r="R1675" s="2" t="inlineStr"/>
    </row>
    <row r="1676" ht="15" customHeight="1">
      <c r="A1676" t="inlineStr">
        <is>
          <t>A 57507-2021</t>
        </is>
      </c>
      <c r="B1676" s="1" t="n">
        <v>44483</v>
      </c>
      <c r="C1676" s="1" t="n">
        <v>45224</v>
      </c>
      <c r="D1676" t="inlineStr">
        <is>
          <t>STOCKHOLMS LÄN</t>
        </is>
      </c>
      <c r="E1676" t="inlineStr">
        <is>
          <t>NORRTÄLJE</t>
        </is>
      </c>
      <c r="G1676" t="n">
        <v>0.9</v>
      </c>
      <c r="H1676" t="n">
        <v>0</v>
      </c>
      <c r="I1676" t="n">
        <v>0</v>
      </c>
      <c r="J1676" t="n">
        <v>0</v>
      </c>
      <c r="K1676" t="n">
        <v>0</v>
      </c>
      <c r="L1676" t="n">
        <v>0</v>
      </c>
      <c r="M1676" t="n">
        <v>0</v>
      </c>
      <c r="N1676" t="n">
        <v>0</v>
      </c>
      <c r="O1676" t="n">
        <v>0</v>
      </c>
      <c r="P1676" t="n">
        <v>0</v>
      </c>
      <c r="Q1676" t="n">
        <v>0</v>
      </c>
      <c r="R1676" s="2" t="inlineStr"/>
    </row>
    <row r="1677" ht="15" customHeight="1">
      <c r="A1677" t="inlineStr">
        <is>
          <t>A 57884-2021</t>
        </is>
      </c>
      <c r="B1677" s="1" t="n">
        <v>44485</v>
      </c>
      <c r="C1677" s="1" t="n">
        <v>45224</v>
      </c>
      <c r="D1677" t="inlineStr">
        <is>
          <t>STOCKHOLMS LÄN</t>
        </is>
      </c>
      <c r="E1677" t="inlineStr">
        <is>
          <t>SÖDERTÄLJE</t>
        </is>
      </c>
      <c r="G1677" t="n">
        <v>1.1</v>
      </c>
      <c r="H1677" t="n">
        <v>0</v>
      </c>
      <c r="I1677" t="n">
        <v>0</v>
      </c>
      <c r="J1677" t="n">
        <v>0</v>
      </c>
      <c r="K1677" t="n">
        <v>0</v>
      </c>
      <c r="L1677" t="n">
        <v>0</v>
      </c>
      <c r="M1677" t="n">
        <v>0</v>
      </c>
      <c r="N1677" t="n">
        <v>0</v>
      </c>
      <c r="O1677" t="n">
        <v>0</v>
      </c>
      <c r="P1677" t="n">
        <v>0</v>
      </c>
      <c r="Q1677" t="n">
        <v>0</v>
      </c>
      <c r="R1677" s="2" t="inlineStr"/>
    </row>
    <row r="1678" ht="15" customHeight="1">
      <c r="A1678" t="inlineStr">
        <is>
          <t>A 57993-2021</t>
        </is>
      </c>
      <c r="B1678" s="1" t="n">
        <v>44487</v>
      </c>
      <c r="C1678" s="1" t="n">
        <v>45224</v>
      </c>
      <c r="D1678" t="inlineStr">
        <is>
          <t>STOCKHOLMS LÄN</t>
        </is>
      </c>
      <c r="E1678" t="inlineStr">
        <is>
          <t>UPPLANDS-BRO</t>
        </is>
      </c>
      <c r="F1678" t="inlineStr">
        <is>
          <t>Övriga statliga verk och myndigheter</t>
        </is>
      </c>
      <c r="G1678" t="n">
        <v>6</v>
      </c>
      <c r="H1678" t="n">
        <v>0</v>
      </c>
      <c r="I1678" t="n">
        <v>0</v>
      </c>
      <c r="J1678" t="n">
        <v>0</v>
      </c>
      <c r="K1678" t="n">
        <v>0</v>
      </c>
      <c r="L1678" t="n">
        <v>0</v>
      </c>
      <c r="M1678" t="n">
        <v>0</v>
      </c>
      <c r="N1678" t="n">
        <v>0</v>
      </c>
      <c r="O1678" t="n">
        <v>0</v>
      </c>
      <c r="P1678" t="n">
        <v>0</v>
      </c>
      <c r="Q1678" t="n">
        <v>0</v>
      </c>
      <c r="R1678" s="2" t="inlineStr"/>
    </row>
    <row r="1679" ht="15" customHeight="1">
      <c r="A1679" t="inlineStr">
        <is>
          <t>A 58011-2021</t>
        </is>
      </c>
      <c r="B1679" s="1" t="n">
        <v>44487</v>
      </c>
      <c r="C1679" s="1" t="n">
        <v>45224</v>
      </c>
      <c r="D1679" t="inlineStr">
        <is>
          <t>STOCKHOLMS LÄN</t>
        </is>
      </c>
      <c r="E1679" t="inlineStr">
        <is>
          <t>UPPLANDS-BRO</t>
        </is>
      </c>
      <c r="F1679" t="inlineStr">
        <is>
          <t>Övriga statliga verk och myndigheter</t>
        </is>
      </c>
      <c r="G1679" t="n">
        <v>9.199999999999999</v>
      </c>
      <c r="H1679" t="n">
        <v>0</v>
      </c>
      <c r="I1679" t="n">
        <v>0</v>
      </c>
      <c r="J1679" t="n">
        <v>0</v>
      </c>
      <c r="K1679" t="n">
        <v>0</v>
      </c>
      <c r="L1679" t="n">
        <v>0</v>
      </c>
      <c r="M1679" t="n">
        <v>0</v>
      </c>
      <c r="N1679" t="n">
        <v>0</v>
      </c>
      <c r="O1679" t="n">
        <v>0</v>
      </c>
      <c r="P1679" t="n">
        <v>0</v>
      </c>
      <c r="Q1679" t="n">
        <v>0</v>
      </c>
      <c r="R1679" s="2" t="inlineStr"/>
    </row>
    <row r="1680" ht="15" customHeight="1">
      <c r="A1680" t="inlineStr">
        <is>
          <t>A 58669-2021</t>
        </is>
      </c>
      <c r="B1680" s="1" t="n">
        <v>44489</v>
      </c>
      <c r="C1680" s="1" t="n">
        <v>45224</v>
      </c>
      <c r="D1680" t="inlineStr">
        <is>
          <t>STOCKHOLMS LÄN</t>
        </is>
      </c>
      <c r="E1680" t="inlineStr">
        <is>
          <t>UPPLANDS-BRO</t>
        </is>
      </c>
      <c r="F1680" t="inlineStr">
        <is>
          <t>Övriga statliga verk och myndigheter</t>
        </is>
      </c>
      <c r="G1680" t="n">
        <v>20.7</v>
      </c>
      <c r="H1680" t="n">
        <v>0</v>
      </c>
      <c r="I1680" t="n">
        <v>0</v>
      </c>
      <c r="J1680" t="n">
        <v>0</v>
      </c>
      <c r="K1680" t="n">
        <v>0</v>
      </c>
      <c r="L1680" t="n">
        <v>0</v>
      </c>
      <c r="M1680" t="n">
        <v>0</v>
      </c>
      <c r="N1680" t="n">
        <v>0</v>
      </c>
      <c r="O1680" t="n">
        <v>0</v>
      </c>
      <c r="P1680" t="n">
        <v>0</v>
      </c>
      <c r="Q1680" t="n">
        <v>0</v>
      </c>
      <c r="R1680" s="2" t="inlineStr"/>
    </row>
    <row r="1681" ht="15" customHeight="1">
      <c r="A1681" t="inlineStr">
        <is>
          <t>A 58663-2021</t>
        </is>
      </c>
      <c r="B1681" s="1" t="n">
        <v>44489</v>
      </c>
      <c r="C1681" s="1" t="n">
        <v>45224</v>
      </c>
      <c r="D1681" t="inlineStr">
        <is>
          <t>STOCKHOLMS LÄN</t>
        </is>
      </c>
      <c r="E1681" t="inlineStr">
        <is>
          <t>UPPLANDS-BRO</t>
        </is>
      </c>
      <c r="F1681" t="inlineStr">
        <is>
          <t>Övriga statliga verk och myndigheter</t>
        </is>
      </c>
      <c r="G1681" t="n">
        <v>4.3</v>
      </c>
      <c r="H1681" t="n">
        <v>0</v>
      </c>
      <c r="I1681" t="n">
        <v>0</v>
      </c>
      <c r="J1681" t="n">
        <v>0</v>
      </c>
      <c r="K1681" t="n">
        <v>0</v>
      </c>
      <c r="L1681" t="n">
        <v>0</v>
      </c>
      <c r="M1681" t="n">
        <v>0</v>
      </c>
      <c r="N1681" t="n">
        <v>0</v>
      </c>
      <c r="O1681" t="n">
        <v>0</v>
      </c>
      <c r="P1681" t="n">
        <v>0</v>
      </c>
      <c r="Q1681" t="n">
        <v>0</v>
      </c>
      <c r="R1681" s="2" t="inlineStr"/>
    </row>
    <row r="1682" ht="15" customHeight="1">
      <c r="A1682" t="inlineStr">
        <is>
          <t>A 59235-2021</t>
        </is>
      </c>
      <c r="B1682" s="1" t="n">
        <v>44490</v>
      </c>
      <c r="C1682" s="1" t="n">
        <v>45224</v>
      </c>
      <c r="D1682" t="inlineStr">
        <is>
          <t>STOCKHOLMS LÄN</t>
        </is>
      </c>
      <c r="E1682" t="inlineStr">
        <is>
          <t>SÖDERTÄLJE</t>
        </is>
      </c>
      <c r="G1682" t="n">
        <v>3.6</v>
      </c>
      <c r="H1682" t="n">
        <v>0</v>
      </c>
      <c r="I1682" t="n">
        <v>0</v>
      </c>
      <c r="J1682" t="n">
        <v>0</v>
      </c>
      <c r="K1682" t="n">
        <v>0</v>
      </c>
      <c r="L1682" t="n">
        <v>0</v>
      </c>
      <c r="M1682" t="n">
        <v>0</v>
      </c>
      <c r="N1682" t="n">
        <v>0</v>
      </c>
      <c r="O1682" t="n">
        <v>0</v>
      </c>
      <c r="P1682" t="n">
        <v>0</v>
      </c>
      <c r="Q1682" t="n">
        <v>0</v>
      </c>
      <c r="R1682" s="2" t="inlineStr"/>
    </row>
    <row r="1683" ht="15" customHeight="1">
      <c r="A1683" t="inlineStr">
        <is>
          <t>A 59700-2021</t>
        </is>
      </c>
      <c r="B1683" s="1" t="n">
        <v>44494</v>
      </c>
      <c r="C1683" s="1" t="n">
        <v>45224</v>
      </c>
      <c r="D1683" t="inlineStr">
        <is>
          <t>STOCKHOLMS LÄN</t>
        </is>
      </c>
      <c r="E1683" t="inlineStr">
        <is>
          <t>UPPLANDS-BRO</t>
        </is>
      </c>
      <c r="F1683" t="inlineStr">
        <is>
          <t>Övriga statliga verk och myndigheter</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59732-2021</t>
        </is>
      </c>
      <c r="B1684" s="1" t="n">
        <v>44494</v>
      </c>
      <c r="C1684" s="1" t="n">
        <v>45224</v>
      </c>
      <c r="D1684" t="inlineStr">
        <is>
          <t>STOCKHOLMS LÄN</t>
        </is>
      </c>
      <c r="E1684" t="inlineStr">
        <is>
          <t>UPPLANDS-BRO</t>
        </is>
      </c>
      <c r="F1684" t="inlineStr">
        <is>
          <t>Övriga statliga verk och myndigheter</t>
        </is>
      </c>
      <c r="G1684" t="n">
        <v>17.2</v>
      </c>
      <c r="H1684" t="n">
        <v>0</v>
      </c>
      <c r="I1684" t="n">
        <v>0</v>
      </c>
      <c r="J1684" t="n">
        <v>0</v>
      </c>
      <c r="K1684" t="n">
        <v>0</v>
      </c>
      <c r="L1684" t="n">
        <v>0</v>
      </c>
      <c r="M1684" t="n">
        <v>0</v>
      </c>
      <c r="N1684" t="n">
        <v>0</v>
      </c>
      <c r="O1684" t="n">
        <v>0</v>
      </c>
      <c r="P1684" t="n">
        <v>0</v>
      </c>
      <c r="Q1684" t="n">
        <v>0</v>
      </c>
      <c r="R1684" s="2" t="inlineStr"/>
    </row>
    <row r="1685" ht="15" customHeight="1">
      <c r="A1685" t="inlineStr">
        <is>
          <t>A 60186-2021</t>
        </is>
      </c>
      <c r="B1685" s="1" t="n">
        <v>44495</v>
      </c>
      <c r="C1685" s="1" t="n">
        <v>45224</v>
      </c>
      <c r="D1685" t="inlineStr">
        <is>
          <t>STOCKHOLMS LÄN</t>
        </is>
      </c>
      <c r="E1685" t="inlineStr">
        <is>
          <t>NORRTÄLJE</t>
        </is>
      </c>
      <c r="G1685" t="n">
        <v>1.7</v>
      </c>
      <c r="H1685" t="n">
        <v>0</v>
      </c>
      <c r="I1685" t="n">
        <v>0</v>
      </c>
      <c r="J1685" t="n">
        <v>0</v>
      </c>
      <c r="K1685" t="n">
        <v>0</v>
      </c>
      <c r="L1685" t="n">
        <v>0</v>
      </c>
      <c r="M1685" t="n">
        <v>0</v>
      </c>
      <c r="N1685" t="n">
        <v>0</v>
      </c>
      <c r="O1685" t="n">
        <v>0</v>
      </c>
      <c r="P1685" t="n">
        <v>0</v>
      </c>
      <c r="Q1685" t="n">
        <v>0</v>
      </c>
      <c r="R1685" s="2" t="inlineStr"/>
    </row>
    <row r="1686" ht="15" customHeight="1">
      <c r="A1686" t="inlineStr">
        <is>
          <t>A 60184-2021</t>
        </is>
      </c>
      <c r="B1686" s="1" t="n">
        <v>44495</v>
      </c>
      <c r="C1686" s="1" t="n">
        <v>45224</v>
      </c>
      <c r="D1686" t="inlineStr">
        <is>
          <t>STOCKHOLMS LÄN</t>
        </is>
      </c>
      <c r="E1686" t="inlineStr">
        <is>
          <t>NORRTÄLJE</t>
        </is>
      </c>
      <c r="G1686" t="n">
        <v>1.8</v>
      </c>
      <c r="H1686" t="n">
        <v>0</v>
      </c>
      <c r="I1686" t="n">
        <v>0</v>
      </c>
      <c r="J1686" t="n">
        <v>0</v>
      </c>
      <c r="K1686" t="n">
        <v>0</v>
      </c>
      <c r="L1686" t="n">
        <v>0</v>
      </c>
      <c r="M1686" t="n">
        <v>0</v>
      </c>
      <c r="N1686" t="n">
        <v>0</v>
      </c>
      <c r="O1686" t="n">
        <v>0</v>
      </c>
      <c r="P1686" t="n">
        <v>0</v>
      </c>
      <c r="Q1686" t="n">
        <v>0</v>
      </c>
      <c r="R1686" s="2" t="inlineStr"/>
    </row>
    <row r="1687" ht="15" customHeight="1">
      <c r="A1687" t="inlineStr">
        <is>
          <t>A 60209-2021</t>
        </is>
      </c>
      <c r="B1687" s="1" t="n">
        <v>44495</v>
      </c>
      <c r="C1687" s="1" t="n">
        <v>45224</v>
      </c>
      <c r="D1687" t="inlineStr">
        <is>
          <t>STOCKHOLMS LÄN</t>
        </is>
      </c>
      <c r="E1687" t="inlineStr">
        <is>
          <t>NORRTÄLJE</t>
        </is>
      </c>
      <c r="G1687" t="n">
        <v>4.3</v>
      </c>
      <c r="H1687" t="n">
        <v>0</v>
      </c>
      <c r="I1687" t="n">
        <v>0</v>
      </c>
      <c r="J1687" t="n">
        <v>0</v>
      </c>
      <c r="K1687" t="n">
        <v>0</v>
      </c>
      <c r="L1687" t="n">
        <v>0</v>
      </c>
      <c r="M1687" t="n">
        <v>0</v>
      </c>
      <c r="N1687" t="n">
        <v>0</v>
      </c>
      <c r="O1687" t="n">
        <v>0</v>
      </c>
      <c r="P1687" t="n">
        <v>0</v>
      </c>
      <c r="Q1687" t="n">
        <v>0</v>
      </c>
      <c r="R1687" s="2" t="inlineStr"/>
    </row>
    <row r="1688" ht="15" customHeight="1">
      <c r="A1688" t="inlineStr">
        <is>
          <t>A 60813-2021</t>
        </is>
      </c>
      <c r="B1688" s="1" t="n">
        <v>44496</v>
      </c>
      <c r="C1688" s="1" t="n">
        <v>45224</v>
      </c>
      <c r="D1688" t="inlineStr">
        <is>
          <t>STOCKHOLMS LÄN</t>
        </is>
      </c>
      <c r="E1688" t="inlineStr">
        <is>
          <t>NORRTÄLJE</t>
        </is>
      </c>
      <c r="G1688" t="n">
        <v>1.6</v>
      </c>
      <c r="H1688" t="n">
        <v>0</v>
      </c>
      <c r="I1688" t="n">
        <v>0</v>
      </c>
      <c r="J1688" t="n">
        <v>0</v>
      </c>
      <c r="K1688" t="n">
        <v>0</v>
      </c>
      <c r="L1688" t="n">
        <v>0</v>
      </c>
      <c r="M1688" t="n">
        <v>0</v>
      </c>
      <c r="N1688" t="n">
        <v>0</v>
      </c>
      <c r="O1688" t="n">
        <v>0</v>
      </c>
      <c r="P1688" t="n">
        <v>0</v>
      </c>
      <c r="Q1688" t="n">
        <v>0</v>
      </c>
      <c r="R1688" s="2" t="inlineStr"/>
    </row>
    <row r="1689" ht="15" customHeight="1">
      <c r="A1689" t="inlineStr">
        <is>
          <t>A 60671-2021</t>
        </is>
      </c>
      <c r="B1689" s="1" t="n">
        <v>44496</v>
      </c>
      <c r="C1689" s="1" t="n">
        <v>45224</v>
      </c>
      <c r="D1689" t="inlineStr">
        <is>
          <t>STOCKHOLMS LÄN</t>
        </is>
      </c>
      <c r="E1689" t="inlineStr">
        <is>
          <t>NORRTÄLJE</t>
        </is>
      </c>
      <c r="G1689" t="n">
        <v>3.3</v>
      </c>
      <c r="H1689" t="n">
        <v>0</v>
      </c>
      <c r="I1689" t="n">
        <v>0</v>
      </c>
      <c r="J1689" t="n">
        <v>0</v>
      </c>
      <c r="K1689" t="n">
        <v>0</v>
      </c>
      <c r="L1689" t="n">
        <v>0</v>
      </c>
      <c r="M1689" t="n">
        <v>0</v>
      </c>
      <c r="N1689" t="n">
        <v>0</v>
      </c>
      <c r="O1689" t="n">
        <v>0</v>
      </c>
      <c r="P1689" t="n">
        <v>0</v>
      </c>
      <c r="Q1689" t="n">
        <v>0</v>
      </c>
      <c r="R1689" s="2" t="inlineStr"/>
    </row>
    <row r="1690" ht="15" customHeight="1">
      <c r="A1690" t="inlineStr">
        <is>
          <t>A 60822-2021</t>
        </is>
      </c>
      <c r="B1690" s="1" t="n">
        <v>44496</v>
      </c>
      <c r="C1690" s="1" t="n">
        <v>45224</v>
      </c>
      <c r="D1690" t="inlineStr">
        <is>
          <t>STOCKHOLMS LÄN</t>
        </is>
      </c>
      <c r="E1690" t="inlineStr">
        <is>
          <t>NORRTÄLJE</t>
        </is>
      </c>
      <c r="G1690" t="n">
        <v>7.6</v>
      </c>
      <c r="H1690" t="n">
        <v>0</v>
      </c>
      <c r="I1690" t="n">
        <v>0</v>
      </c>
      <c r="J1690" t="n">
        <v>0</v>
      </c>
      <c r="K1690" t="n">
        <v>0</v>
      </c>
      <c r="L1690" t="n">
        <v>0</v>
      </c>
      <c r="M1690" t="n">
        <v>0</v>
      </c>
      <c r="N1690" t="n">
        <v>0</v>
      </c>
      <c r="O1690" t="n">
        <v>0</v>
      </c>
      <c r="P1690" t="n">
        <v>0</v>
      </c>
      <c r="Q1690" t="n">
        <v>0</v>
      </c>
      <c r="R1690" s="2" t="inlineStr"/>
    </row>
    <row r="1691" ht="15" customHeight="1">
      <c r="A1691" t="inlineStr">
        <is>
          <t>A 60838-2021</t>
        </is>
      </c>
      <c r="B1691" s="1" t="n">
        <v>44497</v>
      </c>
      <c r="C1691" s="1" t="n">
        <v>45224</v>
      </c>
      <c r="D1691" t="inlineStr">
        <is>
          <t>STOCKHOLMS LÄN</t>
        </is>
      </c>
      <c r="E1691" t="inlineStr">
        <is>
          <t>SIGTUNA</t>
        </is>
      </c>
      <c r="G1691" t="n">
        <v>13.7</v>
      </c>
      <c r="H1691" t="n">
        <v>0</v>
      </c>
      <c r="I1691" t="n">
        <v>0</v>
      </c>
      <c r="J1691" t="n">
        <v>0</v>
      </c>
      <c r="K1691" t="n">
        <v>0</v>
      </c>
      <c r="L1691" t="n">
        <v>0</v>
      </c>
      <c r="M1691" t="n">
        <v>0</v>
      </c>
      <c r="N1691" t="n">
        <v>0</v>
      </c>
      <c r="O1691" t="n">
        <v>0</v>
      </c>
      <c r="P1691" t="n">
        <v>0</v>
      </c>
      <c r="Q1691" t="n">
        <v>0</v>
      </c>
      <c r="R1691" s="2" t="inlineStr"/>
    </row>
    <row r="1692" ht="15" customHeight="1">
      <c r="A1692" t="inlineStr">
        <is>
          <t>A 61196-2021</t>
        </is>
      </c>
      <c r="B1692" s="1" t="n">
        <v>44498</v>
      </c>
      <c r="C1692" s="1" t="n">
        <v>45224</v>
      </c>
      <c r="D1692" t="inlineStr">
        <is>
          <t>STOCKHOLMS LÄN</t>
        </is>
      </c>
      <c r="E1692" t="inlineStr">
        <is>
          <t>EKERÖ</t>
        </is>
      </c>
      <c r="G1692" t="n">
        <v>1.9</v>
      </c>
      <c r="H1692" t="n">
        <v>0</v>
      </c>
      <c r="I1692" t="n">
        <v>0</v>
      </c>
      <c r="J1692" t="n">
        <v>0</v>
      </c>
      <c r="K1692" t="n">
        <v>0</v>
      </c>
      <c r="L1692" t="n">
        <v>0</v>
      </c>
      <c r="M1692" t="n">
        <v>0</v>
      </c>
      <c r="N1692" t="n">
        <v>0</v>
      </c>
      <c r="O1692" t="n">
        <v>0</v>
      </c>
      <c r="P1692" t="n">
        <v>0</v>
      </c>
      <c r="Q1692" t="n">
        <v>0</v>
      </c>
      <c r="R1692" s="2" t="inlineStr"/>
    </row>
    <row r="1693" ht="15" customHeight="1">
      <c r="A1693" t="inlineStr">
        <is>
          <t>A 62030-2021</t>
        </is>
      </c>
      <c r="B1693" s="1" t="n">
        <v>44502</v>
      </c>
      <c r="C1693" s="1" t="n">
        <v>45224</v>
      </c>
      <c r="D1693" t="inlineStr">
        <is>
          <t>STOCKHOLMS LÄN</t>
        </is>
      </c>
      <c r="E1693" t="inlineStr">
        <is>
          <t>NORRTÄLJE</t>
        </is>
      </c>
      <c r="G1693" t="n">
        <v>4.7</v>
      </c>
      <c r="H1693" t="n">
        <v>0</v>
      </c>
      <c r="I1693" t="n">
        <v>0</v>
      </c>
      <c r="J1693" t="n">
        <v>0</v>
      </c>
      <c r="K1693" t="n">
        <v>0</v>
      </c>
      <c r="L1693" t="n">
        <v>0</v>
      </c>
      <c r="M1693" t="n">
        <v>0</v>
      </c>
      <c r="N1693" t="n">
        <v>0</v>
      </c>
      <c r="O1693" t="n">
        <v>0</v>
      </c>
      <c r="P1693" t="n">
        <v>0</v>
      </c>
      <c r="Q1693" t="n">
        <v>0</v>
      </c>
      <c r="R1693" s="2" t="inlineStr"/>
    </row>
    <row r="1694" ht="15" customHeight="1">
      <c r="A1694" t="inlineStr">
        <is>
          <t>A 61919-2021</t>
        </is>
      </c>
      <c r="B1694" s="1" t="n">
        <v>44502</v>
      </c>
      <c r="C1694" s="1" t="n">
        <v>45224</v>
      </c>
      <c r="D1694" t="inlineStr">
        <is>
          <t>STOCKHOLMS LÄN</t>
        </is>
      </c>
      <c r="E1694" t="inlineStr">
        <is>
          <t>SIGTUNA</t>
        </is>
      </c>
      <c r="G1694" t="n">
        <v>4.7</v>
      </c>
      <c r="H1694" t="n">
        <v>0</v>
      </c>
      <c r="I1694" t="n">
        <v>0</v>
      </c>
      <c r="J1694" t="n">
        <v>0</v>
      </c>
      <c r="K1694" t="n">
        <v>0</v>
      </c>
      <c r="L1694" t="n">
        <v>0</v>
      </c>
      <c r="M1694" t="n">
        <v>0</v>
      </c>
      <c r="N1694" t="n">
        <v>0</v>
      </c>
      <c r="O1694" t="n">
        <v>0</v>
      </c>
      <c r="P1694" t="n">
        <v>0</v>
      </c>
      <c r="Q1694" t="n">
        <v>0</v>
      </c>
      <c r="R1694" s="2" t="inlineStr"/>
    </row>
    <row r="1695" ht="15" customHeight="1">
      <c r="A1695" t="inlineStr">
        <is>
          <t>A 61937-2021</t>
        </is>
      </c>
      <c r="B1695" s="1" t="n">
        <v>44502</v>
      </c>
      <c r="C1695" s="1" t="n">
        <v>45224</v>
      </c>
      <c r="D1695" t="inlineStr">
        <is>
          <t>STOCKHOLMS LÄN</t>
        </is>
      </c>
      <c r="E1695" t="inlineStr">
        <is>
          <t>SIGTUNA</t>
        </is>
      </c>
      <c r="G1695" t="n">
        <v>14.7</v>
      </c>
      <c r="H1695" t="n">
        <v>0</v>
      </c>
      <c r="I1695" t="n">
        <v>0</v>
      </c>
      <c r="J1695" t="n">
        <v>0</v>
      </c>
      <c r="K1695" t="n">
        <v>0</v>
      </c>
      <c r="L1695" t="n">
        <v>0</v>
      </c>
      <c r="M1695" t="n">
        <v>0</v>
      </c>
      <c r="N1695" t="n">
        <v>0</v>
      </c>
      <c r="O1695" t="n">
        <v>0</v>
      </c>
      <c r="P1695" t="n">
        <v>0</v>
      </c>
      <c r="Q1695" t="n">
        <v>0</v>
      </c>
      <c r="R1695" s="2" t="inlineStr"/>
    </row>
    <row r="1696" ht="15" customHeight="1">
      <c r="A1696" t="inlineStr">
        <is>
          <t>A 63644-2021</t>
        </is>
      </c>
      <c r="B1696" s="1" t="n">
        <v>44508</v>
      </c>
      <c r="C1696" s="1" t="n">
        <v>45224</v>
      </c>
      <c r="D1696" t="inlineStr">
        <is>
          <t>STOCKHOLMS LÄN</t>
        </is>
      </c>
      <c r="E1696" t="inlineStr">
        <is>
          <t>SÖDERTÄLJE</t>
        </is>
      </c>
      <c r="G1696" t="n">
        <v>3.7</v>
      </c>
      <c r="H1696" t="n">
        <v>0</v>
      </c>
      <c r="I1696" t="n">
        <v>0</v>
      </c>
      <c r="J1696" t="n">
        <v>0</v>
      </c>
      <c r="K1696" t="n">
        <v>0</v>
      </c>
      <c r="L1696" t="n">
        <v>0</v>
      </c>
      <c r="M1696" t="n">
        <v>0</v>
      </c>
      <c r="N1696" t="n">
        <v>0</v>
      </c>
      <c r="O1696" t="n">
        <v>0</v>
      </c>
      <c r="P1696" t="n">
        <v>0</v>
      </c>
      <c r="Q1696" t="n">
        <v>0</v>
      </c>
      <c r="R1696" s="2" t="inlineStr"/>
    </row>
    <row r="1697" ht="15" customHeight="1">
      <c r="A1697" t="inlineStr">
        <is>
          <t>A 63931-2021</t>
        </is>
      </c>
      <c r="B1697" s="1" t="n">
        <v>44509</v>
      </c>
      <c r="C1697" s="1" t="n">
        <v>45224</v>
      </c>
      <c r="D1697" t="inlineStr">
        <is>
          <t>STOCKHOLMS LÄN</t>
        </is>
      </c>
      <c r="E1697" t="inlineStr">
        <is>
          <t>NYNÄSHAMN</t>
        </is>
      </c>
      <c r="F1697" t="inlineStr">
        <is>
          <t>Kommuner</t>
        </is>
      </c>
      <c r="G1697" t="n">
        <v>1.5</v>
      </c>
      <c r="H1697" t="n">
        <v>0</v>
      </c>
      <c r="I1697" t="n">
        <v>0</v>
      </c>
      <c r="J1697" t="n">
        <v>0</v>
      </c>
      <c r="K1697" t="n">
        <v>0</v>
      </c>
      <c r="L1697" t="n">
        <v>0</v>
      </c>
      <c r="M1697" t="n">
        <v>0</v>
      </c>
      <c r="N1697" t="n">
        <v>0</v>
      </c>
      <c r="O1697" t="n">
        <v>0</v>
      </c>
      <c r="P1697" t="n">
        <v>0</v>
      </c>
      <c r="Q1697" t="n">
        <v>0</v>
      </c>
      <c r="R1697" s="2" t="inlineStr"/>
    </row>
    <row r="1698" ht="15" customHeight="1">
      <c r="A1698" t="inlineStr">
        <is>
          <t>A 64111-2021</t>
        </is>
      </c>
      <c r="B1698" s="1" t="n">
        <v>44509</v>
      </c>
      <c r="C1698" s="1" t="n">
        <v>45224</v>
      </c>
      <c r="D1698" t="inlineStr">
        <is>
          <t>STOCKHOLMS LÄN</t>
        </is>
      </c>
      <c r="E1698" t="inlineStr">
        <is>
          <t>SÖDERTÄLJE</t>
        </is>
      </c>
      <c r="G1698" t="n">
        <v>3.3</v>
      </c>
      <c r="H1698" t="n">
        <v>0</v>
      </c>
      <c r="I1698" t="n">
        <v>0</v>
      </c>
      <c r="J1698" t="n">
        <v>0</v>
      </c>
      <c r="K1698" t="n">
        <v>0</v>
      </c>
      <c r="L1698" t="n">
        <v>0</v>
      </c>
      <c r="M1698" t="n">
        <v>0</v>
      </c>
      <c r="N1698" t="n">
        <v>0</v>
      </c>
      <c r="O1698" t="n">
        <v>0</v>
      </c>
      <c r="P1698" t="n">
        <v>0</v>
      </c>
      <c r="Q1698" t="n">
        <v>0</v>
      </c>
      <c r="R1698" s="2" t="inlineStr"/>
    </row>
    <row r="1699" ht="15" customHeight="1">
      <c r="A1699" t="inlineStr">
        <is>
          <t>A 64074-2021</t>
        </is>
      </c>
      <c r="B1699" s="1" t="n">
        <v>44510</v>
      </c>
      <c r="C1699" s="1" t="n">
        <v>45224</v>
      </c>
      <c r="D1699" t="inlineStr">
        <is>
          <t>STOCKHOLMS LÄN</t>
        </is>
      </c>
      <c r="E1699" t="inlineStr">
        <is>
          <t>NORRTÄLJE</t>
        </is>
      </c>
      <c r="G1699" t="n">
        <v>1.7</v>
      </c>
      <c r="H1699" t="n">
        <v>0</v>
      </c>
      <c r="I1699" t="n">
        <v>0</v>
      </c>
      <c r="J1699" t="n">
        <v>0</v>
      </c>
      <c r="K1699" t="n">
        <v>0</v>
      </c>
      <c r="L1699" t="n">
        <v>0</v>
      </c>
      <c r="M1699" t="n">
        <v>0</v>
      </c>
      <c r="N1699" t="n">
        <v>0</v>
      </c>
      <c r="O1699" t="n">
        <v>0</v>
      </c>
      <c r="P1699" t="n">
        <v>0</v>
      </c>
      <c r="Q1699" t="n">
        <v>0</v>
      </c>
      <c r="R1699" s="2" t="inlineStr"/>
    </row>
    <row r="1700" ht="15" customHeight="1">
      <c r="A1700" t="inlineStr">
        <is>
          <t>A 64145-2021</t>
        </is>
      </c>
      <c r="B1700" s="1" t="n">
        <v>44510</v>
      </c>
      <c r="C1700" s="1" t="n">
        <v>45224</v>
      </c>
      <c r="D1700" t="inlineStr">
        <is>
          <t>STOCKHOLMS LÄN</t>
        </is>
      </c>
      <c r="E1700" t="inlineStr">
        <is>
          <t>NORRTÄLJE</t>
        </is>
      </c>
      <c r="F1700" t="inlineStr">
        <is>
          <t>Holmen skog AB</t>
        </is>
      </c>
      <c r="G1700" t="n">
        <v>1.5</v>
      </c>
      <c r="H1700" t="n">
        <v>0</v>
      </c>
      <c r="I1700" t="n">
        <v>0</v>
      </c>
      <c r="J1700" t="n">
        <v>0</v>
      </c>
      <c r="K1700" t="n">
        <v>0</v>
      </c>
      <c r="L1700" t="n">
        <v>0</v>
      </c>
      <c r="M1700" t="n">
        <v>0</v>
      </c>
      <c r="N1700" t="n">
        <v>0</v>
      </c>
      <c r="O1700" t="n">
        <v>0</v>
      </c>
      <c r="P1700" t="n">
        <v>0</v>
      </c>
      <c r="Q1700" t="n">
        <v>0</v>
      </c>
      <c r="R1700" s="2" t="inlineStr"/>
    </row>
    <row r="1701" ht="15" customHeight="1">
      <c r="A1701" t="inlineStr">
        <is>
          <t>A 64212-2021</t>
        </is>
      </c>
      <c r="B1701" s="1" t="n">
        <v>44510</v>
      </c>
      <c r="C1701" s="1" t="n">
        <v>45224</v>
      </c>
      <c r="D1701" t="inlineStr">
        <is>
          <t>STOCKHOLMS LÄN</t>
        </is>
      </c>
      <c r="E1701" t="inlineStr">
        <is>
          <t>NORRTÄLJE</t>
        </is>
      </c>
      <c r="G1701" t="n">
        <v>28.7</v>
      </c>
      <c r="H1701" t="n">
        <v>0</v>
      </c>
      <c r="I1701" t="n">
        <v>0</v>
      </c>
      <c r="J1701" t="n">
        <v>0</v>
      </c>
      <c r="K1701" t="n">
        <v>0</v>
      </c>
      <c r="L1701" t="n">
        <v>0</v>
      </c>
      <c r="M1701" t="n">
        <v>0</v>
      </c>
      <c r="N1701" t="n">
        <v>0</v>
      </c>
      <c r="O1701" t="n">
        <v>0</v>
      </c>
      <c r="P1701" t="n">
        <v>0</v>
      </c>
      <c r="Q1701" t="n">
        <v>0</v>
      </c>
      <c r="R1701" s="2" t="inlineStr"/>
    </row>
    <row r="1702" ht="15" customHeight="1">
      <c r="A1702" t="inlineStr">
        <is>
          <t>A 64628-2021</t>
        </is>
      </c>
      <c r="B1702" s="1" t="n">
        <v>44511</v>
      </c>
      <c r="C1702" s="1" t="n">
        <v>45224</v>
      </c>
      <c r="D1702" t="inlineStr">
        <is>
          <t>STOCKHOLMS LÄN</t>
        </is>
      </c>
      <c r="E1702" t="inlineStr">
        <is>
          <t>NORRTÄLJE</t>
        </is>
      </c>
      <c r="G1702" t="n">
        <v>0.7</v>
      </c>
      <c r="H1702" t="n">
        <v>0</v>
      </c>
      <c r="I1702" t="n">
        <v>0</v>
      </c>
      <c r="J1702" t="n">
        <v>0</v>
      </c>
      <c r="K1702" t="n">
        <v>0</v>
      </c>
      <c r="L1702" t="n">
        <v>0</v>
      </c>
      <c r="M1702" t="n">
        <v>0</v>
      </c>
      <c r="N1702" t="n">
        <v>0</v>
      </c>
      <c r="O1702" t="n">
        <v>0</v>
      </c>
      <c r="P1702" t="n">
        <v>0</v>
      </c>
      <c r="Q1702" t="n">
        <v>0</v>
      </c>
      <c r="R1702" s="2" t="inlineStr"/>
    </row>
    <row r="1703" ht="15" customHeight="1">
      <c r="A1703" t="inlineStr">
        <is>
          <t>A 65340-2021</t>
        </is>
      </c>
      <c r="B1703" s="1" t="n">
        <v>44515</v>
      </c>
      <c r="C1703" s="1" t="n">
        <v>45224</v>
      </c>
      <c r="D1703" t="inlineStr">
        <is>
          <t>STOCKHOLMS LÄN</t>
        </is>
      </c>
      <c r="E1703" t="inlineStr">
        <is>
          <t>SIGTUNA</t>
        </is>
      </c>
      <c r="F1703" t="inlineStr">
        <is>
          <t>Kyrkan</t>
        </is>
      </c>
      <c r="G1703" t="n">
        <v>0.2</v>
      </c>
      <c r="H1703" t="n">
        <v>0</v>
      </c>
      <c r="I1703" t="n">
        <v>0</v>
      </c>
      <c r="J1703" t="n">
        <v>0</v>
      </c>
      <c r="K1703" t="n">
        <v>0</v>
      </c>
      <c r="L1703" t="n">
        <v>0</v>
      </c>
      <c r="M1703" t="n">
        <v>0</v>
      </c>
      <c r="N1703" t="n">
        <v>0</v>
      </c>
      <c r="O1703" t="n">
        <v>0</v>
      </c>
      <c r="P1703" t="n">
        <v>0</v>
      </c>
      <c r="Q1703" t="n">
        <v>0</v>
      </c>
      <c r="R1703" s="2" t="inlineStr"/>
    </row>
    <row r="1704" ht="15" customHeight="1">
      <c r="A1704" t="inlineStr">
        <is>
          <t>A 65359-2021</t>
        </is>
      </c>
      <c r="B1704" s="1" t="n">
        <v>44515</v>
      </c>
      <c r="C1704" s="1" t="n">
        <v>45224</v>
      </c>
      <c r="D1704" t="inlineStr">
        <is>
          <t>STOCKHOLMS LÄN</t>
        </is>
      </c>
      <c r="E1704" t="inlineStr">
        <is>
          <t>NORRTÄLJE</t>
        </is>
      </c>
      <c r="F1704" t="inlineStr">
        <is>
          <t>Kyrkan</t>
        </is>
      </c>
      <c r="G1704" t="n">
        <v>9.699999999999999</v>
      </c>
      <c r="H1704" t="n">
        <v>0</v>
      </c>
      <c r="I1704" t="n">
        <v>0</v>
      </c>
      <c r="J1704" t="n">
        <v>0</v>
      </c>
      <c r="K1704" t="n">
        <v>0</v>
      </c>
      <c r="L1704" t="n">
        <v>0</v>
      </c>
      <c r="M1704" t="n">
        <v>0</v>
      </c>
      <c r="N1704" t="n">
        <v>0</v>
      </c>
      <c r="O1704" t="n">
        <v>0</v>
      </c>
      <c r="P1704" t="n">
        <v>0</v>
      </c>
      <c r="Q1704" t="n">
        <v>0</v>
      </c>
      <c r="R1704" s="2" t="inlineStr"/>
    </row>
    <row r="1705" ht="15" customHeight="1">
      <c r="A1705" t="inlineStr">
        <is>
          <t>A 65129-2021</t>
        </is>
      </c>
      <c r="B1705" s="1" t="n">
        <v>44515</v>
      </c>
      <c r="C1705" s="1" t="n">
        <v>45224</v>
      </c>
      <c r="D1705" t="inlineStr">
        <is>
          <t>STOCKHOLMS LÄN</t>
        </is>
      </c>
      <c r="E1705" t="inlineStr">
        <is>
          <t>EKERÖ</t>
        </is>
      </c>
      <c r="G1705" t="n">
        <v>2.2</v>
      </c>
      <c r="H1705" t="n">
        <v>0</v>
      </c>
      <c r="I1705" t="n">
        <v>0</v>
      </c>
      <c r="J1705" t="n">
        <v>0</v>
      </c>
      <c r="K1705" t="n">
        <v>0</v>
      </c>
      <c r="L1705" t="n">
        <v>0</v>
      </c>
      <c r="M1705" t="n">
        <v>0</v>
      </c>
      <c r="N1705" t="n">
        <v>0</v>
      </c>
      <c r="O1705" t="n">
        <v>0</v>
      </c>
      <c r="P1705" t="n">
        <v>0</v>
      </c>
      <c r="Q1705" t="n">
        <v>0</v>
      </c>
      <c r="R1705" s="2" t="inlineStr"/>
    </row>
    <row r="1706" ht="15" customHeight="1">
      <c r="A1706" t="inlineStr">
        <is>
          <t>A 65499-2021</t>
        </is>
      </c>
      <c r="B1706" s="1" t="n">
        <v>44516</v>
      </c>
      <c r="C1706" s="1" t="n">
        <v>45224</v>
      </c>
      <c r="D1706" t="inlineStr">
        <is>
          <t>STOCKHOLMS LÄN</t>
        </is>
      </c>
      <c r="E1706" t="inlineStr">
        <is>
          <t>NORRTÄLJE</t>
        </is>
      </c>
      <c r="F1706" t="inlineStr">
        <is>
          <t>Kommuner</t>
        </is>
      </c>
      <c r="G1706" t="n">
        <v>5.2</v>
      </c>
      <c r="H1706" t="n">
        <v>0</v>
      </c>
      <c r="I1706" t="n">
        <v>0</v>
      </c>
      <c r="J1706" t="n">
        <v>0</v>
      </c>
      <c r="K1706" t="n">
        <v>0</v>
      </c>
      <c r="L1706" t="n">
        <v>0</v>
      </c>
      <c r="M1706" t="n">
        <v>0</v>
      </c>
      <c r="N1706" t="n">
        <v>0</v>
      </c>
      <c r="O1706" t="n">
        <v>0</v>
      </c>
      <c r="P1706" t="n">
        <v>0</v>
      </c>
      <c r="Q1706" t="n">
        <v>0</v>
      </c>
      <c r="R1706" s="2" t="inlineStr"/>
    </row>
    <row r="1707" ht="15" customHeight="1">
      <c r="A1707" t="inlineStr">
        <is>
          <t>A 66450-2021</t>
        </is>
      </c>
      <c r="B1707" s="1" t="n">
        <v>44518</v>
      </c>
      <c r="C1707" s="1" t="n">
        <v>45224</v>
      </c>
      <c r="D1707" t="inlineStr">
        <is>
          <t>STOCKHOLMS LÄN</t>
        </is>
      </c>
      <c r="E1707" t="inlineStr">
        <is>
          <t>NORRTÄLJE</t>
        </is>
      </c>
      <c r="G1707" t="n">
        <v>9.1</v>
      </c>
      <c r="H1707" t="n">
        <v>0</v>
      </c>
      <c r="I1707" t="n">
        <v>0</v>
      </c>
      <c r="J1707" t="n">
        <v>0</v>
      </c>
      <c r="K1707" t="n">
        <v>0</v>
      </c>
      <c r="L1707" t="n">
        <v>0</v>
      </c>
      <c r="M1707" t="n">
        <v>0</v>
      </c>
      <c r="N1707" t="n">
        <v>0</v>
      </c>
      <c r="O1707" t="n">
        <v>0</v>
      </c>
      <c r="P1707" t="n">
        <v>0</v>
      </c>
      <c r="Q1707" t="n">
        <v>0</v>
      </c>
      <c r="R1707" s="2" t="inlineStr"/>
    </row>
    <row r="1708" ht="15" customHeight="1">
      <c r="A1708" t="inlineStr">
        <is>
          <t>A 66608-2021</t>
        </is>
      </c>
      <c r="B1708" s="1" t="n">
        <v>44519</v>
      </c>
      <c r="C1708" s="1" t="n">
        <v>45224</v>
      </c>
      <c r="D1708" t="inlineStr">
        <is>
          <t>STOCKHOLMS LÄN</t>
        </is>
      </c>
      <c r="E1708" t="inlineStr">
        <is>
          <t>NORRTÄLJE</t>
        </is>
      </c>
      <c r="F1708" t="inlineStr">
        <is>
          <t>Sveaskog</t>
        </is>
      </c>
      <c r="G1708" t="n">
        <v>2.4</v>
      </c>
      <c r="H1708" t="n">
        <v>0</v>
      </c>
      <c r="I1708" t="n">
        <v>0</v>
      </c>
      <c r="J1708" t="n">
        <v>0</v>
      </c>
      <c r="K1708" t="n">
        <v>0</v>
      </c>
      <c r="L1708" t="n">
        <v>0</v>
      </c>
      <c r="M1708" t="n">
        <v>0</v>
      </c>
      <c r="N1708" t="n">
        <v>0</v>
      </c>
      <c r="O1708" t="n">
        <v>0</v>
      </c>
      <c r="P1708" t="n">
        <v>0</v>
      </c>
      <c r="Q1708" t="n">
        <v>0</v>
      </c>
      <c r="R1708" s="2" t="inlineStr"/>
    </row>
    <row r="1709" ht="15" customHeight="1">
      <c r="A1709" t="inlineStr">
        <is>
          <t>A 66592-2021</t>
        </is>
      </c>
      <c r="B1709" s="1" t="n">
        <v>44519</v>
      </c>
      <c r="C1709" s="1" t="n">
        <v>45224</v>
      </c>
      <c r="D1709" t="inlineStr">
        <is>
          <t>STOCKHOLMS LÄN</t>
        </is>
      </c>
      <c r="E1709" t="inlineStr">
        <is>
          <t>NORRTÄLJE</t>
        </is>
      </c>
      <c r="F1709" t="inlineStr">
        <is>
          <t>Sveaskog</t>
        </is>
      </c>
      <c r="G1709" t="n">
        <v>1.7</v>
      </c>
      <c r="H1709" t="n">
        <v>0</v>
      </c>
      <c r="I1709" t="n">
        <v>0</v>
      </c>
      <c r="J1709" t="n">
        <v>0</v>
      </c>
      <c r="K1709" t="n">
        <v>0</v>
      </c>
      <c r="L1709" t="n">
        <v>0</v>
      </c>
      <c r="M1709" t="n">
        <v>0</v>
      </c>
      <c r="N1709" t="n">
        <v>0</v>
      </c>
      <c r="O1709" t="n">
        <v>0</v>
      </c>
      <c r="P1709" t="n">
        <v>0</v>
      </c>
      <c r="Q1709" t="n">
        <v>0</v>
      </c>
      <c r="R1709" s="2" t="inlineStr"/>
    </row>
    <row r="1710" ht="15" customHeight="1">
      <c r="A1710" t="inlineStr">
        <is>
          <t>A 66769-2021</t>
        </is>
      </c>
      <c r="B1710" s="1" t="n">
        <v>44521</v>
      </c>
      <c r="C1710" s="1" t="n">
        <v>45224</v>
      </c>
      <c r="D1710" t="inlineStr">
        <is>
          <t>STOCKHOLMS LÄN</t>
        </is>
      </c>
      <c r="E1710" t="inlineStr">
        <is>
          <t>NORRTÄLJE</t>
        </is>
      </c>
      <c r="G1710" t="n">
        <v>1.1</v>
      </c>
      <c r="H1710" t="n">
        <v>0</v>
      </c>
      <c r="I1710" t="n">
        <v>0</v>
      </c>
      <c r="J1710" t="n">
        <v>0</v>
      </c>
      <c r="K1710" t="n">
        <v>0</v>
      </c>
      <c r="L1710" t="n">
        <v>0</v>
      </c>
      <c r="M1710" t="n">
        <v>0</v>
      </c>
      <c r="N1710" t="n">
        <v>0</v>
      </c>
      <c r="O1710" t="n">
        <v>0</v>
      </c>
      <c r="P1710" t="n">
        <v>0</v>
      </c>
      <c r="Q1710" t="n">
        <v>0</v>
      </c>
      <c r="R1710" s="2" t="inlineStr"/>
    </row>
    <row r="1711" ht="15" customHeight="1">
      <c r="A1711" t="inlineStr">
        <is>
          <t>A 67220-2021</t>
        </is>
      </c>
      <c r="B1711" s="1" t="n">
        <v>44523</v>
      </c>
      <c r="C1711" s="1" t="n">
        <v>45224</v>
      </c>
      <c r="D1711" t="inlineStr">
        <is>
          <t>STOCKHOLMS LÄN</t>
        </is>
      </c>
      <c r="E1711" t="inlineStr">
        <is>
          <t>NYKVARN</t>
        </is>
      </c>
      <c r="G1711" t="n">
        <v>3.4</v>
      </c>
      <c r="H1711" t="n">
        <v>0</v>
      </c>
      <c r="I1711" t="n">
        <v>0</v>
      </c>
      <c r="J1711" t="n">
        <v>0</v>
      </c>
      <c r="K1711" t="n">
        <v>0</v>
      </c>
      <c r="L1711" t="n">
        <v>0</v>
      </c>
      <c r="M1711" t="n">
        <v>0</v>
      </c>
      <c r="N1711" t="n">
        <v>0</v>
      </c>
      <c r="O1711" t="n">
        <v>0</v>
      </c>
      <c r="P1711" t="n">
        <v>0</v>
      </c>
      <c r="Q1711" t="n">
        <v>0</v>
      </c>
      <c r="R1711" s="2" t="inlineStr"/>
    </row>
    <row r="1712" ht="15" customHeight="1">
      <c r="A1712" t="inlineStr">
        <is>
          <t>A 67244-2021</t>
        </is>
      </c>
      <c r="B1712" s="1" t="n">
        <v>44523</v>
      </c>
      <c r="C1712" s="1" t="n">
        <v>45224</v>
      </c>
      <c r="D1712" t="inlineStr">
        <is>
          <t>STOCKHOLMS LÄN</t>
        </is>
      </c>
      <c r="E1712" t="inlineStr">
        <is>
          <t>ÖSTERÅKER</t>
        </is>
      </c>
      <c r="F1712" t="inlineStr">
        <is>
          <t>Kommuner</t>
        </is>
      </c>
      <c r="G1712" t="n">
        <v>5.3</v>
      </c>
      <c r="H1712" t="n">
        <v>0</v>
      </c>
      <c r="I1712" t="n">
        <v>0</v>
      </c>
      <c r="J1712" t="n">
        <v>0</v>
      </c>
      <c r="K1712" t="n">
        <v>0</v>
      </c>
      <c r="L1712" t="n">
        <v>0</v>
      </c>
      <c r="M1712" t="n">
        <v>0</v>
      </c>
      <c r="N1712" t="n">
        <v>0</v>
      </c>
      <c r="O1712" t="n">
        <v>0</v>
      </c>
      <c r="P1712" t="n">
        <v>0</v>
      </c>
      <c r="Q1712" t="n">
        <v>0</v>
      </c>
      <c r="R1712" s="2" t="inlineStr"/>
    </row>
    <row r="1713" ht="15" customHeight="1">
      <c r="A1713" t="inlineStr">
        <is>
          <t>A 67598-2021</t>
        </is>
      </c>
      <c r="B1713" s="1" t="n">
        <v>44524</v>
      </c>
      <c r="C1713" s="1" t="n">
        <v>45224</v>
      </c>
      <c r="D1713" t="inlineStr">
        <is>
          <t>STOCKHOLMS LÄN</t>
        </is>
      </c>
      <c r="E1713" t="inlineStr">
        <is>
          <t>NORRTÄLJE</t>
        </is>
      </c>
      <c r="G1713" t="n">
        <v>1.2</v>
      </c>
      <c r="H1713" t="n">
        <v>0</v>
      </c>
      <c r="I1713" t="n">
        <v>0</v>
      </c>
      <c r="J1713" t="n">
        <v>0</v>
      </c>
      <c r="K1713" t="n">
        <v>0</v>
      </c>
      <c r="L1713" t="n">
        <v>0</v>
      </c>
      <c r="M1713" t="n">
        <v>0</v>
      </c>
      <c r="N1713" t="n">
        <v>0</v>
      </c>
      <c r="O1713" t="n">
        <v>0</v>
      </c>
      <c r="P1713" t="n">
        <v>0</v>
      </c>
      <c r="Q1713" t="n">
        <v>0</v>
      </c>
      <c r="R1713" s="2" t="inlineStr"/>
    </row>
    <row r="1714" ht="15" customHeight="1">
      <c r="A1714" t="inlineStr">
        <is>
          <t>A 67756-2021</t>
        </is>
      </c>
      <c r="B1714" s="1" t="n">
        <v>44524</v>
      </c>
      <c r="C1714" s="1" t="n">
        <v>45224</v>
      </c>
      <c r="D1714" t="inlineStr">
        <is>
          <t>STOCKHOLMS LÄN</t>
        </is>
      </c>
      <c r="E1714" t="inlineStr">
        <is>
          <t>VAXHOLM</t>
        </is>
      </c>
      <c r="F1714" t="inlineStr">
        <is>
          <t>Övriga statliga verk och myndigheter</t>
        </is>
      </c>
      <c r="G1714" t="n">
        <v>1.6</v>
      </c>
      <c r="H1714" t="n">
        <v>0</v>
      </c>
      <c r="I1714" t="n">
        <v>0</v>
      </c>
      <c r="J1714" t="n">
        <v>0</v>
      </c>
      <c r="K1714" t="n">
        <v>0</v>
      </c>
      <c r="L1714" t="n">
        <v>0</v>
      </c>
      <c r="M1714" t="n">
        <v>0</v>
      </c>
      <c r="N1714" t="n">
        <v>0</v>
      </c>
      <c r="O1714" t="n">
        <v>0</v>
      </c>
      <c r="P1714" t="n">
        <v>0</v>
      </c>
      <c r="Q1714" t="n">
        <v>0</v>
      </c>
      <c r="R1714" s="2" t="inlineStr"/>
    </row>
    <row r="1715" ht="15" customHeight="1">
      <c r="A1715" t="inlineStr">
        <is>
          <t>A 67525-2021</t>
        </is>
      </c>
      <c r="B1715" s="1" t="n">
        <v>44524</v>
      </c>
      <c r="C1715" s="1" t="n">
        <v>45224</v>
      </c>
      <c r="D1715" t="inlineStr">
        <is>
          <t>STOCKHOLMS LÄN</t>
        </is>
      </c>
      <c r="E1715" t="inlineStr">
        <is>
          <t>NORRTÄLJE</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67993-2021</t>
        </is>
      </c>
      <c r="B1716" s="1" t="n">
        <v>44525</v>
      </c>
      <c r="C1716" s="1" t="n">
        <v>45224</v>
      </c>
      <c r="D1716" t="inlineStr">
        <is>
          <t>STOCKHOLMS LÄN</t>
        </is>
      </c>
      <c r="E1716" t="inlineStr">
        <is>
          <t>NORRTÄLJE</t>
        </is>
      </c>
      <c r="F1716" t="inlineStr">
        <is>
          <t>Sveaskog</t>
        </is>
      </c>
      <c r="G1716" t="n">
        <v>3.4</v>
      </c>
      <c r="H1716" t="n">
        <v>0</v>
      </c>
      <c r="I1716" t="n">
        <v>0</v>
      </c>
      <c r="J1716" t="n">
        <v>0</v>
      </c>
      <c r="K1716" t="n">
        <v>0</v>
      </c>
      <c r="L1716" t="n">
        <v>0</v>
      </c>
      <c r="M1716" t="n">
        <v>0</v>
      </c>
      <c r="N1716" t="n">
        <v>0</v>
      </c>
      <c r="O1716" t="n">
        <v>0</v>
      </c>
      <c r="P1716" t="n">
        <v>0</v>
      </c>
      <c r="Q1716" t="n">
        <v>0</v>
      </c>
      <c r="R1716" s="2" t="inlineStr"/>
    </row>
    <row r="1717" ht="15" customHeight="1">
      <c r="A1717" t="inlineStr">
        <is>
          <t>A 67921-2021</t>
        </is>
      </c>
      <c r="B1717" s="1" t="n">
        <v>44525</v>
      </c>
      <c r="C1717" s="1" t="n">
        <v>45224</v>
      </c>
      <c r="D1717" t="inlineStr">
        <is>
          <t>STOCKHOLMS LÄN</t>
        </is>
      </c>
      <c r="E1717" t="inlineStr">
        <is>
          <t>NORRTÄLJE</t>
        </is>
      </c>
      <c r="G1717" t="n">
        <v>6.3</v>
      </c>
      <c r="H1717" t="n">
        <v>0</v>
      </c>
      <c r="I1717" t="n">
        <v>0</v>
      </c>
      <c r="J1717" t="n">
        <v>0</v>
      </c>
      <c r="K1717" t="n">
        <v>0</v>
      </c>
      <c r="L1717" t="n">
        <v>0</v>
      </c>
      <c r="M1717" t="n">
        <v>0</v>
      </c>
      <c r="N1717" t="n">
        <v>0</v>
      </c>
      <c r="O1717" t="n">
        <v>0</v>
      </c>
      <c r="P1717" t="n">
        <v>0</v>
      </c>
      <c r="Q1717" t="n">
        <v>0</v>
      </c>
      <c r="R1717" s="2" t="inlineStr"/>
    </row>
    <row r="1718" ht="15" customHeight="1">
      <c r="A1718" t="inlineStr">
        <is>
          <t>A 67990-2021</t>
        </is>
      </c>
      <c r="B1718" s="1" t="n">
        <v>44525</v>
      </c>
      <c r="C1718" s="1" t="n">
        <v>45224</v>
      </c>
      <c r="D1718" t="inlineStr">
        <is>
          <t>STOCKHOLMS LÄN</t>
        </is>
      </c>
      <c r="E1718" t="inlineStr">
        <is>
          <t>NORRTÄLJE</t>
        </is>
      </c>
      <c r="F1718" t="inlineStr">
        <is>
          <t>Sveaskog</t>
        </is>
      </c>
      <c r="G1718" t="n">
        <v>7.8</v>
      </c>
      <c r="H1718" t="n">
        <v>0</v>
      </c>
      <c r="I1718" t="n">
        <v>0</v>
      </c>
      <c r="J1718" t="n">
        <v>0</v>
      </c>
      <c r="K1718" t="n">
        <v>0</v>
      </c>
      <c r="L1718" t="n">
        <v>0</v>
      </c>
      <c r="M1718" t="n">
        <v>0</v>
      </c>
      <c r="N1718" t="n">
        <v>0</v>
      </c>
      <c r="O1718" t="n">
        <v>0</v>
      </c>
      <c r="P1718" t="n">
        <v>0</v>
      </c>
      <c r="Q1718" t="n">
        <v>0</v>
      </c>
      <c r="R1718" s="2" t="inlineStr"/>
    </row>
    <row r="1719" ht="15" customHeight="1">
      <c r="A1719" t="inlineStr">
        <is>
          <t>A 68273-2021</t>
        </is>
      </c>
      <c r="B1719" s="1" t="n">
        <v>44526</v>
      </c>
      <c r="C1719" s="1" t="n">
        <v>45224</v>
      </c>
      <c r="D1719" t="inlineStr">
        <is>
          <t>STOCKHOLMS LÄN</t>
        </is>
      </c>
      <c r="E1719" t="inlineStr">
        <is>
          <t>NORRTÄLJE</t>
        </is>
      </c>
      <c r="G1719" t="n">
        <v>5.3</v>
      </c>
      <c r="H1719" t="n">
        <v>0</v>
      </c>
      <c r="I1719" t="n">
        <v>0</v>
      </c>
      <c r="J1719" t="n">
        <v>0</v>
      </c>
      <c r="K1719" t="n">
        <v>0</v>
      </c>
      <c r="L1719" t="n">
        <v>0</v>
      </c>
      <c r="M1719" t="n">
        <v>0</v>
      </c>
      <c r="N1719" t="n">
        <v>0</v>
      </c>
      <c r="O1719" t="n">
        <v>0</v>
      </c>
      <c r="P1719" t="n">
        <v>0</v>
      </c>
      <c r="Q1719" t="n">
        <v>0</v>
      </c>
      <c r="R1719" s="2" t="inlineStr"/>
    </row>
    <row r="1720" ht="15" customHeight="1">
      <c r="A1720" t="inlineStr">
        <is>
          <t>A 68894-2021</t>
        </is>
      </c>
      <c r="B1720" s="1" t="n">
        <v>44526</v>
      </c>
      <c r="C1720" s="1" t="n">
        <v>45224</v>
      </c>
      <c r="D1720" t="inlineStr">
        <is>
          <t>STOCKHOLMS LÄN</t>
        </is>
      </c>
      <c r="E1720" t="inlineStr">
        <is>
          <t>HANINGE</t>
        </is>
      </c>
      <c r="G1720" t="n">
        <v>1.2</v>
      </c>
      <c r="H1720" t="n">
        <v>0</v>
      </c>
      <c r="I1720" t="n">
        <v>0</v>
      </c>
      <c r="J1720" t="n">
        <v>0</v>
      </c>
      <c r="K1720" t="n">
        <v>0</v>
      </c>
      <c r="L1720" t="n">
        <v>0</v>
      </c>
      <c r="M1720" t="n">
        <v>0</v>
      </c>
      <c r="N1720" t="n">
        <v>0</v>
      </c>
      <c r="O1720" t="n">
        <v>0</v>
      </c>
      <c r="P1720" t="n">
        <v>0</v>
      </c>
      <c r="Q1720" t="n">
        <v>0</v>
      </c>
      <c r="R1720" s="2" t="inlineStr"/>
    </row>
    <row r="1721" ht="15" customHeight="1">
      <c r="A1721" t="inlineStr">
        <is>
          <t>A 68896-2021</t>
        </is>
      </c>
      <c r="B1721" s="1" t="n">
        <v>44526</v>
      </c>
      <c r="C1721" s="1" t="n">
        <v>45224</v>
      </c>
      <c r="D1721" t="inlineStr">
        <is>
          <t>STOCKHOLMS LÄN</t>
        </is>
      </c>
      <c r="E1721" t="inlineStr">
        <is>
          <t>HANINGE</t>
        </is>
      </c>
      <c r="G1721" t="n">
        <v>3.4</v>
      </c>
      <c r="H1721" t="n">
        <v>0</v>
      </c>
      <c r="I1721" t="n">
        <v>0</v>
      </c>
      <c r="J1721" t="n">
        <v>0</v>
      </c>
      <c r="K1721" t="n">
        <v>0</v>
      </c>
      <c r="L1721" t="n">
        <v>0</v>
      </c>
      <c r="M1721" t="n">
        <v>0</v>
      </c>
      <c r="N1721" t="n">
        <v>0</v>
      </c>
      <c r="O1721" t="n">
        <v>0</v>
      </c>
      <c r="P1721" t="n">
        <v>0</v>
      </c>
      <c r="Q1721" t="n">
        <v>0</v>
      </c>
      <c r="R1721" s="2" t="inlineStr"/>
    </row>
    <row r="1722" ht="15" customHeight="1">
      <c r="A1722" t="inlineStr">
        <is>
          <t>A 68904-2021</t>
        </is>
      </c>
      <c r="B1722" s="1" t="n">
        <v>44526</v>
      </c>
      <c r="C1722" s="1" t="n">
        <v>45224</v>
      </c>
      <c r="D1722" t="inlineStr">
        <is>
          <t>STOCKHOLMS LÄN</t>
        </is>
      </c>
      <c r="E1722" t="inlineStr">
        <is>
          <t>HANINGE</t>
        </is>
      </c>
      <c r="G1722" t="n">
        <v>2.4</v>
      </c>
      <c r="H1722" t="n">
        <v>0</v>
      </c>
      <c r="I1722" t="n">
        <v>0</v>
      </c>
      <c r="J1722" t="n">
        <v>0</v>
      </c>
      <c r="K1722" t="n">
        <v>0</v>
      </c>
      <c r="L1722" t="n">
        <v>0</v>
      </c>
      <c r="M1722" t="n">
        <v>0</v>
      </c>
      <c r="N1722" t="n">
        <v>0</v>
      </c>
      <c r="O1722" t="n">
        <v>0</v>
      </c>
      <c r="P1722" t="n">
        <v>0</v>
      </c>
      <c r="Q1722" t="n">
        <v>0</v>
      </c>
      <c r="R1722" s="2" t="inlineStr"/>
    </row>
    <row r="1723" ht="15" customHeight="1">
      <c r="A1723" t="inlineStr">
        <is>
          <t>A 68554-2021</t>
        </is>
      </c>
      <c r="B1723" s="1" t="n">
        <v>44529</v>
      </c>
      <c r="C1723" s="1" t="n">
        <v>45224</v>
      </c>
      <c r="D1723" t="inlineStr">
        <is>
          <t>STOCKHOLMS LÄN</t>
        </is>
      </c>
      <c r="E1723" t="inlineStr">
        <is>
          <t>UPPLANDS-BRO</t>
        </is>
      </c>
      <c r="F1723" t="inlineStr">
        <is>
          <t>Övriga statliga verk och myndigheter</t>
        </is>
      </c>
      <c r="G1723" t="n">
        <v>3.3</v>
      </c>
      <c r="H1723" t="n">
        <v>0</v>
      </c>
      <c r="I1723" t="n">
        <v>0</v>
      </c>
      <c r="J1723" t="n">
        <v>0</v>
      </c>
      <c r="K1723" t="n">
        <v>0</v>
      </c>
      <c r="L1723" t="n">
        <v>0</v>
      </c>
      <c r="M1723" t="n">
        <v>0</v>
      </c>
      <c r="N1723" t="n">
        <v>0</v>
      </c>
      <c r="O1723" t="n">
        <v>0</v>
      </c>
      <c r="P1723" t="n">
        <v>0</v>
      </c>
      <c r="Q1723" t="n">
        <v>0</v>
      </c>
      <c r="R1723" s="2" t="inlineStr"/>
    </row>
    <row r="1724" ht="15" customHeight="1">
      <c r="A1724" t="inlineStr">
        <is>
          <t>A 68564-2021</t>
        </is>
      </c>
      <c r="B1724" s="1" t="n">
        <v>44529</v>
      </c>
      <c r="C1724" s="1" t="n">
        <v>45224</v>
      </c>
      <c r="D1724" t="inlineStr">
        <is>
          <t>STOCKHOLMS LÄN</t>
        </is>
      </c>
      <c r="E1724" t="inlineStr">
        <is>
          <t>UPPLANDS-BRO</t>
        </is>
      </c>
      <c r="F1724" t="inlineStr">
        <is>
          <t>Övriga statliga verk och myndigheter</t>
        </is>
      </c>
      <c r="G1724" t="n">
        <v>6.9</v>
      </c>
      <c r="H1724" t="n">
        <v>0</v>
      </c>
      <c r="I1724" t="n">
        <v>0</v>
      </c>
      <c r="J1724" t="n">
        <v>0</v>
      </c>
      <c r="K1724" t="n">
        <v>0</v>
      </c>
      <c r="L1724" t="n">
        <v>0</v>
      </c>
      <c r="M1724" t="n">
        <v>0</v>
      </c>
      <c r="N1724" t="n">
        <v>0</v>
      </c>
      <c r="O1724" t="n">
        <v>0</v>
      </c>
      <c r="P1724" t="n">
        <v>0</v>
      </c>
      <c r="Q1724" t="n">
        <v>0</v>
      </c>
      <c r="R1724" s="2" t="inlineStr"/>
    </row>
    <row r="1725" ht="15" customHeight="1">
      <c r="A1725" t="inlineStr">
        <is>
          <t>A 69034-2021</t>
        </is>
      </c>
      <c r="B1725" s="1" t="n">
        <v>44529</v>
      </c>
      <c r="C1725" s="1" t="n">
        <v>45224</v>
      </c>
      <c r="D1725" t="inlineStr">
        <is>
          <t>STOCKHOLMS LÄN</t>
        </is>
      </c>
      <c r="E1725" t="inlineStr">
        <is>
          <t>NORRTÄLJE</t>
        </is>
      </c>
      <c r="G1725" t="n">
        <v>1.2</v>
      </c>
      <c r="H1725" t="n">
        <v>0</v>
      </c>
      <c r="I1725" t="n">
        <v>0</v>
      </c>
      <c r="J1725" t="n">
        <v>0</v>
      </c>
      <c r="K1725" t="n">
        <v>0</v>
      </c>
      <c r="L1725" t="n">
        <v>0</v>
      </c>
      <c r="M1725" t="n">
        <v>0</v>
      </c>
      <c r="N1725" t="n">
        <v>0</v>
      </c>
      <c r="O1725" t="n">
        <v>0</v>
      </c>
      <c r="P1725" t="n">
        <v>0</v>
      </c>
      <c r="Q1725" t="n">
        <v>0</v>
      </c>
      <c r="R1725" s="2" t="inlineStr"/>
    </row>
    <row r="1726" ht="15" customHeight="1">
      <c r="A1726" t="inlineStr">
        <is>
          <t>A 68700-2021</t>
        </is>
      </c>
      <c r="B1726" s="1" t="n">
        <v>44529</v>
      </c>
      <c r="C1726" s="1" t="n">
        <v>45224</v>
      </c>
      <c r="D1726" t="inlineStr">
        <is>
          <t>STOCKHOLMS LÄN</t>
        </is>
      </c>
      <c r="E1726" t="inlineStr">
        <is>
          <t>SALEM</t>
        </is>
      </c>
      <c r="F1726" t="inlineStr">
        <is>
          <t>Kommuner</t>
        </is>
      </c>
      <c r="G1726" t="n">
        <v>5.3</v>
      </c>
      <c r="H1726" t="n">
        <v>0</v>
      </c>
      <c r="I1726" t="n">
        <v>0</v>
      </c>
      <c r="J1726" t="n">
        <v>0</v>
      </c>
      <c r="K1726" t="n">
        <v>0</v>
      </c>
      <c r="L1726" t="n">
        <v>0</v>
      </c>
      <c r="M1726" t="n">
        <v>0</v>
      </c>
      <c r="N1726" t="n">
        <v>0</v>
      </c>
      <c r="O1726" t="n">
        <v>0</v>
      </c>
      <c r="P1726" t="n">
        <v>0</v>
      </c>
      <c r="Q1726" t="n">
        <v>0</v>
      </c>
      <c r="R1726" s="2" t="inlineStr"/>
    </row>
    <row r="1727" ht="15" customHeight="1">
      <c r="A1727" t="inlineStr">
        <is>
          <t>A 69539-2021</t>
        </is>
      </c>
      <c r="B1727" s="1" t="n">
        <v>44531</v>
      </c>
      <c r="C1727" s="1" t="n">
        <v>45224</v>
      </c>
      <c r="D1727" t="inlineStr">
        <is>
          <t>STOCKHOLMS LÄN</t>
        </is>
      </c>
      <c r="E1727" t="inlineStr">
        <is>
          <t>NORRTÄLJE</t>
        </is>
      </c>
      <c r="G1727" t="n">
        <v>1.9</v>
      </c>
      <c r="H1727" t="n">
        <v>0</v>
      </c>
      <c r="I1727" t="n">
        <v>0</v>
      </c>
      <c r="J1727" t="n">
        <v>0</v>
      </c>
      <c r="K1727" t="n">
        <v>0</v>
      </c>
      <c r="L1727" t="n">
        <v>0</v>
      </c>
      <c r="M1727" t="n">
        <v>0</v>
      </c>
      <c r="N1727" t="n">
        <v>0</v>
      </c>
      <c r="O1727" t="n">
        <v>0</v>
      </c>
      <c r="P1727" t="n">
        <v>0</v>
      </c>
      <c r="Q1727" t="n">
        <v>0</v>
      </c>
      <c r="R1727" s="2" t="inlineStr"/>
    </row>
    <row r="1728" ht="15" customHeight="1">
      <c r="A1728" t="inlineStr">
        <is>
          <t>A 69816-2021</t>
        </is>
      </c>
      <c r="B1728" s="1" t="n">
        <v>44532</v>
      </c>
      <c r="C1728" s="1" t="n">
        <v>45224</v>
      </c>
      <c r="D1728" t="inlineStr">
        <is>
          <t>STOCKHOLMS LÄN</t>
        </is>
      </c>
      <c r="E1728" t="inlineStr">
        <is>
          <t>NORRTÄLJE</t>
        </is>
      </c>
      <c r="G1728" t="n">
        <v>4.9</v>
      </c>
      <c r="H1728" t="n">
        <v>0</v>
      </c>
      <c r="I1728" t="n">
        <v>0</v>
      </c>
      <c r="J1728" t="n">
        <v>0</v>
      </c>
      <c r="K1728" t="n">
        <v>0</v>
      </c>
      <c r="L1728" t="n">
        <v>0</v>
      </c>
      <c r="M1728" t="n">
        <v>0</v>
      </c>
      <c r="N1728" t="n">
        <v>0</v>
      </c>
      <c r="O1728" t="n">
        <v>0</v>
      </c>
      <c r="P1728" t="n">
        <v>0</v>
      </c>
      <c r="Q1728" t="n">
        <v>0</v>
      </c>
      <c r="R1728" s="2" t="inlineStr"/>
    </row>
    <row r="1729" ht="15" customHeight="1">
      <c r="A1729" t="inlineStr">
        <is>
          <t>A 70170-2021</t>
        </is>
      </c>
      <c r="B1729" s="1" t="n">
        <v>44533</v>
      </c>
      <c r="C1729" s="1" t="n">
        <v>45224</v>
      </c>
      <c r="D1729" t="inlineStr">
        <is>
          <t>STOCKHOLMS LÄN</t>
        </is>
      </c>
      <c r="E1729" t="inlineStr">
        <is>
          <t>NORRTÄLJE</t>
        </is>
      </c>
      <c r="G1729" t="n">
        <v>2.7</v>
      </c>
      <c r="H1729" t="n">
        <v>0</v>
      </c>
      <c r="I1729" t="n">
        <v>0</v>
      </c>
      <c r="J1729" t="n">
        <v>0</v>
      </c>
      <c r="K1729" t="n">
        <v>0</v>
      </c>
      <c r="L1729" t="n">
        <v>0</v>
      </c>
      <c r="M1729" t="n">
        <v>0</v>
      </c>
      <c r="N1729" t="n">
        <v>0</v>
      </c>
      <c r="O1729" t="n">
        <v>0</v>
      </c>
      <c r="P1729" t="n">
        <v>0</v>
      </c>
      <c r="Q1729" t="n">
        <v>0</v>
      </c>
      <c r="R1729" s="2" t="inlineStr"/>
    </row>
    <row r="1730" ht="15" customHeight="1">
      <c r="A1730" t="inlineStr">
        <is>
          <t>A 70201-2021</t>
        </is>
      </c>
      <c r="B1730" s="1" t="n">
        <v>44534</v>
      </c>
      <c r="C1730" s="1" t="n">
        <v>45224</v>
      </c>
      <c r="D1730" t="inlineStr">
        <is>
          <t>STOCKHOLMS LÄN</t>
        </is>
      </c>
      <c r="E1730" t="inlineStr">
        <is>
          <t>SÖDERTÄLJE</t>
        </is>
      </c>
      <c r="G1730" t="n">
        <v>4.7</v>
      </c>
      <c r="H1730" t="n">
        <v>0</v>
      </c>
      <c r="I1730" t="n">
        <v>0</v>
      </c>
      <c r="J1730" t="n">
        <v>0</v>
      </c>
      <c r="K1730" t="n">
        <v>0</v>
      </c>
      <c r="L1730" t="n">
        <v>0</v>
      </c>
      <c r="M1730" t="n">
        <v>0</v>
      </c>
      <c r="N1730" t="n">
        <v>0</v>
      </c>
      <c r="O1730" t="n">
        <v>0</v>
      </c>
      <c r="P1730" t="n">
        <v>0</v>
      </c>
      <c r="Q1730" t="n">
        <v>0</v>
      </c>
      <c r="R1730" s="2" t="inlineStr"/>
    </row>
    <row r="1731" ht="15" customHeight="1">
      <c r="A1731" t="inlineStr">
        <is>
          <t>A 70608-2021</t>
        </is>
      </c>
      <c r="B1731" s="1" t="n">
        <v>44536</v>
      </c>
      <c r="C1731" s="1" t="n">
        <v>45224</v>
      </c>
      <c r="D1731" t="inlineStr">
        <is>
          <t>STOCKHOLMS LÄN</t>
        </is>
      </c>
      <c r="E1731" t="inlineStr">
        <is>
          <t>VALLENTUNA</t>
        </is>
      </c>
      <c r="G1731" t="n">
        <v>10.4</v>
      </c>
      <c r="H1731" t="n">
        <v>0</v>
      </c>
      <c r="I1731" t="n">
        <v>0</v>
      </c>
      <c r="J1731" t="n">
        <v>0</v>
      </c>
      <c r="K1731" t="n">
        <v>0</v>
      </c>
      <c r="L1731" t="n">
        <v>0</v>
      </c>
      <c r="M1731" t="n">
        <v>0</v>
      </c>
      <c r="N1731" t="n">
        <v>0</v>
      </c>
      <c r="O1731" t="n">
        <v>0</v>
      </c>
      <c r="P1731" t="n">
        <v>0</v>
      </c>
      <c r="Q1731" t="n">
        <v>0</v>
      </c>
      <c r="R1731" s="2" t="inlineStr"/>
    </row>
    <row r="1732" ht="15" customHeight="1">
      <c r="A1732" t="inlineStr">
        <is>
          <t>A 70469-2021</t>
        </is>
      </c>
      <c r="B1732" s="1" t="n">
        <v>44536</v>
      </c>
      <c r="C1732" s="1" t="n">
        <v>45224</v>
      </c>
      <c r="D1732" t="inlineStr">
        <is>
          <t>STOCKHOLMS LÄN</t>
        </is>
      </c>
      <c r="E1732" t="inlineStr">
        <is>
          <t>NORRTÄLJE</t>
        </is>
      </c>
      <c r="F1732" t="inlineStr">
        <is>
          <t>Holmen skog AB</t>
        </is>
      </c>
      <c r="G1732" t="n">
        <v>2.5</v>
      </c>
      <c r="H1732" t="n">
        <v>0</v>
      </c>
      <c r="I1732" t="n">
        <v>0</v>
      </c>
      <c r="J1732" t="n">
        <v>0</v>
      </c>
      <c r="K1732" t="n">
        <v>0</v>
      </c>
      <c r="L1732" t="n">
        <v>0</v>
      </c>
      <c r="M1732" t="n">
        <v>0</v>
      </c>
      <c r="N1732" t="n">
        <v>0</v>
      </c>
      <c r="O1732" t="n">
        <v>0</v>
      </c>
      <c r="P1732" t="n">
        <v>0</v>
      </c>
      <c r="Q1732" t="n">
        <v>0</v>
      </c>
      <c r="R1732" s="2" t="inlineStr"/>
    </row>
    <row r="1733" ht="15" customHeight="1">
      <c r="A1733" t="inlineStr">
        <is>
          <t>A 70850-2021</t>
        </is>
      </c>
      <c r="B1733" s="1" t="n">
        <v>44538</v>
      </c>
      <c r="C1733" s="1" t="n">
        <v>45224</v>
      </c>
      <c r="D1733" t="inlineStr">
        <is>
          <t>STOCKHOLMS LÄN</t>
        </is>
      </c>
      <c r="E1733" t="inlineStr">
        <is>
          <t>NYNÄSHAMN</t>
        </is>
      </c>
      <c r="G1733" t="n">
        <v>1.2</v>
      </c>
      <c r="H1733" t="n">
        <v>0</v>
      </c>
      <c r="I1733" t="n">
        <v>0</v>
      </c>
      <c r="J1733" t="n">
        <v>0</v>
      </c>
      <c r="K1733" t="n">
        <v>0</v>
      </c>
      <c r="L1733" t="n">
        <v>0</v>
      </c>
      <c r="M1733" t="n">
        <v>0</v>
      </c>
      <c r="N1733" t="n">
        <v>0</v>
      </c>
      <c r="O1733" t="n">
        <v>0</v>
      </c>
      <c r="P1733" t="n">
        <v>0</v>
      </c>
      <c r="Q1733" t="n">
        <v>0</v>
      </c>
      <c r="R1733" s="2" t="inlineStr"/>
    </row>
    <row r="1734" ht="15" customHeight="1">
      <c r="A1734" t="inlineStr">
        <is>
          <t>A 71325-2021</t>
        </is>
      </c>
      <c r="B1734" s="1" t="n">
        <v>44539</v>
      </c>
      <c r="C1734" s="1" t="n">
        <v>45224</v>
      </c>
      <c r="D1734" t="inlineStr">
        <is>
          <t>STOCKHOLMS LÄN</t>
        </is>
      </c>
      <c r="E1734" t="inlineStr">
        <is>
          <t>NORRTÄLJE</t>
        </is>
      </c>
      <c r="G1734" t="n">
        <v>2.1</v>
      </c>
      <c r="H1734" t="n">
        <v>0</v>
      </c>
      <c r="I1734" t="n">
        <v>0</v>
      </c>
      <c r="J1734" t="n">
        <v>0</v>
      </c>
      <c r="K1734" t="n">
        <v>0</v>
      </c>
      <c r="L1734" t="n">
        <v>0</v>
      </c>
      <c r="M1734" t="n">
        <v>0</v>
      </c>
      <c r="N1734" t="n">
        <v>0</v>
      </c>
      <c r="O1734" t="n">
        <v>0</v>
      </c>
      <c r="P1734" t="n">
        <v>0</v>
      </c>
      <c r="Q1734" t="n">
        <v>0</v>
      </c>
      <c r="R1734" s="2" t="inlineStr"/>
    </row>
    <row r="1735" ht="15" customHeight="1">
      <c r="A1735" t="inlineStr">
        <is>
          <t>A 71479-2021</t>
        </is>
      </c>
      <c r="B1735" s="1" t="n">
        <v>44540</v>
      </c>
      <c r="C1735" s="1" t="n">
        <v>45224</v>
      </c>
      <c r="D1735" t="inlineStr">
        <is>
          <t>STOCKHOLMS LÄN</t>
        </is>
      </c>
      <c r="E1735" t="inlineStr">
        <is>
          <t>NORRTÄLJE</t>
        </is>
      </c>
      <c r="G1735" t="n">
        <v>3</v>
      </c>
      <c r="H1735" t="n">
        <v>0</v>
      </c>
      <c r="I1735" t="n">
        <v>0</v>
      </c>
      <c r="J1735" t="n">
        <v>0</v>
      </c>
      <c r="K1735" t="n">
        <v>0</v>
      </c>
      <c r="L1735" t="n">
        <v>0</v>
      </c>
      <c r="M1735" t="n">
        <v>0</v>
      </c>
      <c r="N1735" t="n">
        <v>0</v>
      </c>
      <c r="O1735" t="n">
        <v>0</v>
      </c>
      <c r="P1735" t="n">
        <v>0</v>
      </c>
      <c r="Q1735" t="n">
        <v>0</v>
      </c>
      <c r="R1735" s="2" t="inlineStr"/>
    </row>
    <row r="1736" ht="15" customHeight="1">
      <c r="A1736" t="inlineStr">
        <is>
          <t>A 71540-2021</t>
        </is>
      </c>
      <c r="B1736" s="1" t="n">
        <v>44540</v>
      </c>
      <c r="C1736" s="1" t="n">
        <v>45224</v>
      </c>
      <c r="D1736" t="inlineStr">
        <is>
          <t>STOCKHOLMS LÄN</t>
        </is>
      </c>
      <c r="E1736" t="inlineStr">
        <is>
          <t>NYKVARN</t>
        </is>
      </c>
      <c r="G1736" t="n">
        <v>6.7</v>
      </c>
      <c r="H1736" t="n">
        <v>0</v>
      </c>
      <c r="I1736" t="n">
        <v>0</v>
      </c>
      <c r="J1736" t="n">
        <v>0</v>
      </c>
      <c r="K1736" t="n">
        <v>0</v>
      </c>
      <c r="L1736" t="n">
        <v>0</v>
      </c>
      <c r="M1736" t="n">
        <v>0</v>
      </c>
      <c r="N1736" t="n">
        <v>0</v>
      </c>
      <c r="O1736" t="n">
        <v>0</v>
      </c>
      <c r="P1736" t="n">
        <v>0</v>
      </c>
      <c r="Q1736" t="n">
        <v>0</v>
      </c>
      <c r="R1736" s="2" t="inlineStr"/>
    </row>
    <row r="1737" ht="15" customHeight="1">
      <c r="A1737" t="inlineStr">
        <is>
          <t>A 71551-2021</t>
        </is>
      </c>
      <c r="B1737" s="1" t="n">
        <v>44540</v>
      </c>
      <c r="C1737" s="1" t="n">
        <v>45224</v>
      </c>
      <c r="D1737" t="inlineStr">
        <is>
          <t>STOCKHOLMS LÄN</t>
        </is>
      </c>
      <c r="E1737" t="inlineStr">
        <is>
          <t>NORRTÄLJE</t>
        </is>
      </c>
      <c r="G1737" t="n">
        <v>1.2</v>
      </c>
      <c r="H1737" t="n">
        <v>0</v>
      </c>
      <c r="I1737" t="n">
        <v>0</v>
      </c>
      <c r="J1737" t="n">
        <v>0</v>
      </c>
      <c r="K1737" t="n">
        <v>0</v>
      </c>
      <c r="L1737" t="n">
        <v>0</v>
      </c>
      <c r="M1737" t="n">
        <v>0</v>
      </c>
      <c r="N1737" t="n">
        <v>0</v>
      </c>
      <c r="O1737" t="n">
        <v>0</v>
      </c>
      <c r="P1737" t="n">
        <v>0</v>
      </c>
      <c r="Q1737" t="n">
        <v>0</v>
      </c>
      <c r="R1737" s="2" t="inlineStr"/>
    </row>
    <row r="1738" ht="15" customHeight="1">
      <c r="A1738" t="inlineStr">
        <is>
          <t>A 71543-2021</t>
        </is>
      </c>
      <c r="B1738" s="1" t="n">
        <v>44540</v>
      </c>
      <c r="C1738" s="1" t="n">
        <v>45224</v>
      </c>
      <c r="D1738" t="inlineStr">
        <is>
          <t>STOCKHOLMS LÄN</t>
        </is>
      </c>
      <c r="E1738" t="inlineStr">
        <is>
          <t>NORRTÄLJE</t>
        </is>
      </c>
      <c r="G1738" t="n">
        <v>1.8</v>
      </c>
      <c r="H1738" t="n">
        <v>0</v>
      </c>
      <c r="I1738" t="n">
        <v>0</v>
      </c>
      <c r="J1738" t="n">
        <v>0</v>
      </c>
      <c r="K1738" t="n">
        <v>0</v>
      </c>
      <c r="L1738" t="n">
        <v>0</v>
      </c>
      <c r="M1738" t="n">
        <v>0</v>
      </c>
      <c r="N1738" t="n">
        <v>0</v>
      </c>
      <c r="O1738" t="n">
        <v>0</v>
      </c>
      <c r="P1738" t="n">
        <v>0</v>
      </c>
      <c r="Q1738" t="n">
        <v>0</v>
      </c>
      <c r="R1738" s="2" t="inlineStr"/>
    </row>
    <row r="1739" ht="15" customHeight="1">
      <c r="A1739" t="inlineStr">
        <is>
          <t>A 71552-2021</t>
        </is>
      </c>
      <c r="B1739" s="1" t="n">
        <v>44540</v>
      </c>
      <c r="C1739" s="1" t="n">
        <v>45224</v>
      </c>
      <c r="D1739" t="inlineStr">
        <is>
          <t>STOCKHOLMS LÄN</t>
        </is>
      </c>
      <c r="E1739" t="inlineStr">
        <is>
          <t>NORRTÄLJE</t>
        </is>
      </c>
      <c r="G1739" t="n">
        <v>1.1</v>
      </c>
      <c r="H1739" t="n">
        <v>0</v>
      </c>
      <c r="I1739" t="n">
        <v>0</v>
      </c>
      <c r="J1739" t="n">
        <v>0</v>
      </c>
      <c r="K1739" t="n">
        <v>0</v>
      </c>
      <c r="L1739" t="n">
        <v>0</v>
      </c>
      <c r="M1739" t="n">
        <v>0</v>
      </c>
      <c r="N1739" t="n">
        <v>0</v>
      </c>
      <c r="O1739" t="n">
        <v>0</v>
      </c>
      <c r="P1739" t="n">
        <v>0</v>
      </c>
      <c r="Q1739" t="n">
        <v>0</v>
      </c>
      <c r="R1739" s="2" t="inlineStr"/>
    </row>
    <row r="1740" ht="15" customHeight="1">
      <c r="A1740" t="inlineStr">
        <is>
          <t>A 71878-2021</t>
        </is>
      </c>
      <c r="B1740" s="1" t="n">
        <v>44543</v>
      </c>
      <c r="C1740" s="1" t="n">
        <v>45224</v>
      </c>
      <c r="D1740" t="inlineStr">
        <is>
          <t>STOCKHOLMS LÄN</t>
        </is>
      </c>
      <c r="E1740" t="inlineStr">
        <is>
          <t>NORRTÄLJE</t>
        </is>
      </c>
      <c r="G1740" t="n">
        <v>1.2</v>
      </c>
      <c r="H1740" t="n">
        <v>0</v>
      </c>
      <c r="I1740" t="n">
        <v>0</v>
      </c>
      <c r="J1740" t="n">
        <v>0</v>
      </c>
      <c r="K1740" t="n">
        <v>0</v>
      </c>
      <c r="L1740" t="n">
        <v>0</v>
      </c>
      <c r="M1740" t="n">
        <v>0</v>
      </c>
      <c r="N1740" t="n">
        <v>0</v>
      </c>
      <c r="O1740" t="n">
        <v>0</v>
      </c>
      <c r="P1740" t="n">
        <v>0</v>
      </c>
      <c r="Q1740" t="n">
        <v>0</v>
      </c>
      <c r="R1740" s="2" t="inlineStr"/>
    </row>
    <row r="1741" ht="15" customHeight="1">
      <c r="A1741" t="inlineStr">
        <is>
          <t>A 71871-2021</t>
        </is>
      </c>
      <c r="B1741" s="1" t="n">
        <v>44543</v>
      </c>
      <c r="C1741" s="1" t="n">
        <v>45224</v>
      </c>
      <c r="D1741" t="inlineStr">
        <is>
          <t>STOCKHOLMS LÄN</t>
        </is>
      </c>
      <c r="E1741" t="inlineStr">
        <is>
          <t>NORRTÄLJE</t>
        </is>
      </c>
      <c r="G1741" t="n">
        <v>2.5</v>
      </c>
      <c r="H1741" t="n">
        <v>0</v>
      </c>
      <c r="I1741" t="n">
        <v>0</v>
      </c>
      <c r="J1741" t="n">
        <v>0</v>
      </c>
      <c r="K1741" t="n">
        <v>0</v>
      </c>
      <c r="L1741" t="n">
        <v>0</v>
      </c>
      <c r="M1741" t="n">
        <v>0</v>
      </c>
      <c r="N1741" t="n">
        <v>0</v>
      </c>
      <c r="O1741" t="n">
        <v>0</v>
      </c>
      <c r="P1741" t="n">
        <v>0</v>
      </c>
      <c r="Q1741" t="n">
        <v>0</v>
      </c>
      <c r="R1741" s="2" t="inlineStr"/>
    </row>
    <row r="1742" ht="15" customHeight="1">
      <c r="A1742" t="inlineStr">
        <is>
          <t>A 71880-2021</t>
        </is>
      </c>
      <c r="B1742" s="1" t="n">
        <v>44543</v>
      </c>
      <c r="C1742" s="1" t="n">
        <v>45224</v>
      </c>
      <c r="D1742" t="inlineStr">
        <is>
          <t>STOCKHOLMS LÄN</t>
        </is>
      </c>
      <c r="E1742" t="inlineStr">
        <is>
          <t>NORRTÄLJE</t>
        </is>
      </c>
      <c r="G1742" t="n">
        <v>2</v>
      </c>
      <c r="H1742" t="n">
        <v>0</v>
      </c>
      <c r="I1742" t="n">
        <v>0</v>
      </c>
      <c r="J1742" t="n">
        <v>0</v>
      </c>
      <c r="K1742" t="n">
        <v>0</v>
      </c>
      <c r="L1742" t="n">
        <v>0</v>
      </c>
      <c r="M1742" t="n">
        <v>0</v>
      </c>
      <c r="N1742" t="n">
        <v>0</v>
      </c>
      <c r="O1742" t="n">
        <v>0</v>
      </c>
      <c r="P1742" t="n">
        <v>0</v>
      </c>
      <c r="Q1742" t="n">
        <v>0</v>
      </c>
      <c r="R1742" s="2" t="inlineStr"/>
    </row>
    <row r="1743" ht="15" customHeight="1">
      <c r="A1743" t="inlineStr">
        <is>
          <t>A 71873-2021</t>
        </is>
      </c>
      <c r="B1743" s="1" t="n">
        <v>44543</v>
      </c>
      <c r="C1743" s="1" t="n">
        <v>45224</v>
      </c>
      <c r="D1743" t="inlineStr">
        <is>
          <t>STOCKHOLMS LÄN</t>
        </is>
      </c>
      <c r="E1743" t="inlineStr">
        <is>
          <t>NORRTÄLJE</t>
        </is>
      </c>
      <c r="G1743" t="n">
        <v>1.4</v>
      </c>
      <c r="H1743" t="n">
        <v>0</v>
      </c>
      <c r="I1743" t="n">
        <v>0</v>
      </c>
      <c r="J1743" t="n">
        <v>0</v>
      </c>
      <c r="K1743" t="n">
        <v>0</v>
      </c>
      <c r="L1743" t="n">
        <v>0</v>
      </c>
      <c r="M1743" t="n">
        <v>0</v>
      </c>
      <c r="N1743" t="n">
        <v>0</v>
      </c>
      <c r="O1743" t="n">
        <v>0</v>
      </c>
      <c r="P1743" t="n">
        <v>0</v>
      </c>
      <c r="Q1743" t="n">
        <v>0</v>
      </c>
      <c r="R1743" s="2" t="inlineStr"/>
    </row>
    <row r="1744" ht="15" customHeight="1">
      <c r="A1744" t="inlineStr">
        <is>
          <t>A 71876-2021</t>
        </is>
      </c>
      <c r="B1744" s="1" t="n">
        <v>44543</v>
      </c>
      <c r="C1744" s="1" t="n">
        <v>45224</v>
      </c>
      <c r="D1744" t="inlineStr">
        <is>
          <t>STOCKHOLMS LÄN</t>
        </is>
      </c>
      <c r="E1744" t="inlineStr">
        <is>
          <t>NORRTÄLJE</t>
        </is>
      </c>
      <c r="G1744" t="n">
        <v>2.8</v>
      </c>
      <c r="H1744" t="n">
        <v>0</v>
      </c>
      <c r="I1744" t="n">
        <v>0</v>
      </c>
      <c r="J1744" t="n">
        <v>0</v>
      </c>
      <c r="K1744" t="n">
        <v>0</v>
      </c>
      <c r="L1744" t="n">
        <v>0</v>
      </c>
      <c r="M1744" t="n">
        <v>0</v>
      </c>
      <c r="N1744" t="n">
        <v>0</v>
      </c>
      <c r="O1744" t="n">
        <v>0</v>
      </c>
      <c r="P1744" t="n">
        <v>0</v>
      </c>
      <c r="Q1744" t="n">
        <v>0</v>
      </c>
      <c r="R1744" s="2" t="inlineStr"/>
    </row>
    <row r="1745" ht="15" customHeight="1">
      <c r="A1745" t="inlineStr">
        <is>
          <t>A 72085-2021</t>
        </is>
      </c>
      <c r="B1745" s="1" t="n">
        <v>44544</v>
      </c>
      <c r="C1745" s="1" t="n">
        <v>45224</v>
      </c>
      <c r="D1745" t="inlineStr">
        <is>
          <t>STOCKHOLMS LÄN</t>
        </is>
      </c>
      <c r="E1745" t="inlineStr">
        <is>
          <t>NORRTÄLJE</t>
        </is>
      </c>
      <c r="G1745" t="n">
        <v>4.9</v>
      </c>
      <c r="H1745" t="n">
        <v>0</v>
      </c>
      <c r="I1745" t="n">
        <v>0</v>
      </c>
      <c r="J1745" t="n">
        <v>0</v>
      </c>
      <c r="K1745" t="n">
        <v>0</v>
      </c>
      <c r="L1745" t="n">
        <v>0</v>
      </c>
      <c r="M1745" t="n">
        <v>0</v>
      </c>
      <c r="N1745" t="n">
        <v>0</v>
      </c>
      <c r="O1745" t="n">
        <v>0</v>
      </c>
      <c r="P1745" t="n">
        <v>0</v>
      </c>
      <c r="Q1745" t="n">
        <v>0</v>
      </c>
      <c r="R1745" s="2" t="inlineStr"/>
    </row>
    <row r="1746" ht="15" customHeight="1">
      <c r="A1746" t="inlineStr">
        <is>
          <t>A 72176-2021</t>
        </is>
      </c>
      <c r="B1746" s="1" t="n">
        <v>44544</v>
      </c>
      <c r="C1746" s="1" t="n">
        <v>45224</v>
      </c>
      <c r="D1746" t="inlineStr">
        <is>
          <t>STOCKHOLMS LÄN</t>
        </is>
      </c>
      <c r="E1746" t="inlineStr">
        <is>
          <t>VÄRMDÖ</t>
        </is>
      </c>
      <c r="G1746" t="n">
        <v>2.6</v>
      </c>
      <c r="H1746" t="n">
        <v>0</v>
      </c>
      <c r="I1746" t="n">
        <v>0</v>
      </c>
      <c r="J1746" t="n">
        <v>0</v>
      </c>
      <c r="K1746" t="n">
        <v>0</v>
      </c>
      <c r="L1746" t="n">
        <v>0</v>
      </c>
      <c r="M1746" t="n">
        <v>0</v>
      </c>
      <c r="N1746" t="n">
        <v>0</v>
      </c>
      <c r="O1746" t="n">
        <v>0</v>
      </c>
      <c r="P1746" t="n">
        <v>0</v>
      </c>
      <c r="Q1746" t="n">
        <v>0</v>
      </c>
      <c r="R1746" s="2" t="inlineStr"/>
    </row>
    <row r="1747" ht="15" customHeight="1">
      <c r="A1747" t="inlineStr">
        <is>
          <t>A 72097-2021</t>
        </is>
      </c>
      <c r="B1747" s="1" t="n">
        <v>44544</v>
      </c>
      <c r="C1747" s="1" t="n">
        <v>45224</v>
      </c>
      <c r="D1747" t="inlineStr">
        <is>
          <t>STOCKHOLMS LÄN</t>
        </is>
      </c>
      <c r="E1747" t="inlineStr">
        <is>
          <t>VÄRMDÖ</t>
        </is>
      </c>
      <c r="G1747" t="n">
        <v>4.1</v>
      </c>
      <c r="H1747" t="n">
        <v>0</v>
      </c>
      <c r="I1747" t="n">
        <v>0</v>
      </c>
      <c r="J1747" t="n">
        <v>0</v>
      </c>
      <c r="K1747" t="n">
        <v>0</v>
      </c>
      <c r="L1747" t="n">
        <v>0</v>
      </c>
      <c r="M1747" t="n">
        <v>0</v>
      </c>
      <c r="N1747" t="n">
        <v>0</v>
      </c>
      <c r="O1747" t="n">
        <v>0</v>
      </c>
      <c r="P1747" t="n">
        <v>0</v>
      </c>
      <c r="Q1747" t="n">
        <v>0</v>
      </c>
      <c r="R1747" s="2" t="inlineStr"/>
    </row>
    <row r="1748" ht="15" customHeight="1">
      <c r="A1748" t="inlineStr">
        <is>
          <t>A 72202-2021</t>
        </is>
      </c>
      <c r="B1748" s="1" t="n">
        <v>44544</v>
      </c>
      <c r="C1748" s="1" t="n">
        <v>45224</v>
      </c>
      <c r="D1748" t="inlineStr">
        <is>
          <t>STOCKHOLMS LÄN</t>
        </is>
      </c>
      <c r="E1748" t="inlineStr">
        <is>
          <t>NORRTÄLJE</t>
        </is>
      </c>
      <c r="G1748" t="n">
        <v>1.4</v>
      </c>
      <c r="H1748" t="n">
        <v>0</v>
      </c>
      <c r="I1748" t="n">
        <v>0</v>
      </c>
      <c r="J1748" t="n">
        <v>0</v>
      </c>
      <c r="K1748" t="n">
        <v>0</v>
      </c>
      <c r="L1748" t="n">
        <v>0</v>
      </c>
      <c r="M1748" t="n">
        <v>0</v>
      </c>
      <c r="N1748" t="n">
        <v>0</v>
      </c>
      <c r="O1748" t="n">
        <v>0</v>
      </c>
      <c r="P1748" t="n">
        <v>0</v>
      </c>
      <c r="Q1748" t="n">
        <v>0</v>
      </c>
      <c r="R1748" s="2" t="inlineStr"/>
    </row>
    <row r="1749" ht="15" customHeight="1">
      <c r="A1749" t="inlineStr">
        <is>
          <t>A 72108-2021</t>
        </is>
      </c>
      <c r="B1749" s="1" t="n">
        <v>44544</v>
      </c>
      <c r="C1749" s="1" t="n">
        <v>45224</v>
      </c>
      <c r="D1749" t="inlineStr">
        <is>
          <t>STOCKHOLMS LÄN</t>
        </is>
      </c>
      <c r="E1749" t="inlineStr">
        <is>
          <t>VÄRMDÖ</t>
        </is>
      </c>
      <c r="G1749" t="n">
        <v>1.6</v>
      </c>
      <c r="H1749" t="n">
        <v>0</v>
      </c>
      <c r="I1749" t="n">
        <v>0</v>
      </c>
      <c r="J1749" t="n">
        <v>0</v>
      </c>
      <c r="K1749" t="n">
        <v>0</v>
      </c>
      <c r="L1749" t="n">
        <v>0</v>
      </c>
      <c r="M1749" t="n">
        <v>0</v>
      </c>
      <c r="N1749" t="n">
        <v>0</v>
      </c>
      <c r="O1749" t="n">
        <v>0</v>
      </c>
      <c r="P1749" t="n">
        <v>0</v>
      </c>
      <c r="Q1749" t="n">
        <v>0</v>
      </c>
      <c r="R1749" s="2" t="inlineStr"/>
    </row>
    <row r="1750" ht="15" customHeight="1">
      <c r="A1750" t="inlineStr">
        <is>
          <t>A 72508-2021</t>
        </is>
      </c>
      <c r="B1750" s="1" t="n">
        <v>44544</v>
      </c>
      <c r="C1750" s="1" t="n">
        <v>45224</v>
      </c>
      <c r="D1750" t="inlineStr">
        <is>
          <t>STOCKHOLMS LÄN</t>
        </is>
      </c>
      <c r="E1750" t="inlineStr">
        <is>
          <t>ÖSTERÅKER</t>
        </is>
      </c>
      <c r="F1750" t="inlineStr">
        <is>
          <t>Övriga Aktiebolag</t>
        </is>
      </c>
      <c r="G1750" t="n">
        <v>1</v>
      </c>
      <c r="H1750" t="n">
        <v>0</v>
      </c>
      <c r="I1750" t="n">
        <v>0</v>
      </c>
      <c r="J1750" t="n">
        <v>0</v>
      </c>
      <c r="K1750" t="n">
        <v>0</v>
      </c>
      <c r="L1750" t="n">
        <v>0</v>
      </c>
      <c r="M1750" t="n">
        <v>0</v>
      </c>
      <c r="N1750" t="n">
        <v>0</v>
      </c>
      <c r="O1750" t="n">
        <v>0</v>
      </c>
      <c r="P1750" t="n">
        <v>0</v>
      </c>
      <c r="Q1750" t="n">
        <v>0</v>
      </c>
      <c r="R1750" s="2" t="inlineStr"/>
    </row>
    <row r="1751" ht="15" customHeight="1">
      <c r="A1751" t="inlineStr">
        <is>
          <t>A 72343-2021</t>
        </is>
      </c>
      <c r="B1751" s="1" t="n">
        <v>44545</v>
      </c>
      <c r="C1751" s="1" t="n">
        <v>45224</v>
      </c>
      <c r="D1751" t="inlineStr">
        <is>
          <t>STOCKHOLMS LÄN</t>
        </is>
      </c>
      <c r="E1751" t="inlineStr">
        <is>
          <t>NORRTÄLJE</t>
        </is>
      </c>
      <c r="G1751" t="n">
        <v>0.9</v>
      </c>
      <c r="H1751" t="n">
        <v>0</v>
      </c>
      <c r="I1751" t="n">
        <v>0</v>
      </c>
      <c r="J1751" t="n">
        <v>0</v>
      </c>
      <c r="K1751" t="n">
        <v>0</v>
      </c>
      <c r="L1751" t="n">
        <v>0</v>
      </c>
      <c r="M1751" t="n">
        <v>0</v>
      </c>
      <c r="N1751" t="n">
        <v>0</v>
      </c>
      <c r="O1751" t="n">
        <v>0</v>
      </c>
      <c r="P1751" t="n">
        <v>0</v>
      </c>
      <c r="Q1751" t="n">
        <v>0</v>
      </c>
      <c r="R1751" s="2" t="inlineStr"/>
    </row>
    <row r="1752" ht="15" customHeight="1">
      <c r="A1752" t="inlineStr">
        <is>
          <t>A 72355-2021</t>
        </is>
      </c>
      <c r="B1752" s="1" t="n">
        <v>44545</v>
      </c>
      <c r="C1752" s="1" t="n">
        <v>45224</v>
      </c>
      <c r="D1752" t="inlineStr">
        <is>
          <t>STOCKHOLMS LÄN</t>
        </is>
      </c>
      <c r="E1752" t="inlineStr">
        <is>
          <t>NORRTÄLJE</t>
        </is>
      </c>
      <c r="G1752" t="n">
        <v>3.6</v>
      </c>
      <c r="H1752" t="n">
        <v>0</v>
      </c>
      <c r="I1752" t="n">
        <v>0</v>
      </c>
      <c r="J1752" t="n">
        <v>0</v>
      </c>
      <c r="K1752" t="n">
        <v>0</v>
      </c>
      <c r="L1752" t="n">
        <v>0</v>
      </c>
      <c r="M1752" t="n">
        <v>0</v>
      </c>
      <c r="N1752" t="n">
        <v>0</v>
      </c>
      <c r="O1752" t="n">
        <v>0</v>
      </c>
      <c r="P1752" t="n">
        <v>0</v>
      </c>
      <c r="Q1752" t="n">
        <v>0</v>
      </c>
      <c r="R1752" s="2" t="inlineStr"/>
    </row>
    <row r="1753" ht="15" customHeight="1">
      <c r="A1753" t="inlineStr">
        <is>
          <t>A 72357-2021</t>
        </is>
      </c>
      <c r="B1753" s="1" t="n">
        <v>44545</v>
      </c>
      <c r="C1753" s="1" t="n">
        <v>45224</v>
      </c>
      <c r="D1753" t="inlineStr">
        <is>
          <t>STOCKHOLMS LÄN</t>
        </is>
      </c>
      <c r="E1753" t="inlineStr">
        <is>
          <t>NORRTÄLJE</t>
        </is>
      </c>
      <c r="G1753" t="n">
        <v>5.1</v>
      </c>
      <c r="H1753" t="n">
        <v>0</v>
      </c>
      <c r="I1753" t="n">
        <v>0</v>
      </c>
      <c r="J1753" t="n">
        <v>0</v>
      </c>
      <c r="K1753" t="n">
        <v>0</v>
      </c>
      <c r="L1753" t="n">
        <v>0</v>
      </c>
      <c r="M1753" t="n">
        <v>0</v>
      </c>
      <c r="N1753" t="n">
        <v>0</v>
      </c>
      <c r="O1753" t="n">
        <v>0</v>
      </c>
      <c r="P1753" t="n">
        <v>0</v>
      </c>
      <c r="Q1753" t="n">
        <v>0</v>
      </c>
      <c r="R1753" s="2" t="inlineStr"/>
    </row>
    <row r="1754" ht="15" customHeight="1">
      <c r="A1754" t="inlineStr">
        <is>
          <t>A 72524-2021</t>
        </is>
      </c>
      <c r="B1754" s="1" t="n">
        <v>44546</v>
      </c>
      <c r="C1754" s="1" t="n">
        <v>45224</v>
      </c>
      <c r="D1754" t="inlineStr">
        <is>
          <t>STOCKHOLMS LÄN</t>
        </is>
      </c>
      <c r="E1754" t="inlineStr">
        <is>
          <t>UPPLANDS-BRO</t>
        </is>
      </c>
      <c r="G1754" t="n">
        <v>3.6</v>
      </c>
      <c r="H1754" t="n">
        <v>0</v>
      </c>
      <c r="I1754" t="n">
        <v>0</v>
      </c>
      <c r="J1754" t="n">
        <v>0</v>
      </c>
      <c r="K1754" t="n">
        <v>0</v>
      </c>
      <c r="L1754" t="n">
        <v>0</v>
      </c>
      <c r="M1754" t="n">
        <v>0</v>
      </c>
      <c r="N1754" t="n">
        <v>0</v>
      </c>
      <c r="O1754" t="n">
        <v>0</v>
      </c>
      <c r="P1754" t="n">
        <v>0</v>
      </c>
      <c r="Q1754" t="n">
        <v>0</v>
      </c>
      <c r="R1754" s="2" t="inlineStr"/>
    </row>
    <row r="1755" ht="15" customHeight="1">
      <c r="A1755" t="inlineStr">
        <is>
          <t>A 72747-2021</t>
        </is>
      </c>
      <c r="B1755" s="1" t="n">
        <v>44546</v>
      </c>
      <c r="C1755" s="1" t="n">
        <v>45224</v>
      </c>
      <c r="D1755" t="inlineStr">
        <is>
          <t>STOCKHOLMS LÄN</t>
        </is>
      </c>
      <c r="E1755" t="inlineStr">
        <is>
          <t>NORRTÄLJE</t>
        </is>
      </c>
      <c r="G1755" t="n">
        <v>8.199999999999999</v>
      </c>
      <c r="H1755" t="n">
        <v>0</v>
      </c>
      <c r="I1755" t="n">
        <v>0</v>
      </c>
      <c r="J1755" t="n">
        <v>0</v>
      </c>
      <c r="K1755" t="n">
        <v>0</v>
      </c>
      <c r="L1755" t="n">
        <v>0</v>
      </c>
      <c r="M1755" t="n">
        <v>0</v>
      </c>
      <c r="N1755" t="n">
        <v>0</v>
      </c>
      <c r="O1755" t="n">
        <v>0</v>
      </c>
      <c r="P1755" t="n">
        <v>0</v>
      </c>
      <c r="Q1755" t="n">
        <v>0</v>
      </c>
      <c r="R1755" s="2" t="inlineStr"/>
    </row>
    <row r="1756" ht="15" customHeight="1">
      <c r="A1756" t="inlineStr">
        <is>
          <t>A 72515-2021</t>
        </is>
      </c>
      <c r="B1756" s="1" t="n">
        <v>44546</v>
      </c>
      <c r="C1756" s="1" t="n">
        <v>45224</v>
      </c>
      <c r="D1756" t="inlineStr">
        <is>
          <t>STOCKHOLMS LÄN</t>
        </is>
      </c>
      <c r="E1756" t="inlineStr">
        <is>
          <t>ÖSTERÅKER</t>
        </is>
      </c>
      <c r="F1756" t="inlineStr">
        <is>
          <t>Övriga Aktiebolag</t>
        </is>
      </c>
      <c r="G1756" t="n">
        <v>3.8</v>
      </c>
      <c r="H1756" t="n">
        <v>0</v>
      </c>
      <c r="I1756" t="n">
        <v>0</v>
      </c>
      <c r="J1756" t="n">
        <v>0</v>
      </c>
      <c r="K1756" t="n">
        <v>0</v>
      </c>
      <c r="L1756" t="n">
        <v>0</v>
      </c>
      <c r="M1756" t="n">
        <v>0</v>
      </c>
      <c r="N1756" t="n">
        <v>0</v>
      </c>
      <c r="O1756" t="n">
        <v>0</v>
      </c>
      <c r="P1756" t="n">
        <v>0</v>
      </c>
      <c r="Q1756" t="n">
        <v>0</v>
      </c>
      <c r="R1756" s="2" t="inlineStr"/>
    </row>
    <row r="1757" ht="15" customHeight="1">
      <c r="A1757" t="inlineStr">
        <is>
          <t>A 72704-2021</t>
        </is>
      </c>
      <c r="B1757" s="1" t="n">
        <v>44546</v>
      </c>
      <c r="C1757" s="1" t="n">
        <v>45224</v>
      </c>
      <c r="D1757" t="inlineStr">
        <is>
          <t>STOCKHOLMS LÄN</t>
        </is>
      </c>
      <c r="E1757" t="inlineStr">
        <is>
          <t>NORRTÄLJE</t>
        </is>
      </c>
      <c r="G1757" t="n">
        <v>1.3</v>
      </c>
      <c r="H1757" t="n">
        <v>0</v>
      </c>
      <c r="I1757" t="n">
        <v>0</v>
      </c>
      <c r="J1757" t="n">
        <v>0</v>
      </c>
      <c r="K1757" t="n">
        <v>0</v>
      </c>
      <c r="L1757" t="n">
        <v>0</v>
      </c>
      <c r="M1757" t="n">
        <v>0</v>
      </c>
      <c r="N1757" t="n">
        <v>0</v>
      </c>
      <c r="O1757" t="n">
        <v>0</v>
      </c>
      <c r="P1757" t="n">
        <v>0</v>
      </c>
      <c r="Q1757" t="n">
        <v>0</v>
      </c>
      <c r="R1757" s="2" t="inlineStr"/>
    </row>
    <row r="1758" ht="15" customHeight="1">
      <c r="A1758" t="inlineStr">
        <is>
          <t>A 72523-2021</t>
        </is>
      </c>
      <c r="B1758" s="1" t="n">
        <v>44546</v>
      </c>
      <c r="C1758" s="1" t="n">
        <v>45224</v>
      </c>
      <c r="D1758" t="inlineStr">
        <is>
          <t>STOCKHOLMS LÄN</t>
        </is>
      </c>
      <c r="E1758" t="inlineStr">
        <is>
          <t>UPPLANDS-BRO</t>
        </is>
      </c>
      <c r="G1758" t="n">
        <v>2</v>
      </c>
      <c r="H1758" t="n">
        <v>0</v>
      </c>
      <c r="I1758" t="n">
        <v>0</v>
      </c>
      <c r="J1758" t="n">
        <v>0</v>
      </c>
      <c r="K1758" t="n">
        <v>0</v>
      </c>
      <c r="L1758" t="n">
        <v>0</v>
      </c>
      <c r="M1758" t="n">
        <v>0</v>
      </c>
      <c r="N1758" t="n">
        <v>0</v>
      </c>
      <c r="O1758" t="n">
        <v>0</v>
      </c>
      <c r="P1758" t="n">
        <v>0</v>
      </c>
      <c r="Q1758" t="n">
        <v>0</v>
      </c>
      <c r="R1758" s="2" t="inlineStr"/>
    </row>
    <row r="1759" ht="15" customHeight="1">
      <c r="A1759" t="inlineStr">
        <is>
          <t>A 72530-2021</t>
        </is>
      </c>
      <c r="B1759" s="1" t="n">
        <v>44546</v>
      </c>
      <c r="C1759" s="1" t="n">
        <v>45224</v>
      </c>
      <c r="D1759" t="inlineStr">
        <is>
          <t>STOCKHOLMS LÄN</t>
        </is>
      </c>
      <c r="E1759" t="inlineStr">
        <is>
          <t>SIGTUNA</t>
        </is>
      </c>
      <c r="G1759" t="n">
        <v>2</v>
      </c>
      <c r="H1759" t="n">
        <v>0</v>
      </c>
      <c r="I1759" t="n">
        <v>0</v>
      </c>
      <c r="J1759" t="n">
        <v>0</v>
      </c>
      <c r="K1759" t="n">
        <v>0</v>
      </c>
      <c r="L1759" t="n">
        <v>0</v>
      </c>
      <c r="M1759" t="n">
        <v>0</v>
      </c>
      <c r="N1759" t="n">
        <v>0</v>
      </c>
      <c r="O1759" t="n">
        <v>0</v>
      </c>
      <c r="P1759" t="n">
        <v>0</v>
      </c>
      <c r="Q1759" t="n">
        <v>0</v>
      </c>
      <c r="R1759" s="2" t="inlineStr"/>
    </row>
    <row r="1760" ht="15" customHeight="1">
      <c r="A1760" t="inlineStr">
        <is>
          <t>A 72872-2021</t>
        </is>
      </c>
      <c r="B1760" s="1" t="n">
        <v>44547</v>
      </c>
      <c r="C1760" s="1" t="n">
        <v>45224</v>
      </c>
      <c r="D1760" t="inlineStr">
        <is>
          <t>STOCKHOLMS LÄN</t>
        </is>
      </c>
      <c r="E1760" t="inlineStr">
        <is>
          <t>NORRTÄLJE</t>
        </is>
      </c>
      <c r="G1760" t="n">
        <v>4.8</v>
      </c>
      <c r="H1760" t="n">
        <v>0</v>
      </c>
      <c r="I1760" t="n">
        <v>0</v>
      </c>
      <c r="J1760" t="n">
        <v>0</v>
      </c>
      <c r="K1760" t="n">
        <v>0</v>
      </c>
      <c r="L1760" t="n">
        <v>0</v>
      </c>
      <c r="M1760" t="n">
        <v>0</v>
      </c>
      <c r="N1760" t="n">
        <v>0</v>
      </c>
      <c r="O1760" t="n">
        <v>0</v>
      </c>
      <c r="P1760" t="n">
        <v>0</v>
      </c>
      <c r="Q1760" t="n">
        <v>0</v>
      </c>
      <c r="R1760" s="2" t="inlineStr"/>
    </row>
    <row r="1761" ht="15" customHeight="1">
      <c r="A1761" t="inlineStr">
        <is>
          <t>A 73300-2021</t>
        </is>
      </c>
      <c r="B1761" s="1" t="n">
        <v>44547</v>
      </c>
      <c r="C1761" s="1" t="n">
        <v>45224</v>
      </c>
      <c r="D1761" t="inlineStr">
        <is>
          <t>STOCKHOLMS LÄN</t>
        </is>
      </c>
      <c r="E1761" t="inlineStr">
        <is>
          <t>VAXHOLM</t>
        </is>
      </c>
      <c r="F1761" t="inlineStr">
        <is>
          <t>Övriga statliga verk och myndigheter</t>
        </is>
      </c>
      <c r="G1761" t="n">
        <v>2</v>
      </c>
      <c r="H1761" t="n">
        <v>0</v>
      </c>
      <c r="I1761" t="n">
        <v>0</v>
      </c>
      <c r="J1761" t="n">
        <v>0</v>
      </c>
      <c r="K1761" t="n">
        <v>0</v>
      </c>
      <c r="L1761" t="n">
        <v>0</v>
      </c>
      <c r="M1761" t="n">
        <v>0</v>
      </c>
      <c r="N1761" t="n">
        <v>0</v>
      </c>
      <c r="O1761" t="n">
        <v>0</v>
      </c>
      <c r="P1761" t="n">
        <v>0</v>
      </c>
      <c r="Q1761" t="n">
        <v>0</v>
      </c>
      <c r="R1761" s="2" t="inlineStr"/>
    </row>
    <row r="1762" ht="15" customHeight="1">
      <c r="A1762" t="inlineStr">
        <is>
          <t>A 73307-2021</t>
        </is>
      </c>
      <c r="B1762" s="1" t="n">
        <v>44549</v>
      </c>
      <c r="C1762" s="1" t="n">
        <v>45224</v>
      </c>
      <c r="D1762" t="inlineStr">
        <is>
          <t>STOCKHOLMS LÄN</t>
        </is>
      </c>
      <c r="E1762" t="inlineStr">
        <is>
          <t>NORRTÄLJE</t>
        </is>
      </c>
      <c r="G1762" t="n">
        <v>1.1</v>
      </c>
      <c r="H1762" t="n">
        <v>0</v>
      </c>
      <c r="I1762" t="n">
        <v>0</v>
      </c>
      <c r="J1762" t="n">
        <v>0</v>
      </c>
      <c r="K1762" t="n">
        <v>0</v>
      </c>
      <c r="L1762" t="n">
        <v>0</v>
      </c>
      <c r="M1762" t="n">
        <v>0</v>
      </c>
      <c r="N1762" t="n">
        <v>0</v>
      </c>
      <c r="O1762" t="n">
        <v>0</v>
      </c>
      <c r="P1762" t="n">
        <v>0</v>
      </c>
      <c r="Q1762" t="n">
        <v>0</v>
      </c>
      <c r="R1762" s="2" t="inlineStr"/>
    </row>
    <row r="1763" ht="15" customHeight="1">
      <c r="A1763" t="inlineStr">
        <is>
          <t>A 73311-2021</t>
        </is>
      </c>
      <c r="B1763" s="1" t="n">
        <v>44549</v>
      </c>
      <c r="C1763" s="1" t="n">
        <v>45224</v>
      </c>
      <c r="D1763" t="inlineStr">
        <is>
          <t>STOCKHOLMS LÄN</t>
        </is>
      </c>
      <c r="E1763" t="inlineStr">
        <is>
          <t>NORRTÄLJE</t>
        </is>
      </c>
      <c r="G1763" t="n">
        <v>5.2</v>
      </c>
      <c r="H1763" t="n">
        <v>0</v>
      </c>
      <c r="I1763" t="n">
        <v>0</v>
      </c>
      <c r="J1763" t="n">
        <v>0</v>
      </c>
      <c r="K1763" t="n">
        <v>0</v>
      </c>
      <c r="L1763" t="n">
        <v>0</v>
      </c>
      <c r="M1763" t="n">
        <v>0</v>
      </c>
      <c r="N1763" t="n">
        <v>0</v>
      </c>
      <c r="O1763" t="n">
        <v>0</v>
      </c>
      <c r="P1763" t="n">
        <v>0</v>
      </c>
      <c r="Q1763" t="n">
        <v>0</v>
      </c>
      <c r="R1763" s="2" t="inlineStr"/>
    </row>
    <row r="1764" ht="15" customHeight="1">
      <c r="A1764" t="inlineStr">
        <is>
          <t>A 73155-2021</t>
        </is>
      </c>
      <c r="B1764" s="1" t="n">
        <v>44550</v>
      </c>
      <c r="C1764" s="1" t="n">
        <v>45224</v>
      </c>
      <c r="D1764" t="inlineStr">
        <is>
          <t>STOCKHOLMS LÄN</t>
        </is>
      </c>
      <c r="E1764" t="inlineStr">
        <is>
          <t>BOTKYRKA</t>
        </is>
      </c>
      <c r="G1764" t="n">
        <v>0.8</v>
      </c>
      <c r="H1764" t="n">
        <v>0</v>
      </c>
      <c r="I1764" t="n">
        <v>0</v>
      </c>
      <c r="J1764" t="n">
        <v>0</v>
      </c>
      <c r="K1764" t="n">
        <v>0</v>
      </c>
      <c r="L1764" t="n">
        <v>0</v>
      </c>
      <c r="M1764" t="n">
        <v>0</v>
      </c>
      <c r="N1764" t="n">
        <v>0</v>
      </c>
      <c r="O1764" t="n">
        <v>0</v>
      </c>
      <c r="P1764" t="n">
        <v>0</v>
      </c>
      <c r="Q1764" t="n">
        <v>0</v>
      </c>
      <c r="R1764" s="2" t="inlineStr"/>
    </row>
    <row r="1765" ht="15" customHeight="1">
      <c r="A1765" t="inlineStr">
        <is>
          <t>A 73212-2021</t>
        </is>
      </c>
      <c r="B1765" s="1" t="n">
        <v>44550</v>
      </c>
      <c r="C1765" s="1" t="n">
        <v>45224</v>
      </c>
      <c r="D1765" t="inlineStr">
        <is>
          <t>STOCKHOLMS LÄN</t>
        </is>
      </c>
      <c r="E1765" t="inlineStr">
        <is>
          <t>NYKVARN</t>
        </is>
      </c>
      <c r="F1765" t="inlineStr">
        <is>
          <t>Allmännings- och besparingsskogar</t>
        </is>
      </c>
      <c r="G1765" t="n">
        <v>2.4</v>
      </c>
      <c r="H1765" t="n">
        <v>0</v>
      </c>
      <c r="I1765" t="n">
        <v>0</v>
      </c>
      <c r="J1765" t="n">
        <v>0</v>
      </c>
      <c r="K1765" t="n">
        <v>0</v>
      </c>
      <c r="L1765" t="n">
        <v>0</v>
      </c>
      <c r="M1765" t="n">
        <v>0</v>
      </c>
      <c r="N1765" t="n">
        <v>0</v>
      </c>
      <c r="O1765" t="n">
        <v>0</v>
      </c>
      <c r="P1765" t="n">
        <v>0</v>
      </c>
      <c r="Q1765" t="n">
        <v>0</v>
      </c>
      <c r="R1765" s="2" t="inlineStr"/>
    </row>
    <row r="1766" ht="15" customHeight="1">
      <c r="A1766" t="inlineStr">
        <is>
          <t>A 73504-2021</t>
        </is>
      </c>
      <c r="B1766" s="1" t="n">
        <v>44551</v>
      </c>
      <c r="C1766" s="1" t="n">
        <v>45224</v>
      </c>
      <c r="D1766" t="inlineStr">
        <is>
          <t>STOCKHOLMS LÄN</t>
        </is>
      </c>
      <c r="E1766" t="inlineStr">
        <is>
          <t>NORRTÄLJE</t>
        </is>
      </c>
      <c r="G1766" t="n">
        <v>4.7</v>
      </c>
      <c r="H1766" t="n">
        <v>0</v>
      </c>
      <c r="I1766" t="n">
        <v>0</v>
      </c>
      <c r="J1766" t="n">
        <v>0</v>
      </c>
      <c r="K1766" t="n">
        <v>0</v>
      </c>
      <c r="L1766" t="n">
        <v>0</v>
      </c>
      <c r="M1766" t="n">
        <v>0</v>
      </c>
      <c r="N1766" t="n">
        <v>0</v>
      </c>
      <c r="O1766" t="n">
        <v>0</v>
      </c>
      <c r="P1766" t="n">
        <v>0</v>
      </c>
      <c r="Q1766" t="n">
        <v>0</v>
      </c>
      <c r="R1766" s="2" t="inlineStr"/>
    </row>
    <row r="1767" ht="15" customHeight="1">
      <c r="A1767" t="inlineStr">
        <is>
          <t>A 73772-2021</t>
        </is>
      </c>
      <c r="B1767" s="1" t="n">
        <v>44552</v>
      </c>
      <c r="C1767" s="1" t="n">
        <v>45224</v>
      </c>
      <c r="D1767" t="inlineStr">
        <is>
          <t>STOCKHOLMS LÄN</t>
        </is>
      </c>
      <c r="E1767" t="inlineStr">
        <is>
          <t>BOTKYRKA</t>
        </is>
      </c>
      <c r="G1767" t="n">
        <v>0.8</v>
      </c>
      <c r="H1767" t="n">
        <v>0</v>
      </c>
      <c r="I1767" t="n">
        <v>0</v>
      </c>
      <c r="J1767" t="n">
        <v>0</v>
      </c>
      <c r="K1767" t="n">
        <v>0</v>
      </c>
      <c r="L1767" t="n">
        <v>0</v>
      </c>
      <c r="M1767" t="n">
        <v>0</v>
      </c>
      <c r="N1767" t="n">
        <v>0</v>
      </c>
      <c r="O1767" t="n">
        <v>0</v>
      </c>
      <c r="P1767" t="n">
        <v>0</v>
      </c>
      <c r="Q1767" t="n">
        <v>0</v>
      </c>
      <c r="R1767" s="2" t="inlineStr"/>
    </row>
    <row r="1768" ht="15" customHeight="1">
      <c r="A1768" t="inlineStr">
        <is>
          <t>A 73855-2021</t>
        </is>
      </c>
      <c r="B1768" s="1" t="n">
        <v>44552</v>
      </c>
      <c r="C1768" s="1" t="n">
        <v>45224</v>
      </c>
      <c r="D1768" t="inlineStr">
        <is>
          <t>STOCKHOLMS LÄN</t>
        </is>
      </c>
      <c r="E1768" t="inlineStr">
        <is>
          <t>NORRTÄLJE</t>
        </is>
      </c>
      <c r="F1768" t="inlineStr">
        <is>
          <t>Övriga Aktiebolag</t>
        </is>
      </c>
      <c r="G1768" t="n">
        <v>4</v>
      </c>
      <c r="H1768" t="n">
        <v>0</v>
      </c>
      <c r="I1768" t="n">
        <v>0</v>
      </c>
      <c r="J1768" t="n">
        <v>0</v>
      </c>
      <c r="K1768" t="n">
        <v>0</v>
      </c>
      <c r="L1768" t="n">
        <v>0</v>
      </c>
      <c r="M1768" t="n">
        <v>0</v>
      </c>
      <c r="N1768" t="n">
        <v>0</v>
      </c>
      <c r="O1768" t="n">
        <v>0</v>
      </c>
      <c r="P1768" t="n">
        <v>0</v>
      </c>
      <c r="Q1768" t="n">
        <v>0</v>
      </c>
      <c r="R1768" s="2" t="inlineStr"/>
    </row>
    <row r="1769" ht="15" customHeight="1">
      <c r="A1769" t="inlineStr">
        <is>
          <t>A 73993-2021</t>
        </is>
      </c>
      <c r="B1769" s="1" t="n">
        <v>44556</v>
      </c>
      <c r="C1769" s="1" t="n">
        <v>45224</v>
      </c>
      <c r="D1769" t="inlineStr">
        <is>
          <t>STOCKHOLMS LÄN</t>
        </is>
      </c>
      <c r="E1769" t="inlineStr">
        <is>
          <t>NORRTÄLJE</t>
        </is>
      </c>
      <c r="G1769" t="n">
        <v>5</v>
      </c>
      <c r="H1769" t="n">
        <v>0</v>
      </c>
      <c r="I1769" t="n">
        <v>0</v>
      </c>
      <c r="J1769" t="n">
        <v>0</v>
      </c>
      <c r="K1769" t="n">
        <v>0</v>
      </c>
      <c r="L1769" t="n">
        <v>0</v>
      </c>
      <c r="M1769" t="n">
        <v>0</v>
      </c>
      <c r="N1769" t="n">
        <v>0</v>
      </c>
      <c r="O1769" t="n">
        <v>0</v>
      </c>
      <c r="P1769" t="n">
        <v>0</v>
      </c>
      <c r="Q1769" t="n">
        <v>0</v>
      </c>
      <c r="R1769" s="2" t="inlineStr"/>
    </row>
    <row r="1770" ht="15" customHeight="1">
      <c r="A1770" t="inlineStr">
        <is>
          <t>A 73992-2021</t>
        </is>
      </c>
      <c r="B1770" s="1" t="n">
        <v>44556</v>
      </c>
      <c r="C1770" s="1" t="n">
        <v>45224</v>
      </c>
      <c r="D1770" t="inlineStr">
        <is>
          <t>STOCKHOLMS LÄN</t>
        </is>
      </c>
      <c r="E1770" t="inlineStr">
        <is>
          <t>NORRTÄLJE</t>
        </is>
      </c>
      <c r="G1770" t="n">
        <v>12.5</v>
      </c>
      <c r="H1770" t="n">
        <v>0</v>
      </c>
      <c r="I1770" t="n">
        <v>0</v>
      </c>
      <c r="J1770" t="n">
        <v>0</v>
      </c>
      <c r="K1770" t="n">
        <v>0</v>
      </c>
      <c r="L1770" t="n">
        <v>0</v>
      </c>
      <c r="M1770" t="n">
        <v>0</v>
      </c>
      <c r="N1770" t="n">
        <v>0</v>
      </c>
      <c r="O1770" t="n">
        <v>0</v>
      </c>
      <c r="P1770" t="n">
        <v>0</v>
      </c>
      <c r="Q1770" t="n">
        <v>0</v>
      </c>
      <c r="R1770" s="2" t="inlineStr"/>
    </row>
    <row r="1771" ht="15" customHeight="1">
      <c r="A1771" t="inlineStr">
        <is>
          <t>A 74167-2021</t>
        </is>
      </c>
      <c r="B1771" s="1" t="n">
        <v>44557</v>
      </c>
      <c r="C1771" s="1" t="n">
        <v>45224</v>
      </c>
      <c r="D1771" t="inlineStr">
        <is>
          <t>STOCKHOLMS LÄN</t>
        </is>
      </c>
      <c r="E1771" t="inlineStr">
        <is>
          <t>SIGTUNA</t>
        </is>
      </c>
      <c r="G1771" t="n">
        <v>5.4</v>
      </c>
      <c r="H1771" t="n">
        <v>0</v>
      </c>
      <c r="I1771" t="n">
        <v>0</v>
      </c>
      <c r="J1771" t="n">
        <v>0</v>
      </c>
      <c r="K1771" t="n">
        <v>0</v>
      </c>
      <c r="L1771" t="n">
        <v>0</v>
      </c>
      <c r="M1771" t="n">
        <v>0</v>
      </c>
      <c r="N1771" t="n">
        <v>0</v>
      </c>
      <c r="O1771" t="n">
        <v>0</v>
      </c>
      <c r="P1771" t="n">
        <v>0</v>
      </c>
      <c r="Q1771" t="n">
        <v>0</v>
      </c>
      <c r="R1771" s="2" t="inlineStr"/>
    </row>
    <row r="1772" ht="15" customHeight="1">
      <c r="A1772" t="inlineStr">
        <is>
          <t>A 74170-2021</t>
        </is>
      </c>
      <c r="B1772" s="1" t="n">
        <v>44557</v>
      </c>
      <c r="C1772" s="1" t="n">
        <v>45224</v>
      </c>
      <c r="D1772" t="inlineStr">
        <is>
          <t>STOCKHOLMS LÄN</t>
        </is>
      </c>
      <c r="E1772" t="inlineStr">
        <is>
          <t>SIGTUNA</t>
        </is>
      </c>
      <c r="G1772" t="n">
        <v>1.1</v>
      </c>
      <c r="H1772" t="n">
        <v>0</v>
      </c>
      <c r="I1772" t="n">
        <v>0</v>
      </c>
      <c r="J1772" t="n">
        <v>0</v>
      </c>
      <c r="K1772" t="n">
        <v>0</v>
      </c>
      <c r="L1772" t="n">
        <v>0</v>
      </c>
      <c r="M1772" t="n">
        <v>0</v>
      </c>
      <c r="N1772" t="n">
        <v>0</v>
      </c>
      <c r="O1772" t="n">
        <v>0</v>
      </c>
      <c r="P1772" t="n">
        <v>0</v>
      </c>
      <c r="Q1772" t="n">
        <v>0</v>
      </c>
      <c r="R1772" s="2" t="inlineStr"/>
    </row>
    <row r="1773" ht="15" customHeight="1">
      <c r="A1773" t="inlineStr">
        <is>
          <t>A 74173-2021</t>
        </is>
      </c>
      <c r="B1773" s="1" t="n">
        <v>44558</v>
      </c>
      <c r="C1773" s="1" t="n">
        <v>45224</v>
      </c>
      <c r="D1773" t="inlineStr">
        <is>
          <t>STOCKHOLMS LÄN</t>
        </is>
      </c>
      <c r="E1773" t="inlineStr">
        <is>
          <t>NYKVARN</t>
        </is>
      </c>
      <c r="F1773" t="inlineStr">
        <is>
          <t>Allmännings- och besparingsskogar</t>
        </is>
      </c>
      <c r="G1773" t="n">
        <v>5.5</v>
      </c>
      <c r="H1773" t="n">
        <v>0</v>
      </c>
      <c r="I1773" t="n">
        <v>0</v>
      </c>
      <c r="J1773" t="n">
        <v>0</v>
      </c>
      <c r="K1773" t="n">
        <v>0</v>
      </c>
      <c r="L1773" t="n">
        <v>0</v>
      </c>
      <c r="M1773" t="n">
        <v>0</v>
      </c>
      <c r="N1773" t="n">
        <v>0</v>
      </c>
      <c r="O1773" t="n">
        <v>0</v>
      </c>
      <c r="P1773" t="n">
        <v>0</v>
      </c>
      <c r="Q1773" t="n">
        <v>0</v>
      </c>
      <c r="R1773" s="2" t="inlineStr"/>
    </row>
    <row r="1774" ht="15" customHeight="1">
      <c r="A1774" t="inlineStr">
        <is>
          <t>A 236-2022</t>
        </is>
      </c>
      <c r="B1774" s="1" t="n">
        <v>44560</v>
      </c>
      <c r="C1774" s="1" t="n">
        <v>45224</v>
      </c>
      <c r="D1774" t="inlineStr">
        <is>
          <t>STOCKHOLMS LÄN</t>
        </is>
      </c>
      <c r="E1774" t="inlineStr">
        <is>
          <t>VALLENTUNA</t>
        </is>
      </c>
      <c r="F1774" t="inlineStr">
        <is>
          <t>Övriga Aktiebolag</t>
        </is>
      </c>
      <c r="G1774" t="n">
        <v>2.3</v>
      </c>
      <c r="H1774" t="n">
        <v>0</v>
      </c>
      <c r="I1774" t="n">
        <v>0</v>
      </c>
      <c r="J1774" t="n">
        <v>0</v>
      </c>
      <c r="K1774" t="n">
        <v>0</v>
      </c>
      <c r="L1774" t="n">
        <v>0</v>
      </c>
      <c r="M1774" t="n">
        <v>0</v>
      </c>
      <c r="N1774" t="n">
        <v>0</v>
      </c>
      <c r="O1774" t="n">
        <v>0</v>
      </c>
      <c r="P1774" t="n">
        <v>0</v>
      </c>
      <c r="Q1774" t="n">
        <v>0</v>
      </c>
      <c r="R1774" s="2" t="inlineStr"/>
    </row>
    <row r="1775" ht="15" customHeight="1">
      <c r="A1775" t="inlineStr">
        <is>
          <t>A 74468-2021</t>
        </is>
      </c>
      <c r="B1775" s="1" t="n">
        <v>44560</v>
      </c>
      <c r="C1775" s="1" t="n">
        <v>45224</v>
      </c>
      <c r="D1775" t="inlineStr">
        <is>
          <t>STOCKHOLMS LÄN</t>
        </is>
      </c>
      <c r="E1775" t="inlineStr">
        <is>
          <t>NORRTÄLJE</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178-2022</t>
        </is>
      </c>
      <c r="B1776" s="1" t="n">
        <v>44560</v>
      </c>
      <c r="C1776" s="1" t="n">
        <v>45224</v>
      </c>
      <c r="D1776" t="inlineStr">
        <is>
          <t>STOCKHOLMS LÄN</t>
        </is>
      </c>
      <c r="E1776" t="inlineStr">
        <is>
          <t>VALLENTUNA</t>
        </is>
      </c>
      <c r="F1776" t="inlineStr">
        <is>
          <t>Övriga Aktiebolag</t>
        </is>
      </c>
      <c r="G1776" t="n">
        <v>1.5</v>
      </c>
      <c r="H1776" t="n">
        <v>0</v>
      </c>
      <c r="I1776" t="n">
        <v>0</v>
      </c>
      <c r="J1776" t="n">
        <v>0</v>
      </c>
      <c r="K1776" t="n">
        <v>0</v>
      </c>
      <c r="L1776" t="n">
        <v>0</v>
      </c>
      <c r="M1776" t="n">
        <v>0</v>
      </c>
      <c r="N1776" t="n">
        <v>0</v>
      </c>
      <c r="O1776" t="n">
        <v>0</v>
      </c>
      <c r="P1776" t="n">
        <v>0</v>
      </c>
      <c r="Q1776" t="n">
        <v>0</v>
      </c>
      <c r="R1776" s="2" t="inlineStr"/>
    </row>
    <row r="1777" ht="15" customHeight="1">
      <c r="A1777" t="inlineStr">
        <is>
          <t>A 242-2022</t>
        </is>
      </c>
      <c r="B1777" s="1" t="n">
        <v>44560</v>
      </c>
      <c r="C1777" s="1" t="n">
        <v>45224</v>
      </c>
      <c r="D1777" t="inlineStr">
        <is>
          <t>STOCKHOLMS LÄN</t>
        </is>
      </c>
      <c r="E1777" t="inlineStr">
        <is>
          <t>VALLENTUNA</t>
        </is>
      </c>
      <c r="F1777" t="inlineStr">
        <is>
          <t>Övriga Aktiebolag</t>
        </is>
      </c>
      <c r="G1777" t="n">
        <v>1</v>
      </c>
      <c r="H1777" t="n">
        <v>0</v>
      </c>
      <c r="I1777" t="n">
        <v>0</v>
      </c>
      <c r="J1777" t="n">
        <v>0</v>
      </c>
      <c r="K1777" t="n">
        <v>0</v>
      </c>
      <c r="L1777" t="n">
        <v>0</v>
      </c>
      <c r="M1777" t="n">
        <v>0</v>
      </c>
      <c r="N1777" t="n">
        <v>0</v>
      </c>
      <c r="O1777" t="n">
        <v>0</v>
      </c>
      <c r="P1777" t="n">
        <v>0</v>
      </c>
      <c r="Q1777" t="n">
        <v>0</v>
      </c>
      <c r="R1777" s="2" t="inlineStr"/>
    </row>
    <row r="1778" ht="15" customHeight="1">
      <c r="A1778" t="inlineStr">
        <is>
          <t>A 314-2022</t>
        </is>
      </c>
      <c r="B1778" s="1" t="n">
        <v>44564</v>
      </c>
      <c r="C1778" s="1" t="n">
        <v>45224</v>
      </c>
      <c r="D1778" t="inlineStr">
        <is>
          <t>STOCKHOLMS LÄN</t>
        </is>
      </c>
      <c r="E1778" t="inlineStr">
        <is>
          <t>SÖDERTÄLJE</t>
        </is>
      </c>
      <c r="G1778" t="n">
        <v>3.4</v>
      </c>
      <c r="H1778" t="n">
        <v>0</v>
      </c>
      <c r="I1778" t="n">
        <v>0</v>
      </c>
      <c r="J1778" t="n">
        <v>0</v>
      </c>
      <c r="K1778" t="n">
        <v>0</v>
      </c>
      <c r="L1778" t="n">
        <v>0</v>
      </c>
      <c r="M1778" t="n">
        <v>0</v>
      </c>
      <c r="N1778" t="n">
        <v>0</v>
      </c>
      <c r="O1778" t="n">
        <v>0</v>
      </c>
      <c r="P1778" t="n">
        <v>0</v>
      </c>
      <c r="Q1778" t="n">
        <v>0</v>
      </c>
      <c r="R1778" s="2" t="inlineStr"/>
    </row>
    <row r="1779" ht="15" customHeight="1">
      <c r="A1779" t="inlineStr">
        <is>
          <t>A 187-2022</t>
        </is>
      </c>
      <c r="B1779" s="1" t="n">
        <v>44564</v>
      </c>
      <c r="C1779" s="1" t="n">
        <v>45224</v>
      </c>
      <c r="D1779" t="inlineStr">
        <is>
          <t>STOCKHOLMS LÄN</t>
        </is>
      </c>
      <c r="E1779" t="inlineStr">
        <is>
          <t>NORRTÄLJE</t>
        </is>
      </c>
      <c r="G1779" t="n">
        <v>2.6</v>
      </c>
      <c r="H1779" t="n">
        <v>0</v>
      </c>
      <c r="I1779" t="n">
        <v>0</v>
      </c>
      <c r="J1779" t="n">
        <v>0</v>
      </c>
      <c r="K1779" t="n">
        <v>0</v>
      </c>
      <c r="L1779" t="n">
        <v>0</v>
      </c>
      <c r="M1779" t="n">
        <v>0</v>
      </c>
      <c r="N1779" t="n">
        <v>0</v>
      </c>
      <c r="O1779" t="n">
        <v>0</v>
      </c>
      <c r="P1779" t="n">
        <v>0</v>
      </c>
      <c r="Q1779" t="n">
        <v>0</v>
      </c>
      <c r="R1779" s="2" t="inlineStr"/>
    </row>
    <row r="1780" ht="15" customHeight="1">
      <c r="A1780" t="inlineStr">
        <is>
          <t>A 459-2022</t>
        </is>
      </c>
      <c r="B1780" s="1" t="n">
        <v>44565</v>
      </c>
      <c r="C1780" s="1" t="n">
        <v>45224</v>
      </c>
      <c r="D1780" t="inlineStr">
        <is>
          <t>STOCKHOLMS LÄN</t>
        </is>
      </c>
      <c r="E1780" t="inlineStr">
        <is>
          <t>NORRTÄLJE</t>
        </is>
      </c>
      <c r="F1780" t="inlineStr">
        <is>
          <t>Övriga Aktiebolag</t>
        </is>
      </c>
      <c r="G1780" t="n">
        <v>17.3</v>
      </c>
      <c r="H1780" t="n">
        <v>0</v>
      </c>
      <c r="I1780" t="n">
        <v>0</v>
      </c>
      <c r="J1780" t="n">
        <v>0</v>
      </c>
      <c r="K1780" t="n">
        <v>0</v>
      </c>
      <c r="L1780" t="n">
        <v>0</v>
      </c>
      <c r="M1780" t="n">
        <v>0</v>
      </c>
      <c r="N1780" t="n">
        <v>0</v>
      </c>
      <c r="O1780" t="n">
        <v>0</v>
      </c>
      <c r="P1780" t="n">
        <v>0</v>
      </c>
      <c r="Q1780" t="n">
        <v>0</v>
      </c>
      <c r="R1780" s="2" t="inlineStr"/>
    </row>
    <row r="1781" ht="15" customHeight="1">
      <c r="A1781" t="inlineStr">
        <is>
          <t>A 386-2022</t>
        </is>
      </c>
      <c r="B1781" s="1" t="n">
        <v>44565</v>
      </c>
      <c r="C1781" s="1" t="n">
        <v>45224</v>
      </c>
      <c r="D1781" t="inlineStr">
        <is>
          <t>STOCKHOLMS LÄN</t>
        </is>
      </c>
      <c r="E1781" t="inlineStr">
        <is>
          <t>SÖDERTÄLJE</t>
        </is>
      </c>
      <c r="G1781" t="n">
        <v>6.1</v>
      </c>
      <c r="H1781" t="n">
        <v>0</v>
      </c>
      <c r="I1781" t="n">
        <v>0</v>
      </c>
      <c r="J1781" t="n">
        <v>0</v>
      </c>
      <c r="K1781" t="n">
        <v>0</v>
      </c>
      <c r="L1781" t="n">
        <v>0</v>
      </c>
      <c r="M1781" t="n">
        <v>0</v>
      </c>
      <c r="N1781" t="n">
        <v>0</v>
      </c>
      <c r="O1781" t="n">
        <v>0</v>
      </c>
      <c r="P1781" t="n">
        <v>0</v>
      </c>
      <c r="Q1781" t="n">
        <v>0</v>
      </c>
      <c r="R1781" s="2" t="inlineStr"/>
    </row>
    <row r="1782" ht="15" customHeight="1">
      <c r="A1782" t="inlineStr">
        <is>
          <t>A 456-2022</t>
        </is>
      </c>
      <c r="B1782" s="1" t="n">
        <v>44565</v>
      </c>
      <c r="C1782" s="1" t="n">
        <v>45224</v>
      </c>
      <c r="D1782" t="inlineStr">
        <is>
          <t>STOCKHOLMS LÄN</t>
        </is>
      </c>
      <c r="E1782" t="inlineStr">
        <is>
          <t>ÖSTERÅKER</t>
        </is>
      </c>
      <c r="F1782" t="inlineStr">
        <is>
          <t>Övriga Aktiebolag</t>
        </is>
      </c>
      <c r="G1782" t="n">
        <v>2.2</v>
      </c>
      <c r="H1782" t="n">
        <v>0</v>
      </c>
      <c r="I1782" t="n">
        <v>0</v>
      </c>
      <c r="J1782" t="n">
        <v>0</v>
      </c>
      <c r="K1782" t="n">
        <v>0</v>
      </c>
      <c r="L1782" t="n">
        <v>0</v>
      </c>
      <c r="M1782" t="n">
        <v>0</v>
      </c>
      <c r="N1782" t="n">
        <v>0</v>
      </c>
      <c r="O1782" t="n">
        <v>0</v>
      </c>
      <c r="P1782" t="n">
        <v>0</v>
      </c>
      <c r="Q1782" t="n">
        <v>0</v>
      </c>
      <c r="R1782" s="2" t="inlineStr"/>
    </row>
    <row r="1783" ht="15" customHeight="1">
      <c r="A1783" t="inlineStr">
        <is>
          <t>A 470-2022</t>
        </is>
      </c>
      <c r="B1783" s="1" t="n">
        <v>44565</v>
      </c>
      <c r="C1783" s="1" t="n">
        <v>45224</v>
      </c>
      <c r="D1783" t="inlineStr">
        <is>
          <t>STOCKHOLMS LÄN</t>
        </is>
      </c>
      <c r="E1783" t="inlineStr">
        <is>
          <t>ÖSTERÅKER</t>
        </is>
      </c>
      <c r="F1783" t="inlineStr">
        <is>
          <t>Övriga Aktiebolag</t>
        </is>
      </c>
      <c r="G1783" t="n">
        <v>4.6</v>
      </c>
      <c r="H1783" t="n">
        <v>0</v>
      </c>
      <c r="I1783" t="n">
        <v>0</v>
      </c>
      <c r="J1783" t="n">
        <v>0</v>
      </c>
      <c r="K1783" t="n">
        <v>0</v>
      </c>
      <c r="L1783" t="n">
        <v>0</v>
      </c>
      <c r="M1783" t="n">
        <v>0</v>
      </c>
      <c r="N1783" t="n">
        <v>0</v>
      </c>
      <c r="O1783" t="n">
        <v>0</v>
      </c>
      <c r="P1783" t="n">
        <v>0</v>
      </c>
      <c r="Q1783" t="n">
        <v>0</v>
      </c>
      <c r="R1783" s="2" t="inlineStr"/>
    </row>
    <row r="1784" ht="15" customHeight="1">
      <c r="A1784" t="inlineStr">
        <is>
          <t>A 464-2022</t>
        </is>
      </c>
      <c r="B1784" s="1" t="n">
        <v>44565</v>
      </c>
      <c r="C1784" s="1" t="n">
        <v>45224</v>
      </c>
      <c r="D1784" t="inlineStr">
        <is>
          <t>STOCKHOLMS LÄN</t>
        </is>
      </c>
      <c r="E1784" t="inlineStr">
        <is>
          <t>ÖSTERÅKER</t>
        </is>
      </c>
      <c r="F1784" t="inlineStr">
        <is>
          <t>Övriga Aktiebolag</t>
        </is>
      </c>
      <c r="G1784" t="n">
        <v>7.6</v>
      </c>
      <c r="H1784" t="n">
        <v>0</v>
      </c>
      <c r="I1784" t="n">
        <v>0</v>
      </c>
      <c r="J1784" t="n">
        <v>0</v>
      </c>
      <c r="K1784" t="n">
        <v>0</v>
      </c>
      <c r="L1784" t="n">
        <v>0</v>
      </c>
      <c r="M1784" t="n">
        <v>0</v>
      </c>
      <c r="N1784" t="n">
        <v>0</v>
      </c>
      <c r="O1784" t="n">
        <v>0</v>
      </c>
      <c r="P1784" t="n">
        <v>0</v>
      </c>
      <c r="Q1784" t="n">
        <v>0</v>
      </c>
      <c r="R1784" s="2" t="inlineStr"/>
    </row>
    <row r="1785" ht="15" customHeight="1">
      <c r="A1785" t="inlineStr">
        <is>
          <t>A 838-2022</t>
        </is>
      </c>
      <c r="B1785" s="1" t="n">
        <v>44569</v>
      </c>
      <c r="C1785" s="1" t="n">
        <v>45224</v>
      </c>
      <c r="D1785" t="inlineStr">
        <is>
          <t>STOCKHOLMS LÄN</t>
        </is>
      </c>
      <c r="E1785" t="inlineStr">
        <is>
          <t>ÖSTERÅKER</t>
        </is>
      </c>
      <c r="F1785" t="inlineStr">
        <is>
          <t>Övriga Aktiebolag</t>
        </is>
      </c>
      <c r="G1785" t="n">
        <v>4.9</v>
      </c>
      <c r="H1785" t="n">
        <v>0</v>
      </c>
      <c r="I1785" t="n">
        <v>0</v>
      </c>
      <c r="J1785" t="n">
        <v>0</v>
      </c>
      <c r="K1785" t="n">
        <v>0</v>
      </c>
      <c r="L1785" t="n">
        <v>0</v>
      </c>
      <c r="M1785" t="n">
        <v>0</v>
      </c>
      <c r="N1785" t="n">
        <v>0</v>
      </c>
      <c r="O1785" t="n">
        <v>0</v>
      </c>
      <c r="P1785" t="n">
        <v>0</v>
      </c>
      <c r="Q1785" t="n">
        <v>0</v>
      </c>
      <c r="R1785" s="2" t="inlineStr"/>
    </row>
    <row r="1786" ht="15" customHeight="1">
      <c r="A1786" t="inlineStr">
        <is>
          <t>A 848-2022</t>
        </is>
      </c>
      <c r="B1786" s="1" t="n">
        <v>44569</v>
      </c>
      <c r="C1786" s="1" t="n">
        <v>45224</v>
      </c>
      <c r="D1786" t="inlineStr">
        <is>
          <t>STOCKHOLMS LÄN</t>
        </is>
      </c>
      <c r="E1786" t="inlineStr">
        <is>
          <t>ÖSTERÅKER</t>
        </is>
      </c>
      <c r="F1786" t="inlineStr">
        <is>
          <t>Övriga Aktiebolag</t>
        </is>
      </c>
      <c r="G1786" t="n">
        <v>5</v>
      </c>
      <c r="H1786" t="n">
        <v>0</v>
      </c>
      <c r="I1786" t="n">
        <v>0</v>
      </c>
      <c r="J1786" t="n">
        <v>0</v>
      </c>
      <c r="K1786" t="n">
        <v>0</v>
      </c>
      <c r="L1786" t="n">
        <v>0</v>
      </c>
      <c r="M1786" t="n">
        <v>0</v>
      </c>
      <c r="N1786" t="n">
        <v>0</v>
      </c>
      <c r="O1786" t="n">
        <v>0</v>
      </c>
      <c r="P1786" t="n">
        <v>0</v>
      </c>
      <c r="Q1786" t="n">
        <v>0</v>
      </c>
      <c r="R1786" s="2" t="inlineStr"/>
    </row>
    <row r="1787" ht="15" customHeight="1">
      <c r="A1787" t="inlineStr">
        <is>
          <t>A 844-2022</t>
        </is>
      </c>
      <c r="B1787" s="1" t="n">
        <v>44569</v>
      </c>
      <c r="C1787" s="1" t="n">
        <v>45224</v>
      </c>
      <c r="D1787" t="inlineStr">
        <is>
          <t>STOCKHOLMS LÄN</t>
        </is>
      </c>
      <c r="E1787" t="inlineStr">
        <is>
          <t>ÖSTERÅKER</t>
        </is>
      </c>
      <c r="F1787" t="inlineStr">
        <is>
          <t>Övriga Aktiebolag</t>
        </is>
      </c>
      <c r="G1787" t="n">
        <v>2.3</v>
      </c>
      <c r="H1787" t="n">
        <v>0</v>
      </c>
      <c r="I1787" t="n">
        <v>0</v>
      </c>
      <c r="J1787" t="n">
        <v>0</v>
      </c>
      <c r="K1787" t="n">
        <v>0</v>
      </c>
      <c r="L1787" t="n">
        <v>0</v>
      </c>
      <c r="M1787" t="n">
        <v>0</v>
      </c>
      <c r="N1787" t="n">
        <v>0</v>
      </c>
      <c r="O1787" t="n">
        <v>0</v>
      </c>
      <c r="P1787" t="n">
        <v>0</v>
      </c>
      <c r="Q1787" t="n">
        <v>0</v>
      </c>
      <c r="R1787" s="2" t="inlineStr"/>
    </row>
    <row r="1788" ht="15" customHeight="1">
      <c r="A1788" t="inlineStr">
        <is>
          <t>A 865-2022</t>
        </is>
      </c>
      <c r="B1788" s="1" t="n">
        <v>44569</v>
      </c>
      <c r="C1788" s="1" t="n">
        <v>45224</v>
      </c>
      <c r="D1788" t="inlineStr">
        <is>
          <t>STOCKHOLMS LÄN</t>
        </is>
      </c>
      <c r="E1788" t="inlineStr">
        <is>
          <t>ÖSTERÅKER</t>
        </is>
      </c>
      <c r="F1788" t="inlineStr">
        <is>
          <t>Övriga Aktiebolag</t>
        </is>
      </c>
      <c r="G1788" t="n">
        <v>2.4</v>
      </c>
      <c r="H1788" t="n">
        <v>0</v>
      </c>
      <c r="I1788" t="n">
        <v>0</v>
      </c>
      <c r="J1788" t="n">
        <v>0</v>
      </c>
      <c r="K1788" t="n">
        <v>0</v>
      </c>
      <c r="L1788" t="n">
        <v>0</v>
      </c>
      <c r="M1788" t="n">
        <v>0</v>
      </c>
      <c r="N1788" t="n">
        <v>0</v>
      </c>
      <c r="O1788" t="n">
        <v>0</v>
      </c>
      <c r="P1788" t="n">
        <v>0</v>
      </c>
      <c r="Q1788" t="n">
        <v>0</v>
      </c>
      <c r="R1788" s="2" t="inlineStr"/>
    </row>
    <row r="1789" ht="15" customHeight="1">
      <c r="A1789" t="inlineStr">
        <is>
          <t>A 1016-2022</t>
        </is>
      </c>
      <c r="B1789" s="1" t="n">
        <v>44571</v>
      </c>
      <c r="C1789" s="1" t="n">
        <v>45224</v>
      </c>
      <c r="D1789" t="inlineStr">
        <is>
          <t>STOCKHOLMS LÄN</t>
        </is>
      </c>
      <c r="E1789" t="inlineStr">
        <is>
          <t>SÖDERTÄLJE</t>
        </is>
      </c>
      <c r="G1789" t="n">
        <v>0.4</v>
      </c>
      <c r="H1789" t="n">
        <v>0</v>
      </c>
      <c r="I1789" t="n">
        <v>0</v>
      </c>
      <c r="J1789" t="n">
        <v>0</v>
      </c>
      <c r="K1789" t="n">
        <v>0</v>
      </c>
      <c r="L1789" t="n">
        <v>0</v>
      </c>
      <c r="M1789" t="n">
        <v>0</v>
      </c>
      <c r="N1789" t="n">
        <v>0</v>
      </c>
      <c r="O1789" t="n">
        <v>0</v>
      </c>
      <c r="P1789" t="n">
        <v>0</v>
      </c>
      <c r="Q1789" t="n">
        <v>0</v>
      </c>
      <c r="R1789" s="2" t="inlineStr"/>
    </row>
    <row r="1790" ht="15" customHeight="1">
      <c r="A1790" t="inlineStr">
        <is>
          <t>A 1053-2022</t>
        </is>
      </c>
      <c r="B1790" s="1" t="n">
        <v>44571</v>
      </c>
      <c r="C1790" s="1" t="n">
        <v>45224</v>
      </c>
      <c r="D1790" t="inlineStr">
        <is>
          <t>STOCKHOLMS LÄN</t>
        </is>
      </c>
      <c r="E1790" t="inlineStr">
        <is>
          <t>UPPLANDS VÄSBY</t>
        </is>
      </c>
      <c r="G1790" t="n">
        <v>1.7</v>
      </c>
      <c r="H1790" t="n">
        <v>0</v>
      </c>
      <c r="I1790" t="n">
        <v>0</v>
      </c>
      <c r="J1790" t="n">
        <v>0</v>
      </c>
      <c r="K1790" t="n">
        <v>0</v>
      </c>
      <c r="L1790" t="n">
        <v>0</v>
      </c>
      <c r="M1790" t="n">
        <v>0</v>
      </c>
      <c r="N1790" t="n">
        <v>0</v>
      </c>
      <c r="O1790" t="n">
        <v>0</v>
      </c>
      <c r="P1790" t="n">
        <v>0</v>
      </c>
      <c r="Q1790" t="n">
        <v>0</v>
      </c>
      <c r="R1790" s="2" t="inlineStr"/>
    </row>
    <row r="1791" ht="15" customHeight="1">
      <c r="A1791" t="inlineStr">
        <is>
          <t>A 1051-2022</t>
        </is>
      </c>
      <c r="B1791" s="1" t="n">
        <v>44571</v>
      </c>
      <c r="C1791" s="1" t="n">
        <v>45224</v>
      </c>
      <c r="D1791" t="inlineStr">
        <is>
          <t>STOCKHOLMS LÄN</t>
        </is>
      </c>
      <c r="E1791" t="inlineStr">
        <is>
          <t>NORRTÄLJE</t>
        </is>
      </c>
      <c r="G1791" t="n">
        <v>2</v>
      </c>
      <c r="H1791" t="n">
        <v>0</v>
      </c>
      <c r="I1791" t="n">
        <v>0</v>
      </c>
      <c r="J1791" t="n">
        <v>0</v>
      </c>
      <c r="K1791" t="n">
        <v>0</v>
      </c>
      <c r="L1791" t="n">
        <v>0</v>
      </c>
      <c r="M1791" t="n">
        <v>0</v>
      </c>
      <c r="N1791" t="n">
        <v>0</v>
      </c>
      <c r="O1791" t="n">
        <v>0</v>
      </c>
      <c r="P1791" t="n">
        <v>0</v>
      </c>
      <c r="Q1791" t="n">
        <v>0</v>
      </c>
      <c r="R1791" s="2" t="inlineStr"/>
    </row>
    <row r="1792" ht="15" customHeight="1">
      <c r="A1792" t="inlineStr">
        <is>
          <t>A 862-2022</t>
        </is>
      </c>
      <c r="B1792" s="1" t="n">
        <v>44571</v>
      </c>
      <c r="C1792" s="1" t="n">
        <v>45224</v>
      </c>
      <c r="D1792" t="inlineStr">
        <is>
          <t>STOCKHOLMS LÄN</t>
        </is>
      </c>
      <c r="E1792" t="inlineStr">
        <is>
          <t>SIGTUNA</t>
        </is>
      </c>
      <c r="G1792" t="n">
        <v>2.4</v>
      </c>
      <c r="H1792" t="n">
        <v>0</v>
      </c>
      <c r="I1792" t="n">
        <v>0</v>
      </c>
      <c r="J1792" t="n">
        <v>0</v>
      </c>
      <c r="K1792" t="n">
        <v>0</v>
      </c>
      <c r="L1792" t="n">
        <v>0</v>
      </c>
      <c r="M1792" t="n">
        <v>0</v>
      </c>
      <c r="N1792" t="n">
        <v>0</v>
      </c>
      <c r="O1792" t="n">
        <v>0</v>
      </c>
      <c r="P1792" t="n">
        <v>0</v>
      </c>
      <c r="Q1792" t="n">
        <v>0</v>
      </c>
      <c r="R1792" s="2" t="inlineStr"/>
    </row>
    <row r="1793" ht="15" customHeight="1">
      <c r="A1793" t="inlineStr">
        <is>
          <t>A 1054-2022</t>
        </is>
      </c>
      <c r="B1793" s="1" t="n">
        <v>44571</v>
      </c>
      <c r="C1793" s="1" t="n">
        <v>45224</v>
      </c>
      <c r="D1793" t="inlineStr">
        <is>
          <t>STOCKHOLMS LÄN</t>
        </is>
      </c>
      <c r="E1793" t="inlineStr">
        <is>
          <t>NORRTÄLJE</t>
        </is>
      </c>
      <c r="G1793" t="n">
        <v>5</v>
      </c>
      <c r="H1793" t="n">
        <v>0</v>
      </c>
      <c r="I1793" t="n">
        <v>0</v>
      </c>
      <c r="J1793" t="n">
        <v>0</v>
      </c>
      <c r="K1793" t="n">
        <v>0</v>
      </c>
      <c r="L1793" t="n">
        <v>0</v>
      </c>
      <c r="M1793" t="n">
        <v>0</v>
      </c>
      <c r="N1793" t="n">
        <v>0</v>
      </c>
      <c r="O1793" t="n">
        <v>0</v>
      </c>
      <c r="P1793" t="n">
        <v>0</v>
      </c>
      <c r="Q1793" t="n">
        <v>0</v>
      </c>
      <c r="R1793" s="2" t="inlineStr"/>
    </row>
    <row r="1794" ht="15" customHeight="1">
      <c r="A1794" t="inlineStr">
        <is>
          <t>A 1229-2022</t>
        </is>
      </c>
      <c r="B1794" s="1" t="n">
        <v>44572</v>
      </c>
      <c r="C1794" s="1" t="n">
        <v>45224</v>
      </c>
      <c r="D1794" t="inlineStr">
        <is>
          <t>STOCKHOLMS LÄN</t>
        </is>
      </c>
      <c r="E1794" t="inlineStr">
        <is>
          <t>NORRTÄLJE</t>
        </is>
      </c>
      <c r="G1794" t="n">
        <v>11.5</v>
      </c>
      <c r="H1794" t="n">
        <v>0</v>
      </c>
      <c r="I1794" t="n">
        <v>0</v>
      </c>
      <c r="J1794" t="n">
        <v>0</v>
      </c>
      <c r="K1794" t="n">
        <v>0</v>
      </c>
      <c r="L1794" t="n">
        <v>0</v>
      </c>
      <c r="M1794" t="n">
        <v>0</v>
      </c>
      <c r="N1794" t="n">
        <v>0</v>
      </c>
      <c r="O1794" t="n">
        <v>0</v>
      </c>
      <c r="P1794" t="n">
        <v>0</v>
      </c>
      <c r="Q1794" t="n">
        <v>0</v>
      </c>
      <c r="R1794" s="2" t="inlineStr"/>
    </row>
    <row r="1795" ht="15" customHeight="1">
      <c r="A1795" t="inlineStr">
        <is>
          <t>A 1353-2022</t>
        </is>
      </c>
      <c r="B1795" s="1" t="n">
        <v>44572</v>
      </c>
      <c r="C1795" s="1" t="n">
        <v>45224</v>
      </c>
      <c r="D1795" t="inlineStr">
        <is>
          <t>STOCKHOLMS LÄN</t>
        </is>
      </c>
      <c r="E1795" t="inlineStr">
        <is>
          <t>ÖSTERÅKER</t>
        </is>
      </c>
      <c r="F1795" t="inlineStr">
        <is>
          <t>Övriga Aktiebolag</t>
        </is>
      </c>
      <c r="G1795" t="n">
        <v>5</v>
      </c>
      <c r="H1795" t="n">
        <v>0</v>
      </c>
      <c r="I1795" t="n">
        <v>0</v>
      </c>
      <c r="J1795" t="n">
        <v>0</v>
      </c>
      <c r="K1795" t="n">
        <v>0</v>
      </c>
      <c r="L1795" t="n">
        <v>0</v>
      </c>
      <c r="M1795" t="n">
        <v>0</v>
      </c>
      <c r="N1795" t="n">
        <v>0</v>
      </c>
      <c r="O1795" t="n">
        <v>0</v>
      </c>
      <c r="P1795" t="n">
        <v>0</v>
      </c>
      <c r="Q1795" t="n">
        <v>0</v>
      </c>
      <c r="R1795" s="2" t="inlineStr"/>
    </row>
    <row r="1796" ht="15" customHeight="1">
      <c r="A1796" t="inlineStr">
        <is>
          <t>A 1658-2022</t>
        </is>
      </c>
      <c r="B1796" s="1" t="n">
        <v>44574</v>
      </c>
      <c r="C1796" s="1" t="n">
        <v>45224</v>
      </c>
      <c r="D1796" t="inlineStr">
        <is>
          <t>STOCKHOLMS LÄN</t>
        </is>
      </c>
      <c r="E1796" t="inlineStr">
        <is>
          <t>NYNÄSHAMN</t>
        </is>
      </c>
      <c r="F1796" t="inlineStr">
        <is>
          <t>Kommuner</t>
        </is>
      </c>
      <c r="G1796" t="n">
        <v>2.5</v>
      </c>
      <c r="H1796" t="n">
        <v>0</v>
      </c>
      <c r="I1796" t="n">
        <v>0</v>
      </c>
      <c r="J1796" t="n">
        <v>0</v>
      </c>
      <c r="K1796" t="n">
        <v>0</v>
      </c>
      <c r="L1796" t="n">
        <v>0</v>
      </c>
      <c r="M1796" t="n">
        <v>0</v>
      </c>
      <c r="N1796" t="n">
        <v>0</v>
      </c>
      <c r="O1796" t="n">
        <v>0</v>
      </c>
      <c r="P1796" t="n">
        <v>0</v>
      </c>
      <c r="Q1796" t="n">
        <v>0</v>
      </c>
      <c r="R1796" s="2" t="inlineStr"/>
    </row>
    <row r="1797" ht="15" customHeight="1">
      <c r="A1797" t="inlineStr">
        <is>
          <t>A 1910-2022</t>
        </is>
      </c>
      <c r="B1797" s="1" t="n">
        <v>44575</v>
      </c>
      <c r="C1797" s="1" t="n">
        <v>45224</v>
      </c>
      <c r="D1797" t="inlineStr">
        <is>
          <t>STOCKHOLMS LÄN</t>
        </is>
      </c>
      <c r="E1797" t="inlineStr">
        <is>
          <t>ÖSTERÅKER</t>
        </is>
      </c>
      <c r="F1797" t="inlineStr">
        <is>
          <t>Övriga Aktiebolag</t>
        </is>
      </c>
      <c r="G1797" t="n">
        <v>2.6</v>
      </c>
      <c r="H1797" t="n">
        <v>0</v>
      </c>
      <c r="I1797" t="n">
        <v>0</v>
      </c>
      <c r="J1797" t="n">
        <v>0</v>
      </c>
      <c r="K1797" t="n">
        <v>0</v>
      </c>
      <c r="L1797" t="n">
        <v>0</v>
      </c>
      <c r="M1797" t="n">
        <v>0</v>
      </c>
      <c r="N1797" t="n">
        <v>0</v>
      </c>
      <c r="O1797" t="n">
        <v>0</v>
      </c>
      <c r="P1797" t="n">
        <v>0</v>
      </c>
      <c r="Q1797" t="n">
        <v>0</v>
      </c>
      <c r="R1797" s="2" t="inlineStr"/>
    </row>
    <row r="1798" ht="15" customHeight="1">
      <c r="A1798" t="inlineStr">
        <is>
          <t>A 2148-2022</t>
        </is>
      </c>
      <c r="B1798" s="1" t="n">
        <v>44575</v>
      </c>
      <c r="C1798" s="1" t="n">
        <v>45224</v>
      </c>
      <c r="D1798" t="inlineStr">
        <is>
          <t>STOCKHOLMS LÄN</t>
        </is>
      </c>
      <c r="E1798" t="inlineStr">
        <is>
          <t>ÖSTERÅKER</t>
        </is>
      </c>
      <c r="F1798" t="inlineStr">
        <is>
          <t>Övriga Aktiebolag</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2182-2022</t>
        </is>
      </c>
      <c r="B1799" s="1" t="n">
        <v>44578</v>
      </c>
      <c r="C1799" s="1" t="n">
        <v>45224</v>
      </c>
      <c r="D1799" t="inlineStr">
        <is>
          <t>STOCKHOLMS LÄN</t>
        </is>
      </c>
      <c r="E1799" t="inlineStr">
        <is>
          <t>NORRTÄLJE</t>
        </is>
      </c>
      <c r="G1799" t="n">
        <v>7.2</v>
      </c>
      <c r="H1799" t="n">
        <v>0</v>
      </c>
      <c r="I1799" t="n">
        <v>0</v>
      </c>
      <c r="J1799" t="n">
        <v>0</v>
      </c>
      <c r="K1799" t="n">
        <v>0</v>
      </c>
      <c r="L1799" t="n">
        <v>0</v>
      </c>
      <c r="M1799" t="n">
        <v>0</v>
      </c>
      <c r="N1799" t="n">
        <v>0</v>
      </c>
      <c r="O1799" t="n">
        <v>0</v>
      </c>
      <c r="P1799" t="n">
        <v>0</v>
      </c>
      <c r="Q1799" t="n">
        <v>0</v>
      </c>
      <c r="R1799" s="2" t="inlineStr"/>
    </row>
    <row r="1800" ht="15" customHeight="1">
      <c r="A1800" t="inlineStr">
        <is>
          <t>A 2180-2022</t>
        </is>
      </c>
      <c r="B1800" s="1" t="n">
        <v>44578</v>
      </c>
      <c r="C1800" s="1" t="n">
        <v>45224</v>
      </c>
      <c r="D1800" t="inlineStr">
        <is>
          <t>STOCKHOLMS LÄN</t>
        </is>
      </c>
      <c r="E1800" t="inlineStr">
        <is>
          <t>VALLENTUNA</t>
        </is>
      </c>
      <c r="G1800" t="n">
        <v>2.7</v>
      </c>
      <c r="H1800" t="n">
        <v>0</v>
      </c>
      <c r="I1800" t="n">
        <v>0</v>
      </c>
      <c r="J1800" t="n">
        <v>0</v>
      </c>
      <c r="K1800" t="n">
        <v>0</v>
      </c>
      <c r="L1800" t="n">
        <v>0</v>
      </c>
      <c r="M1800" t="n">
        <v>0</v>
      </c>
      <c r="N1800" t="n">
        <v>0</v>
      </c>
      <c r="O1800" t="n">
        <v>0</v>
      </c>
      <c r="P1800" t="n">
        <v>0</v>
      </c>
      <c r="Q1800" t="n">
        <v>0</v>
      </c>
      <c r="R1800" s="2" t="inlineStr"/>
    </row>
    <row r="1801" ht="15" customHeight="1">
      <c r="A1801" t="inlineStr">
        <is>
          <t>A 2732-2022</t>
        </is>
      </c>
      <c r="B1801" s="1" t="n">
        <v>44580</v>
      </c>
      <c r="C1801" s="1" t="n">
        <v>45224</v>
      </c>
      <c r="D1801" t="inlineStr">
        <is>
          <t>STOCKHOLMS LÄN</t>
        </is>
      </c>
      <c r="E1801" t="inlineStr">
        <is>
          <t>NORRTÄLJE</t>
        </is>
      </c>
      <c r="G1801" t="n">
        <v>0.5</v>
      </c>
      <c r="H1801" t="n">
        <v>0</v>
      </c>
      <c r="I1801" t="n">
        <v>0</v>
      </c>
      <c r="J1801" t="n">
        <v>0</v>
      </c>
      <c r="K1801" t="n">
        <v>0</v>
      </c>
      <c r="L1801" t="n">
        <v>0</v>
      </c>
      <c r="M1801" t="n">
        <v>0</v>
      </c>
      <c r="N1801" t="n">
        <v>0</v>
      </c>
      <c r="O1801" t="n">
        <v>0</v>
      </c>
      <c r="P1801" t="n">
        <v>0</v>
      </c>
      <c r="Q1801" t="n">
        <v>0</v>
      </c>
      <c r="R1801" s="2" t="inlineStr"/>
    </row>
    <row r="1802" ht="15" customHeight="1">
      <c r="A1802" t="inlineStr">
        <is>
          <t>A 2549-2022</t>
        </is>
      </c>
      <c r="B1802" s="1" t="n">
        <v>44580</v>
      </c>
      <c r="C1802" s="1" t="n">
        <v>45224</v>
      </c>
      <c r="D1802" t="inlineStr">
        <is>
          <t>STOCKHOLMS LÄN</t>
        </is>
      </c>
      <c r="E1802" t="inlineStr">
        <is>
          <t>NORRTÄLJE</t>
        </is>
      </c>
      <c r="G1802" t="n">
        <v>1.3</v>
      </c>
      <c r="H1802" t="n">
        <v>0</v>
      </c>
      <c r="I1802" t="n">
        <v>0</v>
      </c>
      <c r="J1802" t="n">
        <v>0</v>
      </c>
      <c r="K1802" t="n">
        <v>0</v>
      </c>
      <c r="L1802" t="n">
        <v>0</v>
      </c>
      <c r="M1802" t="n">
        <v>0</v>
      </c>
      <c r="N1802" t="n">
        <v>0</v>
      </c>
      <c r="O1802" t="n">
        <v>0</v>
      </c>
      <c r="P1802" t="n">
        <v>0</v>
      </c>
      <c r="Q1802" t="n">
        <v>0</v>
      </c>
      <c r="R1802" s="2" t="inlineStr"/>
    </row>
    <row r="1803" ht="15" customHeight="1">
      <c r="A1803" t="inlineStr">
        <is>
          <t>A 2570-2022</t>
        </is>
      </c>
      <c r="B1803" s="1" t="n">
        <v>44580</v>
      </c>
      <c r="C1803" s="1" t="n">
        <v>45224</v>
      </c>
      <c r="D1803" t="inlineStr">
        <is>
          <t>STOCKHOLMS LÄN</t>
        </is>
      </c>
      <c r="E1803" t="inlineStr">
        <is>
          <t>ÖSTERÅKER</t>
        </is>
      </c>
      <c r="F1803" t="inlineStr">
        <is>
          <t>Övriga Aktiebolag</t>
        </is>
      </c>
      <c r="G1803" t="n">
        <v>1.7</v>
      </c>
      <c r="H1803" t="n">
        <v>0</v>
      </c>
      <c r="I1803" t="n">
        <v>0</v>
      </c>
      <c r="J1803" t="n">
        <v>0</v>
      </c>
      <c r="K1803" t="n">
        <v>0</v>
      </c>
      <c r="L1803" t="n">
        <v>0</v>
      </c>
      <c r="M1803" t="n">
        <v>0</v>
      </c>
      <c r="N1803" t="n">
        <v>0</v>
      </c>
      <c r="O1803" t="n">
        <v>0</v>
      </c>
      <c r="P1803" t="n">
        <v>0</v>
      </c>
      <c r="Q1803" t="n">
        <v>0</v>
      </c>
      <c r="R1803" s="2" t="inlineStr"/>
    </row>
    <row r="1804" ht="15" customHeight="1">
      <c r="A1804" t="inlineStr">
        <is>
          <t>A 2867-2022</t>
        </is>
      </c>
      <c r="B1804" s="1" t="n">
        <v>44581</v>
      </c>
      <c r="C1804" s="1" t="n">
        <v>45224</v>
      </c>
      <c r="D1804" t="inlineStr">
        <is>
          <t>STOCKHOLMS LÄN</t>
        </is>
      </c>
      <c r="E1804" t="inlineStr">
        <is>
          <t>VALLENTUNA</t>
        </is>
      </c>
      <c r="G1804" t="n">
        <v>1.6</v>
      </c>
      <c r="H1804" t="n">
        <v>0</v>
      </c>
      <c r="I1804" t="n">
        <v>0</v>
      </c>
      <c r="J1804" t="n">
        <v>0</v>
      </c>
      <c r="K1804" t="n">
        <v>0</v>
      </c>
      <c r="L1804" t="n">
        <v>0</v>
      </c>
      <c r="M1804" t="n">
        <v>0</v>
      </c>
      <c r="N1804" t="n">
        <v>0</v>
      </c>
      <c r="O1804" t="n">
        <v>0</v>
      </c>
      <c r="P1804" t="n">
        <v>0</v>
      </c>
      <c r="Q1804" t="n">
        <v>0</v>
      </c>
      <c r="R1804" s="2" t="inlineStr"/>
    </row>
    <row r="1805" ht="15" customHeight="1">
      <c r="A1805" t="inlineStr">
        <is>
          <t>A 2888-2022</t>
        </is>
      </c>
      <c r="B1805" s="1" t="n">
        <v>44581</v>
      </c>
      <c r="C1805" s="1" t="n">
        <v>45224</v>
      </c>
      <c r="D1805" t="inlineStr">
        <is>
          <t>STOCKHOLMS LÄN</t>
        </is>
      </c>
      <c r="E1805" t="inlineStr">
        <is>
          <t>NORRTÄLJE</t>
        </is>
      </c>
      <c r="G1805" t="n">
        <v>2.4</v>
      </c>
      <c r="H1805" t="n">
        <v>0</v>
      </c>
      <c r="I1805" t="n">
        <v>0</v>
      </c>
      <c r="J1805" t="n">
        <v>0</v>
      </c>
      <c r="K1805" t="n">
        <v>0</v>
      </c>
      <c r="L1805" t="n">
        <v>0</v>
      </c>
      <c r="M1805" t="n">
        <v>0</v>
      </c>
      <c r="N1805" t="n">
        <v>0</v>
      </c>
      <c r="O1805" t="n">
        <v>0</v>
      </c>
      <c r="P1805" t="n">
        <v>0</v>
      </c>
      <c r="Q1805" t="n">
        <v>0</v>
      </c>
      <c r="R1805" s="2" t="inlineStr"/>
    </row>
    <row r="1806" ht="15" customHeight="1">
      <c r="A1806" t="inlineStr">
        <is>
          <t>A 3222-2022</t>
        </is>
      </c>
      <c r="B1806" s="1" t="n">
        <v>44582</v>
      </c>
      <c r="C1806" s="1" t="n">
        <v>45224</v>
      </c>
      <c r="D1806" t="inlineStr">
        <is>
          <t>STOCKHOLMS LÄN</t>
        </is>
      </c>
      <c r="E1806" t="inlineStr">
        <is>
          <t>EKERÖ</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3057-2022</t>
        </is>
      </c>
      <c r="B1807" s="1" t="n">
        <v>44582</v>
      </c>
      <c r="C1807" s="1" t="n">
        <v>45224</v>
      </c>
      <c r="D1807" t="inlineStr">
        <is>
          <t>STOCKHOLMS LÄN</t>
        </is>
      </c>
      <c r="E1807" t="inlineStr">
        <is>
          <t>VÄRMDÖ</t>
        </is>
      </c>
      <c r="G1807" t="n">
        <v>7.4</v>
      </c>
      <c r="H1807" t="n">
        <v>0</v>
      </c>
      <c r="I1807" t="n">
        <v>0</v>
      </c>
      <c r="J1807" t="n">
        <v>0</v>
      </c>
      <c r="K1807" t="n">
        <v>0</v>
      </c>
      <c r="L1807" t="n">
        <v>0</v>
      </c>
      <c r="M1807" t="n">
        <v>0</v>
      </c>
      <c r="N1807" t="n">
        <v>0</v>
      </c>
      <c r="O1807" t="n">
        <v>0</v>
      </c>
      <c r="P1807" t="n">
        <v>0</v>
      </c>
      <c r="Q1807" t="n">
        <v>0</v>
      </c>
      <c r="R1807" s="2" t="inlineStr"/>
    </row>
    <row r="1808" ht="15" customHeight="1">
      <c r="A1808" t="inlineStr">
        <is>
          <t>A 3219-2022</t>
        </is>
      </c>
      <c r="B1808" s="1" t="n">
        <v>44582</v>
      </c>
      <c r="C1808" s="1" t="n">
        <v>45224</v>
      </c>
      <c r="D1808" t="inlineStr">
        <is>
          <t>STOCKHOLMS LÄN</t>
        </is>
      </c>
      <c r="E1808" t="inlineStr">
        <is>
          <t>EKERÖ</t>
        </is>
      </c>
      <c r="G1808" t="n">
        <v>0.5</v>
      </c>
      <c r="H1808" t="n">
        <v>0</v>
      </c>
      <c r="I1808" t="n">
        <v>0</v>
      </c>
      <c r="J1808" t="n">
        <v>0</v>
      </c>
      <c r="K1808" t="n">
        <v>0</v>
      </c>
      <c r="L1808" t="n">
        <v>0</v>
      </c>
      <c r="M1808" t="n">
        <v>0</v>
      </c>
      <c r="N1808" t="n">
        <v>0</v>
      </c>
      <c r="O1808" t="n">
        <v>0</v>
      </c>
      <c r="P1808" t="n">
        <v>0</v>
      </c>
      <c r="Q1808" t="n">
        <v>0</v>
      </c>
      <c r="R1808" s="2" t="inlineStr"/>
    </row>
    <row r="1809" ht="15" customHeight="1">
      <c r="A1809" t="inlineStr">
        <is>
          <t>A 3154-2022</t>
        </is>
      </c>
      <c r="B1809" s="1" t="n">
        <v>44582</v>
      </c>
      <c r="C1809" s="1" t="n">
        <v>45224</v>
      </c>
      <c r="D1809" t="inlineStr">
        <is>
          <t>STOCKHOLMS LÄN</t>
        </is>
      </c>
      <c r="E1809" t="inlineStr">
        <is>
          <t>ÖSTERÅKER</t>
        </is>
      </c>
      <c r="F1809" t="inlineStr">
        <is>
          <t>Övriga Aktiebolag</t>
        </is>
      </c>
      <c r="G1809" t="n">
        <v>11.1</v>
      </c>
      <c r="H1809" t="n">
        <v>0</v>
      </c>
      <c r="I1809" t="n">
        <v>0</v>
      </c>
      <c r="J1809" t="n">
        <v>0</v>
      </c>
      <c r="K1809" t="n">
        <v>0</v>
      </c>
      <c r="L1809" t="n">
        <v>0</v>
      </c>
      <c r="M1809" t="n">
        <v>0</v>
      </c>
      <c r="N1809" t="n">
        <v>0</v>
      </c>
      <c r="O1809" t="n">
        <v>0</v>
      </c>
      <c r="P1809" t="n">
        <v>0</v>
      </c>
      <c r="Q1809" t="n">
        <v>0</v>
      </c>
      <c r="R1809" s="2" t="inlineStr"/>
    </row>
    <row r="1810" ht="15" customHeight="1">
      <c r="A1810" t="inlineStr">
        <is>
          <t>A 3326-2022</t>
        </is>
      </c>
      <c r="B1810" s="1" t="n">
        <v>44583</v>
      </c>
      <c r="C1810" s="1" t="n">
        <v>45224</v>
      </c>
      <c r="D1810" t="inlineStr">
        <is>
          <t>STOCKHOLMS LÄN</t>
        </is>
      </c>
      <c r="E1810" t="inlineStr">
        <is>
          <t>ÖSTERÅKER</t>
        </is>
      </c>
      <c r="F1810" t="inlineStr">
        <is>
          <t>Övriga Aktiebolag</t>
        </is>
      </c>
      <c r="G1810" t="n">
        <v>2.7</v>
      </c>
      <c r="H1810" t="n">
        <v>0</v>
      </c>
      <c r="I1810" t="n">
        <v>0</v>
      </c>
      <c r="J1810" t="n">
        <v>0</v>
      </c>
      <c r="K1810" t="n">
        <v>0</v>
      </c>
      <c r="L1810" t="n">
        <v>0</v>
      </c>
      <c r="M1810" t="n">
        <v>0</v>
      </c>
      <c r="N1810" t="n">
        <v>0</v>
      </c>
      <c r="O1810" t="n">
        <v>0</v>
      </c>
      <c r="P1810" t="n">
        <v>0</v>
      </c>
      <c r="Q1810" t="n">
        <v>0</v>
      </c>
      <c r="R1810" s="2" t="inlineStr"/>
    </row>
    <row r="1811" ht="15" customHeight="1">
      <c r="A1811" t="inlineStr">
        <is>
          <t>A 3310-2022</t>
        </is>
      </c>
      <c r="B1811" s="1" t="n">
        <v>44584</v>
      </c>
      <c r="C1811" s="1" t="n">
        <v>45224</v>
      </c>
      <c r="D1811" t="inlineStr">
        <is>
          <t>STOCKHOLMS LÄN</t>
        </is>
      </c>
      <c r="E1811" t="inlineStr">
        <is>
          <t>NORRTÄLJE</t>
        </is>
      </c>
      <c r="G1811" t="n">
        <v>3.4</v>
      </c>
      <c r="H1811" t="n">
        <v>0</v>
      </c>
      <c r="I1811" t="n">
        <v>0</v>
      </c>
      <c r="J1811" t="n">
        <v>0</v>
      </c>
      <c r="K1811" t="n">
        <v>0</v>
      </c>
      <c r="L1811" t="n">
        <v>0</v>
      </c>
      <c r="M1811" t="n">
        <v>0</v>
      </c>
      <c r="N1811" t="n">
        <v>0</v>
      </c>
      <c r="O1811" t="n">
        <v>0</v>
      </c>
      <c r="P1811" t="n">
        <v>0</v>
      </c>
      <c r="Q1811" t="n">
        <v>0</v>
      </c>
      <c r="R1811" s="2" t="inlineStr"/>
    </row>
    <row r="1812" ht="15" customHeight="1">
      <c r="A1812" t="inlineStr">
        <is>
          <t>A 3509-2022</t>
        </is>
      </c>
      <c r="B1812" s="1" t="n">
        <v>44585</v>
      </c>
      <c r="C1812" s="1" t="n">
        <v>45224</v>
      </c>
      <c r="D1812" t="inlineStr">
        <is>
          <t>STOCKHOLMS LÄN</t>
        </is>
      </c>
      <c r="E1812" t="inlineStr">
        <is>
          <t>NORRTÄLJE</t>
        </is>
      </c>
      <c r="F1812" t="inlineStr">
        <is>
          <t>Kommuner</t>
        </is>
      </c>
      <c r="G1812" t="n">
        <v>0.8</v>
      </c>
      <c r="H1812" t="n">
        <v>0</v>
      </c>
      <c r="I1812" t="n">
        <v>0</v>
      </c>
      <c r="J1812" t="n">
        <v>0</v>
      </c>
      <c r="K1812" t="n">
        <v>0</v>
      </c>
      <c r="L1812" t="n">
        <v>0</v>
      </c>
      <c r="M1812" t="n">
        <v>0</v>
      </c>
      <c r="N1812" t="n">
        <v>0</v>
      </c>
      <c r="O1812" t="n">
        <v>0</v>
      </c>
      <c r="P1812" t="n">
        <v>0</v>
      </c>
      <c r="Q1812" t="n">
        <v>0</v>
      </c>
      <c r="R1812" s="2" t="inlineStr"/>
    </row>
    <row r="1813" ht="15" customHeight="1">
      <c r="A1813" t="inlineStr">
        <is>
          <t>A 3396-2022</t>
        </is>
      </c>
      <c r="B1813" s="1" t="n">
        <v>44585</v>
      </c>
      <c r="C1813" s="1" t="n">
        <v>45224</v>
      </c>
      <c r="D1813" t="inlineStr">
        <is>
          <t>STOCKHOLMS LÄN</t>
        </is>
      </c>
      <c r="E1813" t="inlineStr">
        <is>
          <t>NORRTÄLJE</t>
        </is>
      </c>
      <c r="G1813" t="n">
        <v>1.4</v>
      </c>
      <c r="H1813" t="n">
        <v>0</v>
      </c>
      <c r="I1813" t="n">
        <v>0</v>
      </c>
      <c r="J1813" t="n">
        <v>0</v>
      </c>
      <c r="K1813" t="n">
        <v>0</v>
      </c>
      <c r="L1813" t="n">
        <v>0</v>
      </c>
      <c r="M1813" t="n">
        <v>0</v>
      </c>
      <c r="N1813" t="n">
        <v>0</v>
      </c>
      <c r="O1813" t="n">
        <v>0</v>
      </c>
      <c r="P1813" t="n">
        <v>0</v>
      </c>
      <c r="Q1813" t="n">
        <v>0</v>
      </c>
      <c r="R1813" s="2" t="inlineStr"/>
    </row>
    <row r="1814" ht="15" customHeight="1">
      <c r="A1814" t="inlineStr">
        <is>
          <t>A 3596-2022</t>
        </is>
      </c>
      <c r="B1814" s="1" t="n">
        <v>44586</v>
      </c>
      <c r="C1814" s="1" t="n">
        <v>45224</v>
      </c>
      <c r="D1814" t="inlineStr">
        <is>
          <t>STOCKHOLMS LÄN</t>
        </is>
      </c>
      <c r="E1814" t="inlineStr">
        <is>
          <t>SÖDERTÄLJE</t>
        </is>
      </c>
      <c r="G1814" t="n">
        <v>1.4</v>
      </c>
      <c r="H1814" t="n">
        <v>0</v>
      </c>
      <c r="I1814" t="n">
        <v>0</v>
      </c>
      <c r="J1814" t="n">
        <v>0</v>
      </c>
      <c r="K1814" t="n">
        <v>0</v>
      </c>
      <c r="L1814" t="n">
        <v>0</v>
      </c>
      <c r="M1814" t="n">
        <v>0</v>
      </c>
      <c r="N1814" t="n">
        <v>0</v>
      </c>
      <c r="O1814" t="n">
        <v>0</v>
      </c>
      <c r="P1814" t="n">
        <v>0</v>
      </c>
      <c r="Q1814" t="n">
        <v>0</v>
      </c>
      <c r="R1814" s="2" t="inlineStr"/>
    </row>
    <row r="1815" ht="15" customHeight="1">
      <c r="A1815" t="inlineStr">
        <is>
          <t>A 3698-2022</t>
        </is>
      </c>
      <c r="B1815" s="1" t="n">
        <v>44586</v>
      </c>
      <c r="C1815" s="1" t="n">
        <v>45224</v>
      </c>
      <c r="D1815" t="inlineStr">
        <is>
          <t>STOCKHOLMS LÄN</t>
        </is>
      </c>
      <c r="E1815" t="inlineStr">
        <is>
          <t>VALLENTUNA</t>
        </is>
      </c>
      <c r="G1815" t="n">
        <v>2.9</v>
      </c>
      <c r="H1815" t="n">
        <v>0</v>
      </c>
      <c r="I1815" t="n">
        <v>0</v>
      </c>
      <c r="J1815" t="n">
        <v>0</v>
      </c>
      <c r="K1815" t="n">
        <v>0</v>
      </c>
      <c r="L1815" t="n">
        <v>0</v>
      </c>
      <c r="M1815" t="n">
        <v>0</v>
      </c>
      <c r="N1815" t="n">
        <v>0</v>
      </c>
      <c r="O1815" t="n">
        <v>0</v>
      </c>
      <c r="P1815" t="n">
        <v>0</v>
      </c>
      <c r="Q1815" t="n">
        <v>0</v>
      </c>
      <c r="R1815" s="2" t="inlineStr"/>
    </row>
    <row r="1816" ht="15" customHeight="1">
      <c r="A1816" t="inlineStr">
        <is>
          <t>A 3726-2022</t>
        </is>
      </c>
      <c r="B1816" s="1" t="n">
        <v>44586</v>
      </c>
      <c r="C1816" s="1" t="n">
        <v>45224</v>
      </c>
      <c r="D1816" t="inlineStr">
        <is>
          <t>STOCKHOLMS LÄN</t>
        </is>
      </c>
      <c r="E1816" t="inlineStr">
        <is>
          <t>BOTKYRKA</t>
        </is>
      </c>
      <c r="G1816" t="n">
        <v>17.1</v>
      </c>
      <c r="H1816" t="n">
        <v>0</v>
      </c>
      <c r="I1816" t="n">
        <v>0</v>
      </c>
      <c r="J1816" t="n">
        <v>0</v>
      </c>
      <c r="K1816" t="n">
        <v>0</v>
      </c>
      <c r="L1816" t="n">
        <v>0</v>
      </c>
      <c r="M1816" t="n">
        <v>0</v>
      </c>
      <c r="N1816" t="n">
        <v>0</v>
      </c>
      <c r="O1816" t="n">
        <v>0</v>
      </c>
      <c r="P1816" t="n">
        <v>0</v>
      </c>
      <c r="Q1816" t="n">
        <v>0</v>
      </c>
      <c r="R1816" s="2" t="inlineStr"/>
    </row>
    <row r="1817" ht="15" customHeight="1">
      <c r="A1817" t="inlineStr">
        <is>
          <t>A 3585-2022</t>
        </is>
      </c>
      <c r="B1817" s="1" t="n">
        <v>44586</v>
      </c>
      <c r="C1817" s="1" t="n">
        <v>45224</v>
      </c>
      <c r="D1817" t="inlineStr">
        <is>
          <t>STOCKHOLMS LÄN</t>
        </is>
      </c>
      <c r="E1817" t="inlineStr">
        <is>
          <t>SÖDERTÄLJE</t>
        </is>
      </c>
      <c r="G1817" t="n">
        <v>4.5</v>
      </c>
      <c r="H1817" t="n">
        <v>0</v>
      </c>
      <c r="I1817" t="n">
        <v>0</v>
      </c>
      <c r="J1817" t="n">
        <v>0</v>
      </c>
      <c r="K1817" t="n">
        <v>0</v>
      </c>
      <c r="L1817" t="n">
        <v>0</v>
      </c>
      <c r="M1817" t="n">
        <v>0</v>
      </c>
      <c r="N1817" t="n">
        <v>0</v>
      </c>
      <c r="O1817" t="n">
        <v>0</v>
      </c>
      <c r="P1817" t="n">
        <v>0</v>
      </c>
      <c r="Q1817" t="n">
        <v>0</v>
      </c>
      <c r="R1817" s="2" t="inlineStr"/>
    </row>
    <row r="1818" ht="15" customHeight="1">
      <c r="A1818" t="inlineStr">
        <is>
          <t>A 3681-2022</t>
        </is>
      </c>
      <c r="B1818" s="1" t="n">
        <v>44586</v>
      </c>
      <c r="C1818" s="1" t="n">
        <v>45224</v>
      </c>
      <c r="D1818" t="inlineStr">
        <is>
          <t>STOCKHOLMS LÄN</t>
        </is>
      </c>
      <c r="E1818" t="inlineStr">
        <is>
          <t>BOTKYRKA</t>
        </is>
      </c>
      <c r="G1818" t="n">
        <v>0.4</v>
      </c>
      <c r="H1818" t="n">
        <v>0</v>
      </c>
      <c r="I1818" t="n">
        <v>0</v>
      </c>
      <c r="J1818" t="n">
        <v>0</v>
      </c>
      <c r="K1818" t="n">
        <v>0</v>
      </c>
      <c r="L1818" t="n">
        <v>0</v>
      </c>
      <c r="M1818" t="n">
        <v>0</v>
      </c>
      <c r="N1818" t="n">
        <v>0</v>
      </c>
      <c r="O1818" t="n">
        <v>0</v>
      </c>
      <c r="P1818" t="n">
        <v>0</v>
      </c>
      <c r="Q1818" t="n">
        <v>0</v>
      </c>
      <c r="R1818" s="2" t="inlineStr"/>
    </row>
    <row r="1819" ht="15" customHeight="1">
      <c r="A1819" t="inlineStr">
        <is>
          <t>A 3706-2022</t>
        </is>
      </c>
      <c r="B1819" s="1" t="n">
        <v>44586</v>
      </c>
      <c r="C1819" s="1" t="n">
        <v>45224</v>
      </c>
      <c r="D1819" t="inlineStr">
        <is>
          <t>STOCKHOLMS LÄN</t>
        </is>
      </c>
      <c r="E1819" t="inlineStr">
        <is>
          <t>HANINGE</t>
        </is>
      </c>
      <c r="G1819" t="n">
        <v>2.9</v>
      </c>
      <c r="H1819" t="n">
        <v>0</v>
      </c>
      <c r="I1819" t="n">
        <v>0</v>
      </c>
      <c r="J1819" t="n">
        <v>0</v>
      </c>
      <c r="K1819" t="n">
        <v>0</v>
      </c>
      <c r="L1819" t="n">
        <v>0</v>
      </c>
      <c r="M1819" t="n">
        <v>0</v>
      </c>
      <c r="N1819" t="n">
        <v>0</v>
      </c>
      <c r="O1819" t="n">
        <v>0</v>
      </c>
      <c r="P1819" t="n">
        <v>0</v>
      </c>
      <c r="Q1819" t="n">
        <v>0</v>
      </c>
      <c r="R1819" s="2" t="inlineStr"/>
    </row>
    <row r="1820" ht="15" customHeight="1">
      <c r="A1820" t="inlineStr">
        <is>
          <t>A 3671-2022</t>
        </is>
      </c>
      <c r="B1820" s="1" t="n">
        <v>44586</v>
      </c>
      <c r="C1820" s="1" t="n">
        <v>45224</v>
      </c>
      <c r="D1820" t="inlineStr">
        <is>
          <t>STOCKHOLMS LÄN</t>
        </is>
      </c>
      <c r="E1820" t="inlineStr">
        <is>
          <t>BOTKYRKA</t>
        </is>
      </c>
      <c r="G1820" t="n">
        <v>0.8</v>
      </c>
      <c r="H1820" t="n">
        <v>0</v>
      </c>
      <c r="I1820" t="n">
        <v>0</v>
      </c>
      <c r="J1820" t="n">
        <v>0</v>
      </c>
      <c r="K1820" t="n">
        <v>0</v>
      </c>
      <c r="L1820" t="n">
        <v>0</v>
      </c>
      <c r="M1820" t="n">
        <v>0</v>
      </c>
      <c r="N1820" t="n">
        <v>0</v>
      </c>
      <c r="O1820" t="n">
        <v>0</v>
      </c>
      <c r="P1820" t="n">
        <v>0</v>
      </c>
      <c r="Q1820" t="n">
        <v>0</v>
      </c>
      <c r="R1820" s="2" t="inlineStr"/>
    </row>
    <row r="1821" ht="15" customHeight="1">
      <c r="A1821" t="inlineStr">
        <is>
          <t>A 3937-2022</t>
        </is>
      </c>
      <c r="B1821" s="1" t="n">
        <v>44587</v>
      </c>
      <c r="C1821" s="1" t="n">
        <v>45224</v>
      </c>
      <c r="D1821" t="inlineStr">
        <is>
          <t>STOCKHOLMS LÄN</t>
        </is>
      </c>
      <c r="E1821" t="inlineStr">
        <is>
          <t>VALLENTUNA</t>
        </is>
      </c>
      <c r="G1821" t="n">
        <v>6.6</v>
      </c>
      <c r="H1821" t="n">
        <v>0</v>
      </c>
      <c r="I1821" t="n">
        <v>0</v>
      </c>
      <c r="J1821" t="n">
        <v>0</v>
      </c>
      <c r="K1821" t="n">
        <v>0</v>
      </c>
      <c r="L1821" t="n">
        <v>0</v>
      </c>
      <c r="M1821" t="n">
        <v>0</v>
      </c>
      <c r="N1821" t="n">
        <v>0</v>
      </c>
      <c r="O1821" t="n">
        <v>0</v>
      </c>
      <c r="P1821" t="n">
        <v>0</v>
      </c>
      <c r="Q1821" t="n">
        <v>0</v>
      </c>
      <c r="R1821" s="2" t="inlineStr"/>
    </row>
    <row r="1822" ht="15" customHeight="1">
      <c r="A1822" t="inlineStr">
        <is>
          <t>A 3827-2022</t>
        </is>
      </c>
      <c r="B1822" s="1" t="n">
        <v>44587</v>
      </c>
      <c r="C1822" s="1" t="n">
        <v>45224</v>
      </c>
      <c r="D1822" t="inlineStr">
        <is>
          <t>STOCKHOLMS LÄN</t>
        </is>
      </c>
      <c r="E1822" t="inlineStr">
        <is>
          <t>VÄRMDÖ</t>
        </is>
      </c>
      <c r="G1822" t="n">
        <v>4.1</v>
      </c>
      <c r="H1822" t="n">
        <v>0</v>
      </c>
      <c r="I1822" t="n">
        <v>0</v>
      </c>
      <c r="J1822" t="n">
        <v>0</v>
      </c>
      <c r="K1822" t="n">
        <v>0</v>
      </c>
      <c r="L1822" t="n">
        <v>0</v>
      </c>
      <c r="M1822" t="n">
        <v>0</v>
      </c>
      <c r="N1822" t="n">
        <v>0</v>
      </c>
      <c r="O1822" t="n">
        <v>0</v>
      </c>
      <c r="P1822" t="n">
        <v>0</v>
      </c>
      <c r="Q1822" t="n">
        <v>0</v>
      </c>
      <c r="R1822" s="2" t="inlineStr"/>
    </row>
    <row r="1823" ht="15" customHeight="1">
      <c r="A1823" t="inlineStr">
        <is>
          <t>A 4860-2022</t>
        </is>
      </c>
      <c r="B1823" s="1" t="n">
        <v>44592</v>
      </c>
      <c r="C1823" s="1" t="n">
        <v>45224</v>
      </c>
      <c r="D1823" t="inlineStr">
        <is>
          <t>STOCKHOLMS LÄN</t>
        </is>
      </c>
      <c r="E1823" t="inlineStr">
        <is>
          <t>NORRTÄLJE</t>
        </is>
      </c>
      <c r="G1823" t="n">
        <v>22.3</v>
      </c>
      <c r="H1823" t="n">
        <v>0</v>
      </c>
      <c r="I1823" t="n">
        <v>0</v>
      </c>
      <c r="J1823" t="n">
        <v>0</v>
      </c>
      <c r="K1823" t="n">
        <v>0</v>
      </c>
      <c r="L1823" t="n">
        <v>0</v>
      </c>
      <c r="M1823" t="n">
        <v>0</v>
      </c>
      <c r="N1823" t="n">
        <v>0</v>
      </c>
      <c r="O1823" t="n">
        <v>0</v>
      </c>
      <c r="P1823" t="n">
        <v>0</v>
      </c>
      <c r="Q1823" t="n">
        <v>0</v>
      </c>
      <c r="R1823" s="2" t="inlineStr"/>
    </row>
    <row r="1824" ht="15" customHeight="1">
      <c r="A1824" t="inlineStr">
        <is>
          <t>A 5513-2022</t>
        </is>
      </c>
      <c r="B1824" s="1" t="n">
        <v>44595</v>
      </c>
      <c r="C1824" s="1" t="n">
        <v>45224</v>
      </c>
      <c r="D1824" t="inlineStr">
        <is>
          <t>STOCKHOLMS LÄN</t>
        </is>
      </c>
      <c r="E1824" t="inlineStr">
        <is>
          <t>NORRTÄLJE</t>
        </is>
      </c>
      <c r="G1824" t="n">
        <v>0.6</v>
      </c>
      <c r="H1824" t="n">
        <v>0</v>
      </c>
      <c r="I1824" t="n">
        <v>0</v>
      </c>
      <c r="J1824" t="n">
        <v>0</v>
      </c>
      <c r="K1824" t="n">
        <v>0</v>
      </c>
      <c r="L1824" t="n">
        <v>0</v>
      </c>
      <c r="M1824" t="n">
        <v>0</v>
      </c>
      <c r="N1824" t="n">
        <v>0</v>
      </c>
      <c r="O1824" t="n">
        <v>0</v>
      </c>
      <c r="P1824" t="n">
        <v>0</v>
      </c>
      <c r="Q1824" t="n">
        <v>0</v>
      </c>
      <c r="R1824" s="2" t="inlineStr"/>
    </row>
    <row r="1825" ht="15" customHeight="1">
      <c r="A1825" t="inlineStr">
        <is>
          <t>A 5611-2022</t>
        </is>
      </c>
      <c r="B1825" s="1" t="n">
        <v>44595</v>
      </c>
      <c r="C1825" s="1" t="n">
        <v>45224</v>
      </c>
      <c r="D1825" t="inlineStr">
        <is>
          <t>STOCKHOLMS LÄN</t>
        </is>
      </c>
      <c r="E1825" t="inlineStr">
        <is>
          <t>NORRTÄLJE</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5831-2022</t>
        </is>
      </c>
      <c r="B1826" s="1" t="n">
        <v>44596</v>
      </c>
      <c r="C1826" s="1" t="n">
        <v>45224</v>
      </c>
      <c r="D1826" t="inlineStr">
        <is>
          <t>STOCKHOLMS LÄN</t>
        </is>
      </c>
      <c r="E1826" t="inlineStr">
        <is>
          <t>NORRTÄLJE</t>
        </is>
      </c>
      <c r="G1826" t="n">
        <v>4.8</v>
      </c>
      <c r="H1826" t="n">
        <v>0</v>
      </c>
      <c r="I1826" t="n">
        <v>0</v>
      </c>
      <c r="J1826" t="n">
        <v>0</v>
      </c>
      <c r="K1826" t="n">
        <v>0</v>
      </c>
      <c r="L1826" t="n">
        <v>0</v>
      </c>
      <c r="M1826" t="n">
        <v>0</v>
      </c>
      <c r="N1826" t="n">
        <v>0</v>
      </c>
      <c r="O1826" t="n">
        <v>0</v>
      </c>
      <c r="P1826" t="n">
        <v>0</v>
      </c>
      <c r="Q1826" t="n">
        <v>0</v>
      </c>
      <c r="R1826" s="2" t="inlineStr"/>
    </row>
    <row r="1827" ht="15" customHeight="1">
      <c r="A1827" t="inlineStr">
        <is>
          <t>A 5910-2022</t>
        </is>
      </c>
      <c r="B1827" s="1" t="n">
        <v>44597</v>
      </c>
      <c r="C1827" s="1" t="n">
        <v>45224</v>
      </c>
      <c r="D1827" t="inlineStr">
        <is>
          <t>STOCKHOLMS LÄN</t>
        </is>
      </c>
      <c r="E1827" t="inlineStr">
        <is>
          <t>VALLENTUNA</t>
        </is>
      </c>
      <c r="G1827" t="n">
        <v>0.6</v>
      </c>
      <c r="H1827" t="n">
        <v>0</v>
      </c>
      <c r="I1827" t="n">
        <v>0</v>
      </c>
      <c r="J1827" t="n">
        <v>0</v>
      </c>
      <c r="K1827" t="n">
        <v>0</v>
      </c>
      <c r="L1827" t="n">
        <v>0</v>
      </c>
      <c r="M1827" t="n">
        <v>0</v>
      </c>
      <c r="N1827" t="n">
        <v>0</v>
      </c>
      <c r="O1827" t="n">
        <v>0</v>
      </c>
      <c r="P1827" t="n">
        <v>0</v>
      </c>
      <c r="Q1827" t="n">
        <v>0</v>
      </c>
      <c r="R1827" s="2" t="inlineStr"/>
    </row>
    <row r="1828" ht="15" customHeight="1">
      <c r="A1828" t="inlineStr">
        <is>
          <t>A 6015-2022</t>
        </is>
      </c>
      <c r="B1828" s="1" t="n">
        <v>44599</v>
      </c>
      <c r="C1828" s="1" t="n">
        <v>45224</v>
      </c>
      <c r="D1828" t="inlineStr">
        <is>
          <t>STOCKHOLMS LÄN</t>
        </is>
      </c>
      <c r="E1828" t="inlineStr">
        <is>
          <t>VAXHOLM</t>
        </is>
      </c>
      <c r="F1828" t="inlineStr">
        <is>
          <t>Övriga statliga verk och myndigheter</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6059-2022</t>
        </is>
      </c>
      <c r="B1829" s="1" t="n">
        <v>44599</v>
      </c>
      <c r="C1829" s="1" t="n">
        <v>45224</v>
      </c>
      <c r="D1829" t="inlineStr">
        <is>
          <t>STOCKHOLMS LÄN</t>
        </is>
      </c>
      <c r="E1829" t="inlineStr">
        <is>
          <t>BOTKYRKA</t>
        </is>
      </c>
      <c r="G1829" t="n">
        <v>1.1</v>
      </c>
      <c r="H1829" t="n">
        <v>0</v>
      </c>
      <c r="I1829" t="n">
        <v>0</v>
      </c>
      <c r="J1829" t="n">
        <v>0</v>
      </c>
      <c r="K1829" t="n">
        <v>0</v>
      </c>
      <c r="L1829" t="n">
        <v>0</v>
      </c>
      <c r="M1829" t="n">
        <v>0</v>
      </c>
      <c r="N1829" t="n">
        <v>0</v>
      </c>
      <c r="O1829" t="n">
        <v>0</v>
      </c>
      <c r="P1829" t="n">
        <v>0</v>
      </c>
      <c r="Q1829" t="n">
        <v>0</v>
      </c>
      <c r="R1829" s="2" t="inlineStr"/>
    </row>
    <row r="1830" ht="15" customHeight="1">
      <c r="A1830" t="inlineStr">
        <is>
          <t>A 6332-2022</t>
        </is>
      </c>
      <c r="B1830" s="1" t="n">
        <v>44600</v>
      </c>
      <c r="C1830" s="1" t="n">
        <v>45224</v>
      </c>
      <c r="D1830" t="inlineStr">
        <is>
          <t>STOCKHOLMS LÄN</t>
        </is>
      </c>
      <c r="E1830" t="inlineStr">
        <is>
          <t>NORRTÄLJE</t>
        </is>
      </c>
      <c r="G1830" t="n">
        <v>3.4</v>
      </c>
      <c r="H1830" t="n">
        <v>0</v>
      </c>
      <c r="I1830" t="n">
        <v>0</v>
      </c>
      <c r="J1830" t="n">
        <v>0</v>
      </c>
      <c r="K1830" t="n">
        <v>0</v>
      </c>
      <c r="L1830" t="n">
        <v>0</v>
      </c>
      <c r="M1830" t="n">
        <v>0</v>
      </c>
      <c r="N1830" t="n">
        <v>0</v>
      </c>
      <c r="O1830" t="n">
        <v>0</v>
      </c>
      <c r="P1830" t="n">
        <v>0</v>
      </c>
      <c r="Q1830" t="n">
        <v>0</v>
      </c>
      <c r="R1830" s="2" t="inlineStr"/>
    </row>
    <row r="1831" ht="15" customHeight="1">
      <c r="A1831" t="inlineStr">
        <is>
          <t>A 6295-2022</t>
        </is>
      </c>
      <c r="B1831" s="1" t="n">
        <v>44600</v>
      </c>
      <c r="C1831" s="1" t="n">
        <v>45224</v>
      </c>
      <c r="D1831" t="inlineStr">
        <is>
          <t>STOCKHOLMS LÄN</t>
        </is>
      </c>
      <c r="E1831" t="inlineStr">
        <is>
          <t>SÖDERTÄLJE</t>
        </is>
      </c>
      <c r="G1831" t="n">
        <v>11.4</v>
      </c>
      <c r="H1831" t="n">
        <v>0</v>
      </c>
      <c r="I1831" t="n">
        <v>0</v>
      </c>
      <c r="J1831" t="n">
        <v>0</v>
      </c>
      <c r="K1831" t="n">
        <v>0</v>
      </c>
      <c r="L1831" t="n">
        <v>0</v>
      </c>
      <c r="M1831" t="n">
        <v>0</v>
      </c>
      <c r="N1831" t="n">
        <v>0</v>
      </c>
      <c r="O1831" t="n">
        <v>0</v>
      </c>
      <c r="P1831" t="n">
        <v>0</v>
      </c>
      <c r="Q1831" t="n">
        <v>0</v>
      </c>
      <c r="R1831" s="2" t="inlineStr"/>
    </row>
    <row r="1832" ht="15" customHeight="1">
      <c r="A1832" t="inlineStr">
        <is>
          <t>A 6886-2022</t>
        </is>
      </c>
      <c r="B1832" s="1" t="n">
        <v>44602</v>
      </c>
      <c r="C1832" s="1" t="n">
        <v>45224</v>
      </c>
      <c r="D1832" t="inlineStr">
        <is>
          <t>STOCKHOLMS LÄN</t>
        </is>
      </c>
      <c r="E1832" t="inlineStr">
        <is>
          <t>SÖDERTÄLJE</t>
        </is>
      </c>
      <c r="G1832" t="n">
        <v>1.2</v>
      </c>
      <c r="H1832" t="n">
        <v>0</v>
      </c>
      <c r="I1832" t="n">
        <v>0</v>
      </c>
      <c r="J1832" t="n">
        <v>0</v>
      </c>
      <c r="K1832" t="n">
        <v>0</v>
      </c>
      <c r="L1832" t="n">
        <v>0</v>
      </c>
      <c r="M1832" t="n">
        <v>0</v>
      </c>
      <c r="N1832" t="n">
        <v>0</v>
      </c>
      <c r="O1832" t="n">
        <v>0</v>
      </c>
      <c r="P1832" t="n">
        <v>0</v>
      </c>
      <c r="Q1832" t="n">
        <v>0</v>
      </c>
      <c r="R1832" s="2" t="inlineStr"/>
    </row>
    <row r="1833" ht="15" customHeight="1">
      <c r="A1833" t="inlineStr">
        <is>
          <t>A 6740-2022</t>
        </is>
      </c>
      <c r="B1833" s="1" t="n">
        <v>44602</v>
      </c>
      <c r="C1833" s="1" t="n">
        <v>45224</v>
      </c>
      <c r="D1833" t="inlineStr">
        <is>
          <t>STOCKHOLMS LÄN</t>
        </is>
      </c>
      <c r="E1833" t="inlineStr">
        <is>
          <t>SÖDERTÄLJE</t>
        </is>
      </c>
      <c r="G1833" t="n">
        <v>7.1</v>
      </c>
      <c r="H1833" t="n">
        <v>0</v>
      </c>
      <c r="I1833" t="n">
        <v>0</v>
      </c>
      <c r="J1833" t="n">
        <v>0</v>
      </c>
      <c r="K1833" t="n">
        <v>0</v>
      </c>
      <c r="L1833" t="n">
        <v>0</v>
      </c>
      <c r="M1833" t="n">
        <v>0</v>
      </c>
      <c r="N1833" t="n">
        <v>0</v>
      </c>
      <c r="O1833" t="n">
        <v>0</v>
      </c>
      <c r="P1833" t="n">
        <v>0</v>
      </c>
      <c r="Q1833" t="n">
        <v>0</v>
      </c>
      <c r="R1833" s="2" t="inlineStr"/>
    </row>
    <row r="1834" ht="15" customHeight="1">
      <c r="A1834" t="inlineStr">
        <is>
          <t>A 6854-2022</t>
        </is>
      </c>
      <c r="B1834" s="1" t="n">
        <v>44602</v>
      </c>
      <c r="C1834" s="1" t="n">
        <v>45224</v>
      </c>
      <c r="D1834" t="inlineStr">
        <is>
          <t>STOCKHOLMS LÄN</t>
        </is>
      </c>
      <c r="E1834" t="inlineStr">
        <is>
          <t>NYKVARN</t>
        </is>
      </c>
      <c r="F1834" t="inlineStr">
        <is>
          <t>Kommuner</t>
        </is>
      </c>
      <c r="G1834" t="n">
        <v>2.8</v>
      </c>
      <c r="H1834" t="n">
        <v>0</v>
      </c>
      <c r="I1834" t="n">
        <v>0</v>
      </c>
      <c r="J1834" t="n">
        <v>0</v>
      </c>
      <c r="K1834" t="n">
        <v>0</v>
      </c>
      <c r="L1834" t="n">
        <v>0</v>
      </c>
      <c r="M1834" t="n">
        <v>0</v>
      </c>
      <c r="N1834" t="n">
        <v>0</v>
      </c>
      <c r="O1834" t="n">
        <v>0</v>
      </c>
      <c r="P1834" t="n">
        <v>0</v>
      </c>
      <c r="Q1834" t="n">
        <v>0</v>
      </c>
      <c r="R1834" s="2" t="inlineStr"/>
    </row>
    <row r="1835" ht="15" customHeight="1">
      <c r="A1835" t="inlineStr">
        <is>
          <t>A 6867-2022</t>
        </is>
      </c>
      <c r="B1835" s="1" t="n">
        <v>44602</v>
      </c>
      <c r="C1835" s="1" t="n">
        <v>45224</v>
      </c>
      <c r="D1835" t="inlineStr">
        <is>
          <t>STOCKHOLMS LÄN</t>
        </is>
      </c>
      <c r="E1835" t="inlineStr">
        <is>
          <t>NYKVARN</t>
        </is>
      </c>
      <c r="F1835" t="inlineStr">
        <is>
          <t>Kommuner</t>
        </is>
      </c>
      <c r="G1835" t="n">
        <v>8.4</v>
      </c>
      <c r="H1835" t="n">
        <v>0</v>
      </c>
      <c r="I1835" t="n">
        <v>0</v>
      </c>
      <c r="J1835" t="n">
        <v>0</v>
      </c>
      <c r="K1835" t="n">
        <v>0</v>
      </c>
      <c r="L1835" t="n">
        <v>0</v>
      </c>
      <c r="M1835" t="n">
        <v>0</v>
      </c>
      <c r="N1835" t="n">
        <v>0</v>
      </c>
      <c r="O1835" t="n">
        <v>0</v>
      </c>
      <c r="P1835" t="n">
        <v>0</v>
      </c>
      <c r="Q1835" t="n">
        <v>0</v>
      </c>
      <c r="R1835" s="2" t="inlineStr"/>
    </row>
    <row r="1836" ht="15" customHeight="1">
      <c r="A1836" t="inlineStr">
        <is>
          <t>A 6876-2022</t>
        </is>
      </c>
      <c r="B1836" s="1" t="n">
        <v>44602</v>
      </c>
      <c r="C1836" s="1" t="n">
        <v>45224</v>
      </c>
      <c r="D1836" t="inlineStr">
        <is>
          <t>STOCKHOLMS LÄN</t>
        </is>
      </c>
      <c r="E1836" t="inlineStr">
        <is>
          <t>NYKVARN</t>
        </is>
      </c>
      <c r="F1836" t="inlineStr">
        <is>
          <t>Kommuner</t>
        </is>
      </c>
      <c r="G1836" t="n">
        <v>5.1</v>
      </c>
      <c r="H1836" t="n">
        <v>0</v>
      </c>
      <c r="I1836" t="n">
        <v>0</v>
      </c>
      <c r="J1836" t="n">
        <v>0</v>
      </c>
      <c r="K1836" t="n">
        <v>0</v>
      </c>
      <c r="L1836" t="n">
        <v>0</v>
      </c>
      <c r="M1836" t="n">
        <v>0</v>
      </c>
      <c r="N1836" t="n">
        <v>0</v>
      </c>
      <c r="O1836" t="n">
        <v>0</v>
      </c>
      <c r="P1836" t="n">
        <v>0</v>
      </c>
      <c r="Q1836" t="n">
        <v>0</v>
      </c>
      <c r="R1836" s="2" t="inlineStr"/>
    </row>
    <row r="1837" ht="15" customHeight="1">
      <c r="A1837" t="inlineStr">
        <is>
          <t>A 6846-2022</t>
        </is>
      </c>
      <c r="B1837" s="1" t="n">
        <v>44602</v>
      </c>
      <c r="C1837" s="1" t="n">
        <v>45224</v>
      </c>
      <c r="D1837" t="inlineStr">
        <is>
          <t>STOCKHOLMS LÄN</t>
        </is>
      </c>
      <c r="E1837" t="inlineStr">
        <is>
          <t>NYNÄSHAMN</t>
        </is>
      </c>
      <c r="G1837" t="n">
        <v>9.4</v>
      </c>
      <c r="H1837" t="n">
        <v>0</v>
      </c>
      <c r="I1837" t="n">
        <v>0</v>
      </c>
      <c r="J1837" t="n">
        <v>0</v>
      </c>
      <c r="K1837" t="n">
        <v>0</v>
      </c>
      <c r="L1837" t="n">
        <v>0</v>
      </c>
      <c r="M1837" t="n">
        <v>0</v>
      </c>
      <c r="N1837" t="n">
        <v>0</v>
      </c>
      <c r="O1837" t="n">
        <v>0</v>
      </c>
      <c r="P1837" t="n">
        <v>0</v>
      </c>
      <c r="Q1837" t="n">
        <v>0</v>
      </c>
      <c r="R1837" s="2" t="inlineStr"/>
    </row>
    <row r="1838" ht="15" customHeight="1">
      <c r="A1838" t="inlineStr">
        <is>
          <t>A 6982-2022</t>
        </is>
      </c>
      <c r="B1838" s="1" t="n">
        <v>44603</v>
      </c>
      <c r="C1838" s="1" t="n">
        <v>45224</v>
      </c>
      <c r="D1838" t="inlineStr">
        <is>
          <t>STOCKHOLMS LÄN</t>
        </is>
      </c>
      <c r="E1838" t="inlineStr">
        <is>
          <t>UPPLANDS-BRO</t>
        </is>
      </c>
      <c r="G1838" t="n">
        <v>6.5</v>
      </c>
      <c r="H1838" t="n">
        <v>0</v>
      </c>
      <c r="I1838" t="n">
        <v>0</v>
      </c>
      <c r="J1838" t="n">
        <v>0</v>
      </c>
      <c r="K1838" t="n">
        <v>0</v>
      </c>
      <c r="L1838" t="n">
        <v>0</v>
      </c>
      <c r="M1838" t="n">
        <v>0</v>
      </c>
      <c r="N1838" t="n">
        <v>0</v>
      </c>
      <c r="O1838" t="n">
        <v>0</v>
      </c>
      <c r="P1838" t="n">
        <v>0</v>
      </c>
      <c r="Q1838" t="n">
        <v>0</v>
      </c>
      <c r="R1838" s="2" t="inlineStr"/>
    </row>
    <row r="1839" ht="15" customHeight="1">
      <c r="A1839" t="inlineStr">
        <is>
          <t>A 7085-2022</t>
        </is>
      </c>
      <c r="B1839" s="1" t="n">
        <v>44603</v>
      </c>
      <c r="C1839" s="1" t="n">
        <v>45224</v>
      </c>
      <c r="D1839" t="inlineStr">
        <is>
          <t>STOCKHOLMS LÄN</t>
        </is>
      </c>
      <c r="E1839" t="inlineStr">
        <is>
          <t>VALLENTUNA</t>
        </is>
      </c>
      <c r="G1839" t="n">
        <v>1.6</v>
      </c>
      <c r="H1839" t="n">
        <v>0</v>
      </c>
      <c r="I1839" t="n">
        <v>0</v>
      </c>
      <c r="J1839" t="n">
        <v>0</v>
      </c>
      <c r="K1839" t="n">
        <v>0</v>
      </c>
      <c r="L1839" t="n">
        <v>0</v>
      </c>
      <c r="M1839" t="n">
        <v>0</v>
      </c>
      <c r="N1839" t="n">
        <v>0</v>
      </c>
      <c r="O1839" t="n">
        <v>0</v>
      </c>
      <c r="P1839" t="n">
        <v>0</v>
      </c>
      <c r="Q1839" t="n">
        <v>0</v>
      </c>
      <c r="R1839" s="2" t="inlineStr"/>
    </row>
    <row r="1840" ht="15" customHeight="1">
      <c r="A1840" t="inlineStr">
        <is>
          <t>A 7073-2022</t>
        </is>
      </c>
      <c r="B1840" s="1" t="n">
        <v>44603</v>
      </c>
      <c r="C1840" s="1" t="n">
        <v>45224</v>
      </c>
      <c r="D1840" t="inlineStr">
        <is>
          <t>STOCKHOLMS LÄN</t>
        </is>
      </c>
      <c r="E1840" t="inlineStr">
        <is>
          <t>VALLENTUNA</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7275-2022</t>
        </is>
      </c>
      <c r="B1841" s="1" t="n">
        <v>44606</v>
      </c>
      <c r="C1841" s="1" t="n">
        <v>45224</v>
      </c>
      <c r="D1841" t="inlineStr">
        <is>
          <t>STOCKHOLMS LÄN</t>
        </is>
      </c>
      <c r="E1841" t="inlineStr">
        <is>
          <t>UPPLANDS-BRO</t>
        </is>
      </c>
      <c r="F1841" t="inlineStr">
        <is>
          <t>Övriga statliga verk och myndigheter</t>
        </is>
      </c>
      <c r="G1841" t="n">
        <v>9.6</v>
      </c>
      <c r="H1841" t="n">
        <v>0</v>
      </c>
      <c r="I1841" t="n">
        <v>0</v>
      </c>
      <c r="J1841" t="n">
        <v>0</v>
      </c>
      <c r="K1841" t="n">
        <v>0</v>
      </c>
      <c r="L1841" t="n">
        <v>0</v>
      </c>
      <c r="M1841" t="n">
        <v>0</v>
      </c>
      <c r="N1841" t="n">
        <v>0</v>
      </c>
      <c r="O1841" t="n">
        <v>0</v>
      </c>
      <c r="P1841" t="n">
        <v>0</v>
      </c>
      <c r="Q1841" t="n">
        <v>0</v>
      </c>
      <c r="R1841" s="2" t="inlineStr"/>
    </row>
    <row r="1842" ht="15" customHeight="1">
      <c r="A1842" t="inlineStr">
        <is>
          <t>A 7280-2022</t>
        </is>
      </c>
      <c r="B1842" s="1" t="n">
        <v>44606</v>
      </c>
      <c r="C1842" s="1" t="n">
        <v>45224</v>
      </c>
      <c r="D1842" t="inlineStr">
        <is>
          <t>STOCKHOLMS LÄN</t>
        </is>
      </c>
      <c r="E1842" t="inlineStr">
        <is>
          <t>SIGTUNA</t>
        </is>
      </c>
      <c r="F1842" t="inlineStr">
        <is>
          <t>Övriga statliga verk och myndigheter</t>
        </is>
      </c>
      <c r="G1842" t="n">
        <v>3.4</v>
      </c>
      <c r="H1842" t="n">
        <v>0</v>
      </c>
      <c r="I1842" t="n">
        <v>0</v>
      </c>
      <c r="J1842" t="n">
        <v>0</v>
      </c>
      <c r="K1842" t="n">
        <v>0</v>
      </c>
      <c r="L1842" t="n">
        <v>0</v>
      </c>
      <c r="M1842" t="n">
        <v>0</v>
      </c>
      <c r="N1842" t="n">
        <v>0</v>
      </c>
      <c r="O1842" t="n">
        <v>0</v>
      </c>
      <c r="P1842" t="n">
        <v>0</v>
      </c>
      <c r="Q1842" t="n">
        <v>0</v>
      </c>
      <c r="R1842" s="2" t="inlineStr"/>
    </row>
    <row r="1843" ht="15" customHeight="1">
      <c r="A1843" t="inlineStr">
        <is>
          <t>A 7264-2022</t>
        </is>
      </c>
      <c r="B1843" s="1" t="n">
        <v>44606</v>
      </c>
      <c r="C1843" s="1" t="n">
        <v>45224</v>
      </c>
      <c r="D1843" t="inlineStr">
        <is>
          <t>STOCKHOLMS LÄN</t>
        </is>
      </c>
      <c r="E1843" t="inlineStr">
        <is>
          <t>VALLENTUNA</t>
        </is>
      </c>
      <c r="G1843" t="n">
        <v>2.4</v>
      </c>
      <c r="H1843" t="n">
        <v>0</v>
      </c>
      <c r="I1843" t="n">
        <v>0</v>
      </c>
      <c r="J1843" t="n">
        <v>0</v>
      </c>
      <c r="K1843" t="n">
        <v>0</v>
      </c>
      <c r="L1843" t="n">
        <v>0</v>
      </c>
      <c r="M1843" t="n">
        <v>0</v>
      </c>
      <c r="N1843" t="n">
        <v>0</v>
      </c>
      <c r="O1843" t="n">
        <v>0</v>
      </c>
      <c r="P1843" t="n">
        <v>0</v>
      </c>
      <c r="Q1843" t="n">
        <v>0</v>
      </c>
      <c r="R1843" s="2" t="inlineStr"/>
    </row>
    <row r="1844" ht="15" customHeight="1">
      <c r="A1844" t="inlineStr">
        <is>
          <t>A 7276-2022</t>
        </is>
      </c>
      <c r="B1844" s="1" t="n">
        <v>44606</v>
      </c>
      <c r="C1844" s="1" t="n">
        <v>45224</v>
      </c>
      <c r="D1844" t="inlineStr">
        <is>
          <t>STOCKHOLMS LÄN</t>
        </is>
      </c>
      <c r="E1844" t="inlineStr">
        <is>
          <t>VALLENTUNA</t>
        </is>
      </c>
      <c r="G1844" t="n">
        <v>1.7</v>
      </c>
      <c r="H1844" t="n">
        <v>0</v>
      </c>
      <c r="I1844" t="n">
        <v>0</v>
      </c>
      <c r="J1844" t="n">
        <v>0</v>
      </c>
      <c r="K1844" t="n">
        <v>0</v>
      </c>
      <c r="L1844" t="n">
        <v>0</v>
      </c>
      <c r="M1844" t="n">
        <v>0</v>
      </c>
      <c r="N1844" t="n">
        <v>0</v>
      </c>
      <c r="O1844" t="n">
        <v>0</v>
      </c>
      <c r="P1844" t="n">
        <v>0</v>
      </c>
      <c r="Q1844" t="n">
        <v>0</v>
      </c>
      <c r="R1844" s="2" t="inlineStr"/>
    </row>
    <row r="1845" ht="15" customHeight="1">
      <c r="A1845" t="inlineStr">
        <is>
          <t>A 7565-2022</t>
        </is>
      </c>
      <c r="B1845" s="1" t="n">
        <v>44607</v>
      </c>
      <c r="C1845" s="1" t="n">
        <v>45224</v>
      </c>
      <c r="D1845" t="inlineStr">
        <is>
          <t>STOCKHOLMS LÄN</t>
        </is>
      </c>
      <c r="E1845" t="inlineStr">
        <is>
          <t>NORRTÄLJE</t>
        </is>
      </c>
      <c r="G1845" t="n">
        <v>0.9</v>
      </c>
      <c r="H1845" t="n">
        <v>0</v>
      </c>
      <c r="I1845" t="n">
        <v>0</v>
      </c>
      <c r="J1845" t="n">
        <v>0</v>
      </c>
      <c r="K1845" t="n">
        <v>0</v>
      </c>
      <c r="L1845" t="n">
        <v>0</v>
      </c>
      <c r="M1845" t="n">
        <v>0</v>
      </c>
      <c r="N1845" t="n">
        <v>0</v>
      </c>
      <c r="O1845" t="n">
        <v>0</v>
      </c>
      <c r="P1845" t="n">
        <v>0</v>
      </c>
      <c r="Q1845" t="n">
        <v>0</v>
      </c>
      <c r="R1845" s="2" t="inlineStr"/>
    </row>
    <row r="1846" ht="15" customHeight="1">
      <c r="A1846" t="inlineStr">
        <is>
          <t>A 7834-2022</t>
        </is>
      </c>
      <c r="B1846" s="1" t="n">
        <v>44608</v>
      </c>
      <c r="C1846" s="1" t="n">
        <v>45224</v>
      </c>
      <c r="D1846" t="inlineStr">
        <is>
          <t>STOCKHOLMS LÄN</t>
        </is>
      </c>
      <c r="E1846" t="inlineStr">
        <is>
          <t>ÖSTERÅKER</t>
        </is>
      </c>
      <c r="G1846" t="n">
        <v>2</v>
      </c>
      <c r="H1846" t="n">
        <v>0</v>
      </c>
      <c r="I1846" t="n">
        <v>0</v>
      </c>
      <c r="J1846" t="n">
        <v>0</v>
      </c>
      <c r="K1846" t="n">
        <v>0</v>
      </c>
      <c r="L1846" t="n">
        <v>0</v>
      </c>
      <c r="M1846" t="n">
        <v>0</v>
      </c>
      <c r="N1846" t="n">
        <v>0</v>
      </c>
      <c r="O1846" t="n">
        <v>0</v>
      </c>
      <c r="P1846" t="n">
        <v>0</v>
      </c>
      <c r="Q1846" t="n">
        <v>0</v>
      </c>
      <c r="R1846" s="2" t="inlineStr"/>
    </row>
    <row r="1847" ht="15" customHeight="1">
      <c r="A1847" t="inlineStr">
        <is>
          <t>A 8024-2022</t>
        </is>
      </c>
      <c r="B1847" s="1" t="n">
        <v>44609</v>
      </c>
      <c r="C1847" s="1" t="n">
        <v>45224</v>
      </c>
      <c r="D1847" t="inlineStr">
        <is>
          <t>STOCKHOLMS LÄN</t>
        </is>
      </c>
      <c r="E1847" t="inlineStr">
        <is>
          <t>NORRTÄLJE</t>
        </is>
      </c>
      <c r="F1847" t="inlineStr">
        <is>
          <t>Kyrkan</t>
        </is>
      </c>
      <c r="G1847" t="n">
        <v>28.2</v>
      </c>
      <c r="H1847" t="n">
        <v>0</v>
      </c>
      <c r="I1847" t="n">
        <v>0</v>
      </c>
      <c r="J1847" t="n">
        <v>0</v>
      </c>
      <c r="K1847" t="n">
        <v>0</v>
      </c>
      <c r="L1847" t="n">
        <v>0</v>
      </c>
      <c r="M1847" t="n">
        <v>0</v>
      </c>
      <c r="N1847" t="n">
        <v>0</v>
      </c>
      <c r="O1847" t="n">
        <v>0</v>
      </c>
      <c r="P1847" t="n">
        <v>0</v>
      </c>
      <c r="Q1847" t="n">
        <v>0</v>
      </c>
      <c r="R1847" s="2" t="inlineStr"/>
    </row>
    <row r="1848" ht="15" customHeight="1">
      <c r="A1848" t="inlineStr">
        <is>
          <t>A 8065-2022</t>
        </is>
      </c>
      <c r="B1848" s="1" t="n">
        <v>44609</v>
      </c>
      <c r="C1848" s="1" t="n">
        <v>45224</v>
      </c>
      <c r="D1848" t="inlineStr">
        <is>
          <t>STOCKHOLMS LÄN</t>
        </is>
      </c>
      <c r="E1848" t="inlineStr">
        <is>
          <t>VALLENTUNA</t>
        </is>
      </c>
      <c r="G1848" t="n">
        <v>3.8</v>
      </c>
      <c r="H1848" t="n">
        <v>0</v>
      </c>
      <c r="I1848" t="n">
        <v>0</v>
      </c>
      <c r="J1848" t="n">
        <v>0</v>
      </c>
      <c r="K1848" t="n">
        <v>0</v>
      </c>
      <c r="L1848" t="n">
        <v>0</v>
      </c>
      <c r="M1848" t="n">
        <v>0</v>
      </c>
      <c r="N1848" t="n">
        <v>0</v>
      </c>
      <c r="O1848" t="n">
        <v>0</v>
      </c>
      <c r="P1848" t="n">
        <v>0</v>
      </c>
      <c r="Q1848" t="n">
        <v>0</v>
      </c>
      <c r="R1848" s="2" t="inlineStr"/>
    </row>
    <row r="1849" ht="15" customHeight="1">
      <c r="A1849" t="inlineStr">
        <is>
          <t>A 8077-2022</t>
        </is>
      </c>
      <c r="B1849" s="1" t="n">
        <v>44609</v>
      </c>
      <c r="C1849" s="1" t="n">
        <v>45224</v>
      </c>
      <c r="D1849" t="inlineStr">
        <is>
          <t>STOCKHOLMS LÄN</t>
        </is>
      </c>
      <c r="E1849" t="inlineStr">
        <is>
          <t>VALLENTUNA</t>
        </is>
      </c>
      <c r="G1849" t="n">
        <v>1.3</v>
      </c>
      <c r="H1849" t="n">
        <v>0</v>
      </c>
      <c r="I1849" t="n">
        <v>0</v>
      </c>
      <c r="J1849" t="n">
        <v>0</v>
      </c>
      <c r="K1849" t="n">
        <v>0</v>
      </c>
      <c r="L1849" t="n">
        <v>0</v>
      </c>
      <c r="M1849" t="n">
        <v>0</v>
      </c>
      <c r="N1849" t="n">
        <v>0</v>
      </c>
      <c r="O1849" t="n">
        <v>0</v>
      </c>
      <c r="P1849" t="n">
        <v>0</v>
      </c>
      <c r="Q1849" t="n">
        <v>0</v>
      </c>
      <c r="R1849" s="2" t="inlineStr"/>
    </row>
    <row r="1850" ht="15" customHeight="1">
      <c r="A1850" t="inlineStr">
        <is>
          <t>A 8160-2022</t>
        </is>
      </c>
      <c r="B1850" s="1" t="n">
        <v>44609</v>
      </c>
      <c r="C1850" s="1" t="n">
        <v>45224</v>
      </c>
      <c r="D1850" t="inlineStr">
        <is>
          <t>STOCKHOLMS LÄN</t>
        </is>
      </c>
      <c r="E1850" t="inlineStr">
        <is>
          <t>NORRTÄLJE</t>
        </is>
      </c>
      <c r="G1850" t="n">
        <v>3.9</v>
      </c>
      <c r="H1850" t="n">
        <v>0</v>
      </c>
      <c r="I1850" t="n">
        <v>0</v>
      </c>
      <c r="J1850" t="n">
        <v>0</v>
      </c>
      <c r="K1850" t="n">
        <v>0</v>
      </c>
      <c r="L1850" t="n">
        <v>0</v>
      </c>
      <c r="M1850" t="n">
        <v>0</v>
      </c>
      <c r="N1850" t="n">
        <v>0</v>
      </c>
      <c r="O1850" t="n">
        <v>0</v>
      </c>
      <c r="P1850" t="n">
        <v>0</v>
      </c>
      <c r="Q1850" t="n">
        <v>0</v>
      </c>
      <c r="R1850" s="2" t="inlineStr"/>
    </row>
    <row r="1851" ht="15" customHeight="1">
      <c r="A1851" t="inlineStr">
        <is>
          <t>A 8261-2022</t>
        </is>
      </c>
      <c r="B1851" s="1" t="n">
        <v>44609</v>
      </c>
      <c r="C1851" s="1" t="n">
        <v>45224</v>
      </c>
      <c r="D1851" t="inlineStr">
        <is>
          <t>STOCKHOLMS LÄN</t>
        </is>
      </c>
      <c r="E1851" t="inlineStr">
        <is>
          <t>UPPLANDS-BRO</t>
        </is>
      </c>
      <c r="G1851" t="n">
        <v>0.8</v>
      </c>
      <c r="H1851" t="n">
        <v>0</v>
      </c>
      <c r="I1851" t="n">
        <v>0</v>
      </c>
      <c r="J1851" t="n">
        <v>0</v>
      </c>
      <c r="K1851" t="n">
        <v>0</v>
      </c>
      <c r="L1851" t="n">
        <v>0</v>
      </c>
      <c r="M1851" t="n">
        <v>0</v>
      </c>
      <c r="N1851" t="n">
        <v>0</v>
      </c>
      <c r="O1851" t="n">
        <v>0</v>
      </c>
      <c r="P1851" t="n">
        <v>0</v>
      </c>
      <c r="Q1851" t="n">
        <v>0</v>
      </c>
      <c r="R1851" s="2" t="inlineStr"/>
    </row>
    <row r="1852" ht="15" customHeight="1">
      <c r="A1852" t="inlineStr">
        <is>
          <t>A 8295-2022</t>
        </is>
      </c>
      <c r="B1852" s="1" t="n">
        <v>44610</v>
      </c>
      <c r="C1852" s="1" t="n">
        <v>45224</v>
      </c>
      <c r="D1852" t="inlineStr">
        <is>
          <t>STOCKHOLMS LÄN</t>
        </is>
      </c>
      <c r="E1852" t="inlineStr">
        <is>
          <t>NYKVARN</t>
        </is>
      </c>
      <c r="G1852" t="n">
        <v>4.5</v>
      </c>
      <c r="H1852" t="n">
        <v>0</v>
      </c>
      <c r="I1852" t="n">
        <v>0</v>
      </c>
      <c r="J1852" t="n">
        <v>0</v>
      </c>
      <c r="K1852" t="n">
        <v>0</v>
      </c>
      <c r="L1852" t="n">
        <v>0</v>
      </c>
      <c r="M1852" t="n">
        <v>0</v>
      </c>
      <c r="N1852" t="n">
        <v>0</v>
      </c>
      <c r="O1852" t="n">
        <v>0</v>
      </c>
      <c r="P1852" t="n">
        <v>0</v>
      </c>
      <c r="Q1852" t="n">
        <v>0</v>
      </c>
      <c r="R1852" s="2" t="inlineStr"/>
    </row>
    <row r="1853" ht="15" customHeight="1">
      <c r="A1853" t="inlineStr">
        <is>
          <t>A 8433-2022</t>
        </is>
      </c>
      <c r="B1853" s="1" t="n">
        <v>44611</v>
      </c>
      <c r="C1853" s="1" t="n">
        <v>45224</v>
      </c>
      <c r="D1853" t="inlineStr">
        <is>
          <t>STOCKHOLMS LÄN</t>
        </is>
      </c>
      <c r="E1853" t="inlineStr">
        <is>
          <t>NORRTÄLJE</t>
        </is>
      </c>
      <c r="G1853" t="n">
        <v>0.9</v>
      </c>
      <c r="H1853" t="n">
        <v>0</v>
      </c>
      <c r="I1853" t="n">
        <v>0</v>
      </c>
      <c r="J1853" t="n">
        <v>0</v>
      </c>
      <c r="K1853" t="n">
        <v>0</v>
      </c>
      <c r="L1853" t="n">
        <v>0</v>
      </c>
      <c r="M1853" t="n">
        <v>0</v>
      </c>
      <c r="N1853" t="n">
        <v>0</v>
      </c>
      <c r="O1853" t="n">
        <v>0</v>
      </c>
      <c r="P1853" t="n">
        <v>0</v>
      </c>
      <c r="Q1853" t="n">
        <v>0</v>
      </c>
      <c r="R1853" s="2" t="inlineStr"/>
    </row>
    <row r="1854" ht="15" customHeight="1">
      <c r="A1854" t="inlineStr">
        <is>
          <t>A 8644-2022</t>
        </is>
      </c>
      <c r="B1854" s="1" t="n">
        <v>44613</v>
      </c>
      <c r="C1854" s="1" t="n">
        <v>45224</v>
      </c>
      <c r="D1854" t="inlineStr">
        <is>
          <t>STOCKHOLMS LÄN</t>
        </is>
      </c>
      <c r="E1854" t="inlineStr">
        <is>
          <t>NORRTÄLJE</t>
        </is>
      </c>
      <c r="G1854" t="n">
        <v>5.7</v>
      </c>
      <c r="H1854" t="n">
        <v>0</v>
      </c>
      <c r="I1854" t="n">
        <v>0</v>
      </c>
      <c r="J1854" t="n">
        <v>0</v>
      </c>
      <c r="K1854" t="n">
        <v>0</v>
      </c>
      <c r="L1854" t="n">
        <v>0</v>
      </c>
      <c r="M1854" t="n">
        <v>0</v>
      </c>
      <c r="N1854" t="n">
        <v>0</v>
      </c>
      <c r="O1854" t="n">
        <v>0</v>
      </c>
      <c r="P1854" t="n">
        <v>0</v>
      </c>
      <c r="Q1854" t="n">
        <v>0</v>
      </c>
      <c r="R1854" s="2" t="inlineStr"/>
    </row>
    <row r="1855" ht="15" customHeight="1">
      <c r="A1855" t="inlineStr">
        <is>
          <t>A 8725-2022</t>
        </is>
      </c>
      <c r="B1855" s="1" t="n">
        <v>44613</v>
      </c>
      <c r="C1855" s="1" t="n">
        <v>45224</v>
      </c>
      <c r="D1855" t="inlineStr">
        <is>
          <t>STOCKHOLMS LÄN</t>
        </is>
      </c>
      <c r="E1855" t="inlineStr">
        <is>
          <t>NORRTÄLJE</t>
        </is>
      </c>
      <c r="G1855" t="n">
        <v>7.1</v>
      </c>
      <c r="H1855" t="n">
        <v>0</v>
      </c>
      <c r="I1855" t="n">
        <v>0</v>
      </c>
      <c r="J1855" t="n">
        <v>0</v>
      </c>
      <c r="K1855" t="n">
        <v>0</v>
      </c>
      <c r="L1855" t="n">
        <v>0</v>
      </c>
      <c r="M1855" t="n">
        <v>0</v>
      </c>
      <c r="N1855" t="n">
        <v>0</v>
      </c>
      <c r="O1855" t="n">
        <v>0</v>
      </c>
      <c r="P1855" t="n">
        <v>0</v>
      </c>
      <c r="Q1855" t="n">
        <v>0</v>
      </c>
      <c r="R1855" s="2" t="inlineStr"/>
    </row>
    <row r="1856" ht="15" customHeight="1">
      <c r="A1856" t="inlineStr">
        <is>
          <t>A 8746-2022</t>
        </is>
      </c>
      <c r="B1856" s="1" t="n">
        <v>44613</v>
      </c>
      <c r="C1856" s="1" t="n">
        <v>45224</v>
      </c>
      <c r="D1856" t="inlineStr">
        <is>
          <t>STOCKHOLMS LÄN</t>
        </is>
      </c>
      <c r="E1856" t="inlineStr">
        <is>
          <t>UPPLANDS VÄSBY</t>
        </is>
      </c>
      <c r="G1856" t="n">
        <v>4.4</v>
      </c>
      <c r="H1856" t="n">
        <v>0</v>
      </c>
      <c r="I1856" t="n">
        <v>0</v>
      </c>
      <c r="J1856" t="n">
        <v>0</v>
      </c>
      <c r="K1856" t="n">
        <v>0</v>
      </c>
      <c r="L1856" t="n">
        <v>0</v>
      </c>
      <c r="M1856" t="n">
        <v>0</v>
      </c>
      <c r="N1856" t="n">
        <v>0</v>
      </c>
      <c r="O1856" t="n">
        <v>0</v>
      </c>
      <c r="P1856" t="n">
        <v>0</v>
      </c>
      <c r="Q1856" t="n">
        <v>0</v>
      </c>
      <c r="R1856" s="2" t="inlineStr"/>
    </row>
    <row r="1857" ht="15" customHeight="1">
      <c r="A1857" t="inlineStr">
        <is>
          <t>A 8748-2022</t>
        </is>
      </c>
      <c r="B1857" s="1" t="n">
        <v>44613</v>
      </c>
      <c r="C1857" s="1" t="n">
        <v>45224</v>
      </c>
      <c r="D1857" t="inlineStr">
        <is>
          <t>STOCKHOLMS LÄN</t>
        </is>
      </c>
      <c r="E1857" t="inlineStr">
        <is>
          <t>UPPLANDS VÄSBY</t>
        </is>
      </c>
      <c r="G1857" t="n">
        <v>1</v>
      </c>
      <c r="H1857" t="n">
        <v>0</v>
      </c>
      <c r="I1857" t="n">
        <v>0</v>
      </c>
      <c r="J1857" t="n">
        <v>0</v>
      </c>
      <c r="K1857" t="n">
        <v>0</v>
      </c>
      <c r="L1857" t="n">
        <v>0</v>
      </c>
      <c r="M1857" t="n">
        <v>0</v>
      </c>
      <c r="N1857" t="n">
        <v>0</v>
      </c>
      <c r="O1857" t="n">
        <v>0</v>
      </c>
      <c r="P1857" t="n">
        <v>0</v>
      </c>
      <c r="Q1857" t="n">
        <v>0</v>
      </c>
      <c r="R1857" s="2" t="inlineStr"/>
    </row>
    <row r="1858" ht="15" customHeight="1">
      <c r="A1858" t="inlineStr">
        <is>
          <t>A 9019-2022</t>
        </is>
      </c>
      <c r="B1858" s="1" t="n">
        <v>44615</v>
      </c>
      <c r="C1858" s="1" t="n">
        <v>45224</v>
      </c>
      <c r="D1858" t="inlineStr">
        <is>
          <t>STOCKHOLMS LÄN</t>
        </is>
      </c>
      <c r="E1858" t="inlineStr">
        <is>
          <t>VÄRMDÖ</t>
        </is>
      </c>
      <c r="G1858" t="n">
        <v>1.5</v>
      </c>
      <c r="H1858" t="n">
        <v>0</v>
      </c>
      <c r="I1858" t="n">
        <v>0</v>
      </c>
      <c r="J1858" t="n">
        <v>0</v>
      </c>
      <c r="K1858" t="n">
        <v>0</v>
      </c>
      <c r="L1858" t="n">
        <v>0</v>
      </c>
      <c r="M1858" t="n">
        <v>0</v>
      </c>
      <c r="N1858" t="n">
        <v>0</v>
      </c>
      <c r="O1858" t="n">
        <v>0</v>
      </c>
      <c r="P1858" t="n">
        <v>0</v>
      </c>
      <c r="Q1858" t="n">
        <v>0</v>
      </c>
      <c r="R1858" s="2" t="inlineStr"/>
    </row>
    <row r="1859" ht="15" customHeight="1">
      <c r="A1859" t="inlineStr">
        <is>
          <t>A 9442-2022</t>
        </is>
      </c>
      <c r="B1859" s="1" t="n">
        <v>44616</v>
      </c>
      <c r="C1859" s="1" t="n">
        <v>45224</v>
      </c>
      <c r="D1859" t="inlineStr">
        <is>
          <t>STOCKHOLMS LÄN</t>
        </is>
      </c>
      <c r="E1859" t="inlineStr">
        <is>
          <t>VALLENTUNA</t>
        </is>
      </c>
      <c r="G1859" t="n">
        <v>3</v>
      </c>
      <c r="H1859" t="n">
        <v>0</v>
      </c>
      <c r="I1859" t="n">
        <v>0</v>
      </c>
      <c r="J1859" t="n">
        <v>0</v>
      </c>
      <c r="K1859" t="n">
        <v>0</v>
      </c>
      <c r="L1859" t="n">
        <v>0</v>
      </c>
      <c r="M1859" t="n">
        <v>0</v>
      </c>
      <c r="N1859" t="n">
        <v>0</v>
      </c>
      <c r="O1859" t="n">
        <v>0</v>
      </c>
      <c r="P1859" t="n">
        <v>0</v>
      </c>
      <c r="Q1859" t="n">
        <v>0</v>
      </c>
      <c r="R1859" s="2" t="inlineStr"/>
    </row>
    <row r="1860" ht="15" customHeight="1">
      <c r="A1860" t="inlineStr">
        <is>
          <t>A 9408-2022</t>
        </is>
      </c>
      <c r="B1860" s="1" t="n">
        <v>44616</v>
      </c>
      <c r="C1860" s="1" t="n">
        <v>45224</v>
      </c>
      <c r="D1860" t="inlineStr">
        <is>
          <t>STOCKHOLMS LÄN</t>
        </is>
      </c>
      <c r="E1860" t="inlineStr">
        <is>
          <t>NYKVARN</t>
        </is>
      </c>
      <c r="G1860" t="n">
        <v>4.7</v>
      </c>
      <c r="H1860" t="n">
        <v>0</v>
      </c>
      <c r="I1860" t="n">
        <v>0</v>
      </c>
      <c r="J1860" t="n">
        <v>0</v>
      </c>
      <c r="K1860" t="n">
        <v>0</v>
      </c>
      <c r="L1860" t="n">
        <v>0</v>
      </c>
      <c r="M1860" t="n">
        <v>0</v>
      </c>
      <c r="N1860" t="n">
        <v>0</v>
      </c>
      <c r="O1860" t="n">
        <v>0</v>
      </c>
      <c r="P1860" t="n">
        <v>0</v>
      </c>
      <c r="Q1860" t="n">
        <v>0</v>
      </c>
      <c r="R1860" s="2" t="inlineStr"/>
    </row>
    <row r="1861" ht="15" customHeight="1">
      <c r="A1861" t="inlineStr">
        <is>
          <t>A 9654-2022</t>
        </is>
      </c>
      <c r="B1861" s="1" t="n">
        <v>44617</v>
      </c>
      <c r="C1861" s="1" t="n">
        <v>45224</v>
      </c>
      <c r="D1861" t="inlineStr">
        <is>
          <t>STOCKHOLMS LÄN</t>
        </is>
      </c>
      <c r="E1861" t="inlineStr">
        <is>
          <t>NORRTÄLJE</t>
        </is>
      </c>
      <c r="G1861" t="n">
        <v>6.4</v>
      </c>
      <c r="H1861" t="n">
        <v>0</v>
      </c>
      <c r="I1861" t="n">
        <v>0</v>
      </c>
      <c r="J1861" t="n">
        <v>0</v>
      </c>
      <c r="K1861" t="n">
        <v>0</v>
      </c>
      <c r="L1861" t="n">
        <v>0</v>
      </c>
      <c r="M1861" t="n">
        <v>0</v>
      </c>
      <c r="N1861" t="n">
        <v>0</v>
      </c>
      <c r="O1861" t="n">
        <v>0</v>
      </c>
      <c r="P1861" t="n">
        <v>0</v>
      </c>
      <c r="Q1861" t="n">
        <v>0</v>
      </c>
      <c r="R1861" s="2" t="inlineStr"/>
    </row>
    <row r="1862" ht="15" customHeight="1">
      <c r="A1862" t="inlineStr">
        <is>
          <t>A 9748-2022</t>
        </is>
      </c>
      <c r="B1862" s="1" t="n">
        <v>44618</v>
      </c>
      <c r="C1862" s="1" t="n">
        <v>45224</v>
      </c>
      <c r="D1862" t="inlineStr">
        <is>
          <t>STOCKHOLMS LÄN</t>
        </is>
      </c>
      <c r="E1862" t="inlineStr">
        <is>
          <t>VALLENTUNA</t>
        </is>
      </c>
      <c r="G1862" t="n">
        <v>11.6</v>
      </c>
      <c r="H1862" t="n">
        <v>0</v>
      </c>
      <c r="I1862" t="n">
        <v>0</v>
      </c>
      <c r="J1862" t="n">
        <v>0</v>
      </c>
      <c r="K1862" t="n">
        <v>0</v>
      </c>
      <c r="L1862" t="n">
        <v>0</v>
      </c>
      <c r="M1862" t="n">
        <v>0</v>
      </c>
      <c r="N1862" t="n">
        <v>0</v>
      </c>
      <c r="O1862" t="n">
        <v>0</v>
      </c>
      <c r="P1862" t="n">
        <v>0</v>
      </c>
      <c r="Q1862" t="n">
        <v>0</v>
      </c>
      <c r="R1862" s="2" t="inlineStr"/>
    </row>
    <row r="1863" ht="15" customHeight="1">
      <c r="A1863" t="inlineStr">
        <is>
          <t>A 9745-2022</t>
        </is>
      </c>
      <c r="B1863" s="1" t="n">
        <v>44618</v>
      </c>
      <c r="C1863" s="1" t="n">
        <v>45224</v>
      </c>
      <c r="D1863" t="inlineStr">
        <is>
          <t>STOCKHOLMS LÄN</t>
        </is>
      </c>
      <c r="E1863" t="inlineStr">
        <is>
          <t>VALLENTUNA</t>
        </is>
      </c>
      <c r="G1863" t="n">
        <v>5.9</v>
      </c>
      <c r="H1863" t="n">
        <v>0</v>
      </c>
      <c r="I1863" t="n">
        <v>0</v>
      </c>
      <c r="J1863" t="n">
        <v>0</v>
      </c>
      <c r="K1863" t="n">
        <v>0</v>
      </c>
      <c r="L1863" t="n">
        <v>0</v>
      </c>
      <c r="M1863" t="n">
        <v>0</v>
      </c>
      <c r="N1863" t="n">
        <v>0</v>
      </c>
      <c r="O1863" t="n">
        <v>0</v>
      </c>
      <c r="P1863" t="n">
        <v>0</v>
      </c>
      <c r="Q1863" t="n">
        <v>0</v>
      </c>
      <c r="R1863" s="2" t="inlineStr"/>
    </row>
    <row r="1864" ht="15" customHeight="1">
      <c r="A1864" t="inlineStr">
        <is>
          <t>A 9767-2022</t>
        </is>
      </c>
      <c r="B1864" s="1" t="n">
        <v>44619</v>
      </c>
      <c r="C1864" s="1" t="n">
        <v>45224</v>
      </c>
      <c r="D1864" t="inlineStr">
        <is>
          <t>STOCKHOLMS LÄN</t>
        </is>
      </c>
      <c r="E1864" t="inlineStr">
        <is>
          <t>SIGTUNA</t>
        </is>
      </c>
      <c r="G1864" t="n">
        <v>2.4</v>
      </c>
      <c r="H1864" t="n">
        <v>0</v>
      </c>
      <c r="I1864" t="n">
        <v>0</v>
      </c>
      <c r="J1864" t="n">
        <v>0</v>
      </c>
      <c r="K1864" t="n">
        <v>0</v>
      </c>
      <c r="L1864" t="n">
        <v>0</v>
      </c>
      <c r="M1864" t="n">
        <v>0</v>
      </c>
      <c r="N1864" t="n">
        <v>0</v>
      </c>
      <c r="O1864" t="n">
        <v>0</v>
      </c>
      <c r="P1864" t="n">
        <v>0</v>
      </c>
      <c r="Q1864" t="n">
        <v>0</v>
      </c>
      <c r="R1864" s="2" t="inlineStr"/>
    </row>
    <row r="1865" ht="15" customHeight="1">
      <c r="A1865" t="inlineStr">
        <is>
          <t>A 9964-2022</t>
        </is>
      </c>
      <c r="B1865" s="1" t="n">
        <v>44621</v>
      </c>
      <c r="C1865" s="1" t="n">
        <v>45224</v>
      </c>
      <c r="D1865" t="inlineStr">
        <is>
          <t>STOCKHOLMS LÄN</t>
        </is>
      </c>
      <c r="E1865" t="inlineStr">
        <is>
          <t>NYNÄSHAMN</t>
        </is>
      </c>
      <c r="G1865" t="n">
        <v>4.3</v>
      </c>
      <c r="H1865" t="n">
        <v>0</v>
      </c>
      <c r="I1865" t="n">
        <v>0</v>
      </c>
      <c r="J1865" t="n">
        <v>0</v>
      </c>
      <c r="K1865" t="n">
        <v>0</v>
      </c>
      <c r="L1865" t="n">
        <v>0</v>
      </c>
      <c r="M1865" t="n">
        <v>0</v>
      </c>
      <c r="N1865" t="n">
        <v>0</v>
      </c>
      <c r="O1865" t="n">
        <v>0</v>
      </c>
      <c r="P1865" t="n">
        <v>0</v>
      </c>
      <c r="Q1865" t="n">
        <v>0</v>
      </c>
      <c r="R1865" s="2" t="inlineStr"/>
    </row>
    <row r="1866" ht="15" customHeight="1">
      <c r="A1866" t="inlineStr">
        <is>
          <t>A 10098-2022</t>
        </is>
      </c>
      <c r="B1866" s="1" t="n">
        <v>44621</v>
      </c>
      <c r="C1866" s="1" t="n">
        <v>45224</v>
      </c>
      <c r="D1866" t="inlineStr">
        <is>
          <t>STOCKHOLMS LÄN</t>
        </is>
      </c>
      <c r="E1866" t="inlineStr">
        <is>
          <t>NORRTÄLJE</t>
        </is>
      </c>
      <c r="G1866" t="n">
        <v>2.2</v>
      </c>
      <c r="H1866" t="n">
        <v>0</v>
      </c>
      <c r="I1866" t="n">
        <v>0</v>
      </c>
      <c r="J1866" t="n">
        <v>0</v>
      </c>
      <c r="K1866" t="n">
        <v>0</v>
      </c>
      <c r="L1866" t="n">
        <v>0</v>
      </c>
      <c r="M1866" t="n">
        <v>0</v>
      </c>
      <c r="N1866" t="n">
        <v>0</v>
      </c>
      <c r="O1866" t="n">
        <v>0</v>
      </c>
      <c r="P1866" t="n">
        <v>0</v>
      </c>
      <c r="Q1866" t="n">
        <v>0</v>
      </c>
      <c r="R1866" s="2" t="inlineStr"/>
    </row>
    <row r="1867" ht="15" customHeight="1">
      <c r="A1867" t="inlineStr">
        <is>
          <t>A 10059-2022</t>
        </is>
      </c>
      <c r="B1867" s="1" t="n">
        <v>44621</v>
      </c>
      <c r="C1867" s="1" t="n">
        <v>45224</v>
      </c>
      <c r="D1867" t="inlineStr">
        <is>
          <t>STOCKHOLMS LÄN</t>
        </is>
      </c>
      <c r="E1867" t="inlineStr">
        <is>
          <t>NYNÄSHAMN</t>
        </is>
      </c>
      <c r="G1867" t="n">
        <v>17</v>
      </c>
      <c r="H1867" t="n">
        <v>0</v>
      </c>
      <c r="I1867" t="n">
        <v>0</v>
      </c>
      <c r="J1867" t="n">
        <v>0</v>
      </c>
      <c r="K1867" t="n">
        <v>0</v>
      </c>
      <c r="L1867" t="n">
        <v>0</v>
      </c>
      <c r="M1867" t="n">
        <v>0</v>
      </c>
      <c r="N1867" t="n">
        <v>0</v>
      </c>
      <c r="O1867" t="n">
        <v>0</v>
      </c>
      <c r="P1867" t="n">
        <v>0</v>
      </c>
      <c r="Q1867" t="n">
        <v>0</v>
      </c>
      <c r="R1867" s="2" t="inlineStr"/>
    </row>
    <row r="1868" ht="15" customHeight="1">
      <c r="A1868" t="inlineStr">
        <is>
          <t>A 10082-2022</t>
        </is>
      </c>
      <c r="B1868" s="1" t="n">
        <v>44621</v>
      </c>
      <c r="C1868" s="1" t="n">
        <v>45224</v>
      </c>
      <c r="D1868" t="inlineStr">
        <is>
          <t>STOCKHOLMS LÄN</t>
        </is>
      </c>
      <c r="E1868" t="inlineStr">
        <is>
          <t>ÖSTERÅKER</t>
        </is>
      </c>
      <c r="G1868" t="n">
        <v>6</v>
      </c>
      <c r="H1868" t="n">
        <v>0</v>
      </c>
      <c r="I1868" t="n">
        <v>0</v>
      </c>
      <c r="J1868" t="n">
        <v>0</v>
      </c>
      <c r="K1868" t="n">
        <v>0</v>
      </c>
      <c r="L1868" t="n">
        <v>0</v>
      </c>
      <c r="M1868" t="n">
        <v>0</v>
      </c>
      <c r="N1868" t="n">
        <v>0</v>
      </c>
      <c r="O1868" t="n">
        <v>0</v>
      </c>
      <c r="P1868" t="n">
        <v>0</v>
      </c>
      <c r="Q1868" t="n">
        <v>0</v>
      </c>
      <c r="R1868" s="2" t="inlineStr"/>
    </row>
    <row r="1869" ht="15" customHeight="1">
      <c r="A1869" t="inlineStr">
        <is>
          <t>A 9988-2022</t>
        </is>
      </c>
      <c r="B1869" s="1" t="n">
        <v>44621</v>
      </c>
      <c r="C1869" s="1" t="n">
        <v>45224</v>
      </c>
      <c r="D1869" t="inlineStr">
        <is>
          <t>STOCKHOLMS LÄN</t>
        </is>
      </c>
      <c r="E1869" t="inlineStr">
        <is>
          <t>NORRTÄLJE</t>
        </is>
      </c>
      <c r="G1869" t="n">
        <v>1.3</v>
      </c>
      <c r="H1869" t="n">
        <v>0</v>
      </c>
      <c r="I1869" t="n">
        <v>0</v>
      </c>
      <c r="J1869" t="n">
        <v>0</v>
      </c>
      <c r="K1869" t="n">
        <v>0</v>
      </c>
      <c r="L1869" t="n">
        <v>0</v>
      </c>
      <c r="M1869" t="n">
        <v>0</v>
      </c>
      <c r="N1869" t="n">
        <v>0</v>
      </c>
      <c r="O1869" t="n">
        <v>0</v>
      </c>
      <c r="P1869" t="n">
        <v>0</v>
      </c>
      <c r="Q1869" t="n">
        <v>0</v>
      </c>
      <c r="R1869" s="2" t="inlineStr"/>
    </row>
    <row r="1870" ht="15" customHeight="1">
      <c r="A1870" t="inlineStr">
        <is>
          <t>A 10090-2022</t>
        </is>
      </c>
      <c r="B1870" s="1" t="n">
        <v>44621</v>
      </c>
      <c r="C1870" s="1" t="n">
        <v>45224</v>
      </c>
      <c r="D1870" t="inlineStr">
        <is>
          <t>STOCKHOLMS LÄN</t>
        </is>
      </c>
      <c r="E1870" t="inlineStr">
        <is>
          <t>NORRTÄLJE</t>
        </is>
      </c>
      <c r="G1870" t="n">
        <v>5.2</v>
      </c>
      <c r="H1870" t="n">
        <v>0</v>
      </c>
      <c r="I1870" t="n">
        <v>0</v>
      </c>
      <c r="J1870" t="n">
        <v>0</v>
      </c>
      <c r="K1870" t="n">
        <v>0</v>
      </c>
      <c r="L1870" t="n">
        <v>0</v>
      </c>
      <c r="M1870" t="n">
        <v>0</v>
      </c>
      <c r="N1870" t="n">
        <v>0</v>
      </c>
      <c r="O1870" t="n">
        <v>0</v>
      </c>
      <c r="P1870" t="n">
        <v>0</v>
      </c>
      <c r="Q1870" t="n">
        <v>0</v>
      </c>
      <c r="R1870" s="2" t="inlineStr"/>
    </row>
    <row r="1871" ht="15" customHeight="1">
      <c r="A1871" t="inlineStr">
        <is>
          <t>A 10521-2022</t>
        </is>
      </c>
      <c r="B1871" s="1" t="n">
        <v>44623</v>
      </c>
      <c r="C1871" s="1" t="n">
        <v>45224</v>
      </c>
      <c r="D1871" t="inlineStr">
        <is>
          <t>STOCKHOLMS LÄN</t>
        </is>
      </c>
      <c r="E1871" t="inlineStr">
        <is>
          <t>NORRTÄLJE</t>
        </is>
      </c>
      <c r="G1871" t="n">
        <v>2.9</v>
      </c>
      <c r="H1871" t="n">
        <v>0</v>
      </c>
      <c r="I1871" t="n">
        <v>0</v>
      </c>
      <c r="J1871" t="n">
        <v>0</v>
      </c>
      <c r="K1871" t="n">
        <v>0</v>
      </c>
      <c r="L1871" t="n">
        <v>0</v>
      </c>
      <c r="M1871" t="n">
        <v>0</v>
      </c>
      <c r="N1871" t="n">
        <v>0</v>
      </c>
      <c r="O1871" t="n">
        <v>0</v>
      </c>
      <c r="P1871" t="n">
        <v>0</v>
      </c>
      <c r="Q1871" t="n">
        <v>0</v>
      </c>
      <c r="R1871" s="2" t="inlineStr"/>
    </row>
    <row r="1872" ht="15" customHeight="1">
      <c r="A1872" t="inlineStr">
        <is>
          <t>A 10711-2022</t>
        </is>
      </c>
      <c r="B1872" s="1" t="n">
        <v>44626</v>
      </c>
      <c r="C1872" s="1" t="n">
        <v>45224</v>
      </c>
      <c r="D1872" t="inlineStr">
        <is>
          <t>STOCKHOLMS LÄN</t>
        </is>
      </c>
      <c r="E1872" t="inlineStr">
        <is>
          <t>NORRTÄLJE</t>
        </is>
      </c>
      <c r="G1872" t="n">
        <v>0.4</v>
      </c>
      <c r="H1872" t="n">
        <v>0</v>
      </c>
      <c r="I1872" t="n">
        <v>0</v>
      </c>
      <c r="J1872" t="n">
        <v>0</v>
      </c>
      <c r="K1872" t="n">
        <v>0</v>
      </c>
      <c r="L1872" t="n">
        <v>0</v>
      </c>
      <c r="M1872" t="n">
        <v>0</v>
      </c>
      <c r="N1872" t="n">
        <v>0</v>
      </c>
      <c r="O1872" t="n">
        <v>0</v>
      </c>
      <c r="P1872" t="n">
        <v>0</v>
      </c>
      <c r="Q1872" t="n">
        <v>0</v>
      </c>
      <c r="R1872" s="2" t="inlineStr"/>
    </row>
    <row r="1873" ht="15" customHeight="1">
      <c r="A1873" t="inlineStr">
        <is>
          <t>A 10710-2022</t>
        </is>
      </c>
      <c r="B1873" s="1" t="n">
        <v>44626</v>
      </c>
      <c r="C1873" s="1" t="n">
        <v>45224</v>
      </c>
      <c r="D1873" t="inlineStr">
        <is>
          <t>STOCKHOLMS LÄN</t>
        </is>
      </c>
      <c r="E1873" t="inlineStr">
        <is>
          <t>NORRTÄLJE</t>
        </is>
      </c>
      <c r="G1873" t="n">
        <v>2.4</v>
      </c>
      <c r="H1873" t="n">
        <v>0</v>
      </c>
      <c r="I1873" t="n">
        <v>0</v>
      </c>
      <c r="J1873" t="n">
        <v>0</v>
      </c>
      <c r="K1873" t="n">
        <v>0</v>
      </c>
      <c r="L1873" t="n">
        <v>0</v>
      </c>
      <c r="M1873" t="n">
        <v>0</v>
      </c>
      <c r="N1873" t="n">
        <v>0</v>
      </c>
      <c r="O1873" t="n">
        <v>0</v>
      </c>
      <c r="P1873" t="n">
        <v>0</v>
      </c>
      <c r="Q1873" t="n">
        <v>0</v>
      </c>
      <c r="R1873" s="2" t="inlineStr"/>
    </row>
    <row r="1874" ht="15" customHeight="1">
      <c r="A1874" t="inlineStr">
        <is>
          <t>A 11095-2022</t>
        </is>
      </c>
      <c r="B1874" s="1" t="n">
        <v>44628</v>
      </c>
      <c r="C1874" s="1" t="n">
        <v>45224</v>
      </c>
      <c r="D1874" t="inlineStr">
        <is>
          <t>STOCKHOLMS LÄN</t>
        </is>
      </c>
      <c r="E1874" t="inlineStr">
        <is>
          <t>BOTKYRKA</t>
        </is>
      </c>
      <c r="G1874" t="n">
        <v>1.6</v>
      </c>
      <c r="H1874" t="n">
        <v>0</v>
      </c>
      <c r="I1874" t="n">
        <v>0</v>
      </c>
      <c r="J1874" t="n">
        <v>0</v>
      </c>
      <c r="K1874" t="n">
        <v>0</v>
      </c>
      <c r="L1874" t="n">
        <v>0</v>
      </c>
      <c r="M1874" t="n">
        <v>0</v>
      </c>
      <c r="N1874" t="n">
        <v>0</v>
      </c>
      <c r="O1874" t="n">
        <v>0</v>
      </c>
      <c r="P1874" t="n">
        <v>0</v>
      </c>
      <c r="Q1874" t="n">
        <v>0</v>
      </c>
      <c r="R1874" s="2" t="inlineStr"/>
    </row>
    <row r="1875" ht="15" customHeight="1">
      <c r="A1875" t="inlineStr">
        <is>
          <t>A 11150-2022</t>
        </is>
      </c>
      <c r="B1875" s="1" t="n">
        <v>44629</v>
      </c>
      <c r="C1875" s="1" t="n">
        <v>45224</v>
      </c>
      <c r="D1875" t="inlineStr">
        <is>
          <t>STOCKHOLMS LÄN</t>
        </is>
      </c>
      <c r="E1875" t="inlineStr">
        <is>
          <t>NORRTÄLJE</t>
        </is>
      </c>
      <c r="F1875" t="inlineStr">
        <is>
          <t>Övriga Aktiebolag</t>
        </is>
      </c>
      <c r="G1875" t="n">
        <v>6.5</v>
      </c>
      <c r="H1875" t="n">
        <v>0</v>
      </c>
      <c r="I1875" t="n">
        <v>0</v>
      </c>
      <c r="J1875" t="n">
        <v>0</v>
      </c>
      <c r="K1875" t="n">
        <v>0</v>
      </c>
      <c r="L1875" t="n">
        <v>0</v>
      </c>
      <c r="M1875" t="n">
        <v>0</v>
      </c>
      <c r="N1875" t="n">
        <v>0</v>
      </c>
      <c r="O1875" t="n">
        <v>0</v>
      </c>
      <c r="P1875" t="n">
        <v>0</v>
      </c>
      <c r="Q1875" t="n">
        <v>0</v>
      </c>
      <c r="R1875" s="2" t="inlineStr"/>
    </row>
    <row r="1876" ht="15" customHeight="1">
      <c r="A1876" t="inlineStr">
        <is>
          <t>A 11229-2022</t>
        </is>
      </c>
      <c r="B1876" s="1" t="n">
        <v>44629</v>
      </c>
      <c r="C1876" s="1" t="n">
        <v>45224</v>
      </c>
      <c r="D1876" t="inlineStr">
        <is>
          <t>STOCKHOLMS LÄN</t>
        </is>
      </c>
      <c r="E1876" t="inlineStr">
        <is>
          <t>NORRTÄLJE</t>
        </is>
      </c>
      <c r="F1876" t="inlineStr">
        <is>
          <t>Övriga Aktiebolag</t>
        </is>
      </c>
      <c r="G1876" t="n">
        <v>4.1</v>
      </c>
      <c r="H1876" t="n">
        <v>0</v>
      </c>
      <c r="I1876" t="n">
        <v>0</v>
      </c>
      <c r="J1876" t="n">
        <v>0</v>
      </c>
      <c r="K1876" t="n">
        <v>0</v>
      </c>
      <c r="L1876" t="n">
        <v>0</v>
      </c>
      <c r="M1876" t="n">
        <v>0</v>
      </c>
      <c r="N1876" t="n">
        <v>0</v>
      </c>
      <c r="O1876" t="n">
        <v>0</v>
      </c>
      <c r="P1876" t="n">
        <v>0</v>
      </c>
      <c r="Q1876" t="n">
        <v>0</v>
      </c>
      <c r="R1876" s="2" t="inlineStr"/>
    </row>
    <row r="1877" ht="15" customHeight="1">
      <c r="A1877" t="inlineStr">
        <is>
          <t>A 11393-2022</t>
        </is>
      </c>
      <c r="B1877" s="1" t="n">
        <v>44630</v>
      </c>
      <c r="C1877" s="1" t="n">
        <v>45224</v>
      </c>
      <c r="D1877" t="inlineStr">
        <is>
          <t>STOCKHOLMS LÄN</t>
        </is>
      </c>
      <c r="E1877" t="inlineStr">
        <is>
          <t>NYKVARN</t>
        </is>
      </c>
      <c r="G1877" t="n">
        <v>3.8</v>
      </c>
      <c r="H1877" t="n">
        <v>0</v>
      </c>
      <c r="I1877" t="n">
        <v>0</v>
      </c>
      <c r="J1877" t="n">
        <v>0</v>
      </c>
      <c r="K1877" t="n">
        <v>0</v>
      </c>
      <c r="L1877" t="n">
        <v>0</v>
      </c>
      <c r="M1877" t="n">
        <v>0</v>
      </c>
      <c r="N1877" t="n">
        <v>0</v>
      </c>
      <c r="O1877" t="n">
        <v>0</v>
      </c>
      <c r="P1877" t="n">
        <v>0</v>
      </c>
      <c r="Q1877" t="n">
        <v>0</v>
      </c>
      <c r="R1877" s="2" t="inlineStr"/>
    </row>
    <row r="1878" ht="15" customHeight="1">
      <c r="A1878" t="inlineStr">
        <is>
          <t>A 11533-2022</t>
        </is>
      </c>
      <c r="B1878" s="1" t="n">
        <v>44631</v>
      </c>
      <c r="C1878" s="1" t="n">
        <v>45224</v>
      </c>
      <c r="D1878" t="inlineStr">
        <is>
          <t>STOCKHOLMS LÄN</t>
        </is>
      </c>
      <c r="E1878" t="inlineStr">
        <is>
          <t>NORRTÄLJE</t>
        </is>
      </c>
      <c r="G1878" t="n">
        <v>3.6</v>
      </c>
      <c r="H1878" t="n">
        <v>0</v>
      </c>
      <c r="I1878" t="n">
        <v>0</v>
      </c>
      <c r="J1878" t="n">
        <v>0</v>
      </c>
      <c r="K1878" t="n">
        <v>0</v>
      </c>
      <c r="L1878" t="n">
        <v>0</v>
      </c>
      <c r="M1878" t="n">
        <v>0</v>
      </c>
      <c r="N1878" t="n">
        <v>0</v>
      </c>
      <c r="O1878" t="n">
        <v>0</v>
      </c>
      <c r="P1878" t="n">
        <v>0</v>
      </c>
      <c r="Q1878" t="n">
        <v>0</v>
      </c>
      <c r="R1878" s="2" t="inlineStr"/>
    </row>
    <row r="1879" ht="15" customHeight="1">
      <c r="A1879" t="inlineStr">
        <is>
          <t>A 11821-2022</t>
        </is>
      </c>
      <c r="B1879" s="1" t="n">
        <v>44634</v>
      </c>
      <c r="C1879" s="1" t="n">
        <v>45224</v>
      </c>
      <c r="D1879" t="inlineStr">
        <is>
          <t>STOCKHOLMS LÄN</t>
        </is>
      </c>
      <c r="E1879" t="inlineStr">
        <is>
          <t>NORRTÄLJE</t>
        </is>
      </c>
      <c r="G1879" t="n">
        <v>1.1</v>
      </c>
      <c r="H1879" t="n">
        <v>0</v>
      </c>
      <c r="I1879" t="n">
        <v>0</v>
      </c>
      <c r="J1879" t="n">
        <v>0</v>
      </c>
      <c r="K1879" t="n">
        <v>0</v>
      </c>
      <c r="L1879" t="n">
        <v>0</v>
      </c>
      <c r="M1879" t="n">
        <v>0</v>
      </c>
      <c r="N1879" t="n">
        <v>0</v>
      </c>
      <c r="O1879" t="n">
        <v>0</v>
      </c>
      <c r="P1879" t="n">
        <v>0</v>
      </c>
      <c r="Q1879" t="n">
        <v>0</v>
      </c>
      <c r="R1879" s="2" t="inlineStr"/>
    </row>
    <row r="1880" ht="15" customHeight="1">
      <c r="A1880" t="inlineStr">
        <is>
          <t>A 11764-2022</t>
        </is>
      </c>
      <c r="B1880" s="1" t="n">
        <v>44634</v>
      </c>
      <c r="C1880" s="1" t="n">
        <v>45224</v>
      </c>
      <c r="D1880" t="inlineStr">
        <is>
          <t>STOCKHOLMS LÄN</t>
        </is>
      </c>
      <c r="E1880" t="inlineStr">
        <is>
          <t>BOTKYRKA</t>
        </is>
      </c>
      <c r="G1880" t="n">
        <v>3.7</v>
      </c>
      <c r="H1880" t="n">
        <v>0</v>
      </c>
      <c r="I1880" t="n">
        <v>0</v>
      </c>
      <c r="J1880" t="n">
        <v>0</v>
      </c>
      <c r="K1880" t="n">
        <v>0</v>
      </c>
      <c r="L1880" t="n">
        <v>0</v>
      </c>
      <c r="M1880" t="n">
        <v>0</v>
      </c>
      <c r="N1880" t="n">
        <v>0</v>
      </c>
      <c r="O1880" t="n">
        <v>0</v>
      </c>
      <c r="P1880" t="n">
        <v>0</v>
      </c>
      <c r="Q1880" t="n">
        <v>0</v>
      </c>
      <c r="R1880" s="2" t="inlineStr"/>
    </row>
    <row r="1881" ht="15" customHeight="1">
      <c r="A1881" t="inlineStr">
        <is>
          <t>A 11900-2022</t>
        </is>
      </c>
      <c r="B1881" s="1" t="n">
        <v>44635</v>
      </c>
      <c r="C1881" s="1" t="n">
        <v>45224</v>
      </c>
      <c r="D1881" t="inlineStr">
        <is>
          <t>STOCKHOLMS LÄN</t>
        </is>
      </c>
      <c r="E1881" t="inlineStr">
        <is>
          <t>NORRTÄLJE</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11996-2022</t>
        </is>
      </c>
      <c r="B1882" s="1" t="n">
        <v>44635</v>
      </c>
      <c r="C1882" s="1" t="n">
        <v>45224</v>
      </c>
      <c r="D1882" t="inlineStr">
        <is>
          <t>STOCKHOLMS LÄN</t>
        </is>
      </c>
      <c r="E1882" t="inlineStr">
        <is>
          <t>NYKVARN</t>
        </is>
      </c>
      <c r="G1882" t="n">
        <v>6.4</v>
      </c>
      <c r="H1882" t="n">
        <v>0</v>
      </c>
      <c r="I1882" t="n">
        <v>0</v>
      </c>
      <c r="J1882" t="n">
        <v>0</v>
      </c>
      <c r="K1882" t="n">
        <v>0</v>
      </c>
      <c r="L1882" t="n">
        <v>0</v>
      </c>
      <c r="M1882" t="n">
        <v>0</v>
      </c>
      <c r="N1882" t="n">
        <v>0</v>
      </c>
      <c r="O1882" t="n">
        <v>0</v>
      </c>
      <c r="P1882" t="n">
        <v>0</v>
      </c>
      <c r="Q1882" t="n">
        <v>0</v>
      </c>
      <c r="R1882" s="2" t="inlineStr"/>
    </row>
    <row r="1883" ht="15" customHeight="1">
      <c r="A1883" t="inlineStr">
        <is>
          <t>A 12270-2022</t>
        </is>
      </c>
      <c r="B1883" s="1" t="n">
        <v>44637</v>
      </c>
      <c r="C1883" s="1" t="n">
        <v>45224</v>
      </c>
      <c r="D1883" t="inlineStr">
        <is>
          <t>STOCKHOLMS LÄN</t>
        </is>
      </c>
      <c r="E1883" t="inlineStr">
        <is>
          <t>NORRTÄLJE</t>
        </is>
      </c>
      <c r="G1883" t="n">
        <v>2.3</v>
      </c>
      <c r="H1883" t="n">
        <v>0</v>
      </c>
      <c r="I1883" t="n">
        <v>0</v>
      </c>
      <c r="J1883" t="n">
        <v>0</v>
      </c>
      <c r="K1883" t="n">
        <v>0</v>
      </c>
      <c r="L1883" t="n">
        <v>0</v>
      </c>
      <c r="M1883" t="n">
        <v>0</v>
      </c>
      <c r="N1883" t="n">
        <v>0</v>
      </c>
      <c r="O1883" t="n">
        <v>0</v>
      </c>
      <c r="P1883" t="n">
        <v>0</v>
      </c>
      <c r="Q1883" t="n">
        <v>0</v>
      </c>
      <c r="R1883" s="2" t="inlineStr"/>
    </row>
    <row r="1884" ht="15" customHeight="1">
      <c r="A1884" t="inlineStr">
        <is>
          <t>A 12355-2022</t>
        </is>
      </c>
      <c r="B1884" s="1" t="n">
        <v>44637</v>
      </c>
      <c r="C1884" s="1" t="n">
        <v>45224</v>
      </c>
      <c r="D1884" t="inlineStr">
        <is>
          <t>STOCKHOLMS LÄN</t>
        </is>
      </c>
      <c r="E1884" t="inlineStr">
        <is>
          <t>NORRTÄLJE</t>
        </is>
      </c>
      <c r="G1884" t="n">
        <v>10.4</v>
      </c>
      <c r="H1884" t="n">
        <v>0</v>
      </c>
      <c r="I1884" t="n">
        <v>0</v>
      </c>
      <c r="J1884" t="n">
        <v>0</v>
      </c>
      <c r="K1884" t="n">
        <v>0</v>
      </c>
      <c r="L1884" t="n">
        <v>0</v>
      </c>
      <c r="M1884" t="n">
        <v>0</v>
      </c>
      <c r="N1884" t="n">
        <v>0</v>
      </c>
      <c r="O1884" t="n">
        <v>0</v>
      </c>
      <c r="P1884" t="n">
        <v>0</v>
      </c>
      <c r="Q1884" t="n">
        <v>0</v>
      </c>
      <c r="R1884" s="2" t="inlineStr"/>
    </row>
    <row r="1885" ht="15" customHeight="1">
      <c r="A1885" t="inlineStr">
        <is>
          <t>A 12234-2022</t>
        </is>
      </c>
      <c r="B1885" s="1" t="n">
        <v>44637</v>
      </c>
      <c r="C1885" s="1" t="n">
        <v>45224</v>
      </c>
      <c r="D1885" t="inlineStr">
        <is>
          <t>STOCKHOLMS LÄN</t>
        </is>
      </c>
      <c r="E1885" t="inlineStr">
        <is>
          <t>VALLENTUNA</t>
        </is>
      </c>
      <c r="G1885" t="n">
        <v>2.4</v>
      </c>
      <c r="H1885" t="n">
        <v>0</v>
      </c>
      <c r="I1885" t="n">
        <v>0</v>
      </c>
      <c r="J1885" t="n">
        <v>0</v>
      </c>
      <c r="K1885" t="n">
        <v>0</v>
      </c>
      <c r="L1885" t="n">
        <v>0</v>
      </c>
      <c r="M1885" t="n">
        <v>0</v>
      </c>
      <c r="N1885" t="n">
        <v>0</v>
      </c>
      <c r="O1885" t="n">
        <v>0</v>
      </c>
      <c r="P1885" t="n">
        <v>0</v>
      </c>
      <c r="Q1885" t="n">
        <v>0</v>
      </c>
      <c r="R1885" s="2" t="inlineStr"/>
    </row>
    <row r="1886" ht="15" customHeight="1">
      <c r="A1886" t="inlineStr">
        <is>
          <t>A 12357-2022</t>
        </is>
      </c>
      <c r="B1886" s="1" t="n">
        <v>44637</v>
      </c>
      <c r="C1886" s="1" t="n">
        <v>45224</v>
      </c>
      <c r="D1886" t="inlineStr">
        <is>
          <t>STOCKHOLMS LÄN</t>
        </is>
      </c>
      <c r="E1886" t="inlineStr">
        <is>
          <t>NORRTÄLJE</t>
        </is>
      </c>
      <c r="G1886" t="n">
        <v>1</v>
      </c>
      <c r="H1886" t="n">
        <v>0</v>
      </c>
      <c r="I1886" t="n">
        <v>0</v>
      </c>
      <c r="J1886" t="n">
        <v>0</v>
      </c>
      <c r="K1886" t="n">
        <v>0</v>
      </c>
      <c r="L1886" t="n">
        <v>0</v>
      </c>
      <c r="M1886" t="n">
        <v>0</v>
      </c>
      <c r="N1886" t="n">
        <v>0</v>
      </c>
      <c r="O1886" t="n">
        <v>0</v>
      </c>
      <c r="P1886" t="n">
        <v>0</v>
      </c>
      <c r="Q1886" t="n">
        <v>0</v>
      </c>
      <c r="R1886" s="2" t="inlineStr"/>
    </row>
    <row r="1887" ht="15" customHeight="1">
      <c r="A1887" t="inlineStr">
        <is>
          <t>A 12314-2022</t>
        </is>
      </c>
      <c r="B1887" s="1" t="n">
        <v>44637</v>
      </c>
      <c r="C1887" s="1" t="n">
        <v>45224</v>
      </c>
      <c r="D1887" t="inlineStr">
        <is>
          <t>STOCKHOLMS LÄN</t>
        </is>
      </c>
      <c r="E1887" t="inlineStr">
        <is>
          <t>NORRTÄLJE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62765-2022</t>
        </is>
      </c>
      <c r="B1888" s="1" t="n">
        <v>44637</v>
      </c>
      <c r="C1888" s="1" t="n">
        <v>45224</v>
      </c>
      <c r="D1888" t="inlineStr">
        <is>
          <t>STOCKHOLMS LÄN</t>
        </is>
      </c>
      <c r="E1888" t="inlineStr">
        <is>
          <t>NORRTÄLJE</t>
        </is>
      </c>
      <c r="G1888" t="n">
        <v>2.7</v>
      </c>
      <c r="H1888" t="n">
        <v>0</v>
      </c>
      <c r="I1888" t="n">
        <v>0</v>
      </c>
      <c r="J1888" t="n">
        <v>0</v>
      </c>
      <c r="K1888" t="n">
        <v>0</v>
      </c>
      <c r="L1888" t="n">
        <v>0</v>
      </c>
      <c r="M1888" t="n">
        <v>0</v>
      </c>
      <c r="N1888" t="n">
        <v>0</v>
      </c>
      <c r="O1888" t="n">
        <v>0</v>
      </c>
      <c r="P1888" t="n">
        <v>0</v>
      </c>
      <c r="Q1888" t="n">
        <v>0</v>
      </c>
      <c r="R1888" s="2" t="inlineStr"/>
    </row>
    <row r="1889" ht="15" customHeight="1">
      <c r="A1889" t="inlineStr">
        <is>
          <t>A 12268-2022</t>
        </is>
      </c>
      <c r="B1889" s="1" t="n">
        <v>44637</v>
      </c>
      <c r="C1889" s="1" t="n">
        <v>45224</v>
      </c>
      <c r="D1889" t="inlineStr">
        <is>
          <t>STOCKHOLMS LÄN</t>
        </is>
      </c>
      <c r="E1889" t="inlineStr">
        <is>
          <t>NORRTÄLJE</t>
        </is>
      </c>
      <c r="F1889" t="inlineStr">
        <is>
          <t>Sveaskog</t>
        </is>
      </c>
      <c r="G1889" t="n">
        <v>0.8</v>
      </c>
      <c r="H1889" t="n">
        <v>0</v>
      </c>
      <c r="I1889" t="n">
        <v>0</v>
      </c>
      <c r="J1889" t="n">
        <v>0</v>
      </c>
      <c r="K1889" t="n">
        <v>0</v>
      </c>
      <c r="L1889" t="n">
        <v>0</v>
      </c>
      <c r="M1889" t="n">
        <v>0</v>
      </c>
      <c r="N1889" t="n">
        <v>0</v>
      </c>
      <c r="O1889" t="n">
        <v>0</v>
      </c>
      <c r="P1889" t="n">
        <v>0</v>
      </c>
      <c r="Q1889" t="n">
        <v>0</v>
      </c>
      <c r="R1889" s="2" t="inlineStr"/>
    </row>
    <row r="1890" ht="15" customHeight="1">
      <c r="A1890" t="inlineStr">
        <is>
          <t>A 12578-2022</t>
        </is>
      </c>
      <c r="B1890" s="1" t="n">
        <v>44638</v>
      </c>
      <c r="C1890" s="1" t="n">
        <v>45224</v>
      </c>
      <c r="D1890" t="inlineStr">
        <is>
          <t>STOCKHOLMS LÄN</t>
        </is>
      </c>
      <c r="E1890" t="inlineStr">
        <is>
          <t>NYKVARN</t>
        </is>
      </c>
      <c r="G1890" t="n">
        <v>2.2</v>
      </c>
      <c r="H1890" t="n">
        <v>0</v>
      </c>
      <c r="I1890" t="n">
        <v>0</v>
      </c>
      <c r="J1890" t="n">
        <v>0</v>
      </c>
      <c r="K1890" t="n">
        <v>0</v>
      </c>
      <c r="L1890" t="n">
        <v>0</v>
      </c>
      <c r="M1890" t="n">
        <v>0</v>
      </c>
      <c r="N1890" t="n">
        <v>0</v>
      </c>
      <c r="O1890" t="n">
        <v>0</v>
      </c>
      <c r="P1890" t="n">
        <v>0</v>
      </c>
      <c r="Q1890" t="n">
        <v>0</v>
      </c>
      <c r="R1890" s="2" t="inlineStr"/>
    </row>
    <row r="1891" ht="15" customHeight="1">
      <c r="A1891" t="inlineStr">
        <is>
          <t>A 12691-2022</t>
        </is>
      </c>
      <c r="B1891" s="1" t="n">
        <v>44641</v>
      </c>
      <c r="C1891" s="1" t="n">
        <v>45224</v>
      </c>
      <c r="D1891" t="inlineStr">
        <is>
          <t>STOCKHOLMS LÄN</t>
        </is>
      </c>
      <c r="E1891" t="inlineStr">
        <is>
          <t>SÖDERTÄLJE</t>
        </is>
      </c>
      <c r="F1891" t="inlineStr">
        <is>
          <t>Övriga Aktiebolag</t>
        </is>
      </c>
      <c r="G1891" t="n">
        <v>3.6</v>
      </c>
      <c r="H1891" t="n">
        <v>0</v>
      </c>
      <c r="I1891" t="n">
        <v>0</v>
      </c>
      <c r="J1891" t="n">
        <v>0</v>
      </c>
      <c r="K1891" t="n">
        <v>0</v>
      </c>
      <c r="L1891" t="n">
        <v>0</v>
      </c>
      <c r="M1891" t="n">
        <v>0</v>
      </c>
      <c r="N1891" t="n">
        <v>0</v>
      </c>
      <c r="O1891" t="n">
        <v>0</v>
      </c>
      <c r="P1891" t="n">
        <v>0</v>
      </c>
      <c r="Q1891" t="n">
        <v>0</v>
      </c>
      <c r="R1891" s="2" t="inlineStr"/>
    </row>
    <row r="1892" ht="15" customHeight="1">
      <c r="A1892" t="inlineStr">
        <is>
          <t>A 12816-2022</t>
        </is>
      </c>
      <c r="B1892" s="1" t="n">
        <v>44642</v>
      </c>
      <c r="C1892" s="1" t="n">
        <v>45224</v>
      </c>
      <c r="D1892" t="inlineStr">
        <is>
          <t>STOCKHOLMS LÄN</t>
        </is>
      </c>
      <c r="E1892" t="inlineStr">
        <is>
          <t>NORRTÄLJE</t>
        </is>
      </c>
      <c r="G1892" t="n">
        <v>4.4</v>
      </c>
      <c r="H1892" t="n">
        <v>0</v>
      </c>
      <c r="I1892" t="n">
        <v>0</v>
      </c>
      <c r="J1892" t="n">
        <v>0</v>
      </c>
      <c r="K1892" t="n">
        <v>0</v>
      </c>
      <c r="L1892" t="n">
        <v>0</v>
      </c>
      <c r="M1892" t="n">
        <v>0</v>
      </c>
      <c r="N1892" t="n">
        <v>0</v>
      </c>
      <c r="O1892" t="n">
        <v>0</v>
      </c>
      <c r="P1892" t="n">
        <v>0</v>
      </c>
      <c r="Q1892" t="n">
        <v>0</v>
      </c>
      <c r="R1892" s="2" t="inlineStr"/>
    </row>
    <row r="1893" ht="15" customHeight="1">
      <c r="A1893" t="inlineStr">
        <is>
          <t>A 12931-2022</t>
        </is>
      </c>
      <c r="B1893" s="1" t="n">
        <v>44642</v>
      </c>
      <c r="C1893" s="1" t="n">
        <v>45224</v>
      </c>
      <c r="D1893" t="inlineStr">
        <is>
          <t>STOCKHOLMS LÄN</t>
        </is>
      </c>
      <c r="E1893" t="inlineStr">
        <is>
          <t>SIGTUNA</t>
        </is>
      </c>
      <c r="F1893" t="inlineStr">
        <is>
          <t>Kyrkan</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12900-2022</t>
        </is>
      </c>
      <c r="B1894" s="1" t="n">
        <v>44642</v>
      </c>
      <c r="C1894" s="1" t="n">
        <v>45224</v>
      </c>
      <c r="D1894" t="inlineStr">
        <is>
          <t>STOCKHOLMS LÄN</t>
        </is>
      </c>
      <c r="E1894" t="inlineStr">
        <is>
          <t>SIGTUNA</t>
        </is>
      </c>
      <c r="G1894" t="n">
        <v>5.6</v>
      </c>
      <c r="H1894" t="n">
        <v>0</v>
      </c>
      <c r="I1894" t="n">
        <v>0</v>
      </c>
      <c r="J1894" t="n">
        <v>0</v>
      </c>
      <c r="K1894" t="n">
        <v>0</v>
      </c>
      <c r="L1894" t="n">
        <v>0</v>
      </c>
      <c r="M1894" t="n">
        <v>0</v>
      </c>
      <c r="N1894" t="n">
        <v>0</v>
      </c>
      <c r="O1894" t="n">
        <v>0</v>
      </c>
      <c r="P1894" t="n">
        <v>0</v>
      </c>
      <c r="Q1894" t="n">
        <v>0</v>
      </c>
      <c r="R1894" s="2" t="inlineStr"/>
      <c r="U1894">
        <f>HYPERLINK("https://klasma.github.io/Logging_0191/knärot/A 12900-2022 karta knärot.png", "A 12900-2022")</f>
        <v/>
      </c>
      <c r="V1894">
        <f>HYPERLINK("https://klasma.github.io/Logging_0191/klagomål/A 12900-2022 FSC-klagomål.docx", "A 12900-2022")</f>
        <v/>
      </c>
      <c r="W1894">
        <f>HYPERLINK("https://klasma.github.io/Logging_0191/klagomålsmail/A 12900-2022 FSC-klagomål mail.docx", "A 12900-2022")</f>
        <v/>
      </c>
      <c r="X1894">
        <f>HYPERLINK("https://klasma.github.io/Logging_0191/tillsyn/A 12900-2022 tillsynsbegäran.docx", "A 12900-2022")</f>
        <v/>
      </c>
      <c r="Y1894">
        <f>HYPERLINK("https://klasma.github.io/Logging_0191/tillsynsmail/A 12900-2022 tillsynsbegäran mail.docx", "A 12900-2022")</f>
        <v/>
      </c>
    </row>
    <row r="1895" ht="15" customHeight="1">
      <c r="A1895" t="inlineStr">
        <is>
          <t>A 12877-2022</t>
        </is>
      </c>
      <c r="B1895" s="1" t="n">
        <v>44642</v>
      </c>
      <c r="C1895" s="1" t="n">
        <v>45224</v>
      </c>
      <c r="D1895" t="inlineStr">
        <is>
          <t>STOCKHOLMS LÄN</t>
        </is>
      </c>
      <c r="E1895" t="inlineStr">
        <is>
          <t>NORRTÄLJE</t>
        </is>
      </c>
      <c r="G1895" t="n">
        <v>8.800000000000001</v>
      </c>
      <c r="H1895" t="n">
        <v>0</v>
      </c>
      <c r="I1895" t="n">
        <v>0</v>
      </c>
      <c r="J1895" t="n">
        <v>0</v>
      </c>
      <c r="K1895" t="n">
        <v>0</v>
      </c>
      <c r="L1895" t="n">
        <v>0</v>
      </c>
      <c r="M1895" t="n">
        <v>0</v>
      </c>
      <c r="N1895" t="n">
        <v>0</v>
      </c>
      <c r="O1895" t="n">
        <v>0</v>
      </c>
      <c r="P1895" t="n">
        <v>0</v>
      </c>
      <c r="Q1895" t="n">
        <v>0</v>
      </c>
      <c r="R1895" s="2" t="inlineStr"/>
    </row>
    <row r="1896" ht="15" customHeight="1">
      <c r="A1896" t="inlineStr">
        <is>
          <t>A 13137-2022</t>
        </is>
      </c>
      <c r="B1896" s="1" t="n">
        <v>44643</v>
      </c>
      <c r="C1896" s="1" t="n">
        <v>45224</v>
      </c>
      <c r="D1896" t="inlineStr">
        <is>
          <t>STOCKHOLMS LÄN</t>
        </is>
      </c>
      <c r="E1896" t="inlineStr">
        <is>
          <t>HANINGE</t>
        </is>
      </c>
      <c r="G1896" t="n">
        <v>5.6</v>
      </c>
      <c r="H1896" t="n">
        <v>0</v>
      </c>
      <c r="I1896" t="n">
        <v>0</v>
      </c>
      <c r="J1896" t="n">
        <v>0</v>
      </c>
      <c r="K1896" t="n">
        <v>0</v>
      </c>
      <c r="L1896" t="n">
        <v>0</v>
      </c>
      <c r="M1896" t="n">
        <v>0</v>
      </c>
      <c r="N1896" t="n">
        <v>0</v>
      </c>
      <c r="O1896" t="n">
        <v>0</v>
      </c>
      <c r="P1896" t="n">
        <v>0</v>
      </c>
      <c r="Q1896" t="n">
        <v>0</v>
      </c>
      <c r="R1896" s="2" t="inlineStr"/>
    </row>
    <row r="1897" ht="15" customHeight="1">
      <c r="A1897" t="inlineStr">
        <is>
          <t>A 13053-2022</t>
        </is>
      </c>
      <c r="B1897" s="1" t="n">
        <v>44643</v>
      </c>
      <c r="C1897" s="1" t="n">
        <v>45224</v>
      </c>
      <c r="D1897" t="inlineStr">
        <is>
          <t>STOCKHOLMS LÄN</t>
        </is>
      </c>
      <c r="E1897" t="inlineStr">
        <is>
          <t>NORRTÄLJE</t>
        </is>
      </c>
      <c r="G1897" t="n">
        <v>2.8</v>
      </c>
      <c r="H1897" t="n">
        <v>0</v>
      </c>
      <c r="I1897" t="n">
        <v>0</v>
      </c>
      <c r="J1897" t="n">
        <v>0</v>
      </c>
      <c r="K1897" t="n">
        <v>0</v>
      </c>
      <c r="L1897" t="n">
        <v>0</v>
      </c>
      <c r="M1897" t="n">
        <v>0</v>
      </c>
      <c r="N1897" t="n">
        <v>0</v>
      </c>
      <c r="O1897" t="n">
        <v>0</v>
      </c>
      <c r="P1897" t="n">
        <v>0</v>
      </c>
      <c r="Q1897" t="n">
        <v>0</v>
      </c>
      <c r="R1897" s="2" t="inlineStr"/>
    </row>
    <row r="1898" ht="15" customHeight="1">
      <c r="A1898" t="inlineStr">
        <is>
          <t>A 13077-2022</t>
        </is>
      </c>
      <c r="B1898" s="1" t="n">
        <v>44643</v>
      </c>
      <c r="C1898" s="1" t="n">
        <v>45224</v>
      </c>
      <c r="D1898" t="inlineStr">
        <is>
          <t>STOCKHOLMS LÄN</t>
        </is>
      </c>
      <c r="E1898" t="inlineStr">
        <is>
          <t>NORRTÄLJE</t>
        </is>
      </c>
      <c r="G1898" t="n">
        <v>8.199999999999999</v>
      </c>
      <c r="H1898" t="n">
        <v>0</v>
      </c>
      <c r="I1898" t="n">
        <v>0</v>
      </c>
      <c r="J1898" t="n">
        <v>0</v>
      </c>
      <c r="K1898" t="n">
        <v>0</v>
      </c>
      <c r="L1898" t="n">
        <v>0</v>
      </c>
      <c r="M1898" t="n">
        <v>0</v>
      </c>
      <c r="N1898" t="n">
        <v>0</v>
      </c>
      <c r="O1898" t="n">
        <v>0</v>
      </c>
      <c r="P1898" t="n">
        <v>0</v>
      </c>
      <c r="Q1898" t="n">
        <v>0</v>
      </c>
      <c r="R1898" s="2" t="inlineStr"/>
    </row>
    <row r="1899" ht="15" customHeight="1">
      <c r="A1899" t="inlineStr">
        <is>
          <t>A 13089-2022</t>
        </is>
      </c>
      <c r="B1899" s="1" t="n">
        <v>44643</v>
      </c>
      <c r="C1899" s="1" t="n">
        <v>45224</v>
      </c>
      <c r="D1899" t="inlineStr">
        <is>
          <t>STOCKHOLMS LÄN</t>
        </is>
      </c>
      <c r="E1899" t="inlineStr">
        <is>
          <t>NORRTÄLJE</t>
        </is>
      </c>
      <c r="G1899" t="n">
        <v>4.5</v>
      </c>
      <c r="H1899" t="n">
        <v>0</v>
      </c>
      <c r="I1899" t="n">
        <v>0</v>
      </c>
      <c r="J1899" t="n">
        <v>0</v>
      </c>
      <c r="K1899" t="n">
        <v>0</v>
      </c>
      <c r="L1899" t="n">
        <v>0</v>
      </c>
      <c r="M1899" t="n">
        <v>0</v>
      </c>
      <c r="N1899" t="n">
        <v>0</v>
      </c>
      <c r="O1899" t="n">
        <v>0</v>
      </c>
      <c r="P1899" t="n">
        <v>0</v>
      </c>
      <c r="Q1899" t="n">
        <v>0</v>
      </c>
      <c r="R1899" s="2" t="inlineStr"/>
    </row>
    <row r="1900" ht="15" customHeight="1">
      <c r="A1900" t="inlineStr">
        <is>
          <t>A 13135-2022</t>
        </is>
      </c>
      <c r="B1900" s="1" t="n">
        <v>44643</v>
      </c>
      <c r="C1900" s="1" t="n">
        <v>45224</v>
      </c>
      <c r="D1900" t="inlineStr">
        <is>
          <t>STOCKHOLMS LÄN</t>
        </is>
      </c>
      <c r="E1900" t="inlineStr">
        <is>
          <t>HANINGE</t>
        </is>
      </c>
      <c r="G1900" t="n">
        <v>2</v>
      </c>
      <c r="H1900" t="n">
        <v>0</v>
      </c>
      <c r="I1900" t="n">
        <v>0</v>
      </c>
      <c r="J1900" t="n">
        <v>0</v>
      </c>
      <c r="K1900" t="n">
        <v>0</v>
      </c>
      <c r="L1900" t="n">
        <v>0</v>
      </c>
      <c r="M1900" t="n">
        <v>0</v>
      </c>
      <c r="N1900" t="n">
        <v>0</v>
      </c>
      <c r="O1900" t="n">
        <v>0</v>
      </c>
      <c r="P1900" t="n">
        <v>0</v>
      </c>
      <c r="Q1900" t="n">
        <v>0</v>
      </c>
      <c r="R1900" s="2" t="inlineStr"/>
    </row>
    <row r="1901" ht="15" customHeight="1">
      <c r="A1901" t="inlineStr">
        <is>
          <t>A 13106-2022</t>
        </is>
      </c>
      <c r="B1901" s="1" t="n">
        <v>44644</v>
      </c>
      <c r="C1901" s="1" t="n">
        <v>45224</v>
      </c>
      <c r="D1901" t="inlineStr">
        <is>
          <t>STOCKHOLMS LÄN</t>
        </is>
      </c>
      <c r="E1901" t="inlineStr">
        <is>
          <t>NORRTÄLJE</t>
        </is>
      </c>
      <c r="G1901" t="n">
        <v>2.8</v>
      </c>
      <c r="H1901" t="n">
        <v>0</v>
      </c>
      <c r="I1901" t="n">
        <v>0</v>
      </c>
      <c r="J1901" t="n">
        <v>0</v>
      </c>
      <c r="K1901" t="n">
        <v>0</v>
      </c>
      <c r="L1901" t="n">
        <v>0</v>
      </c>
      <c r="M1901" t="n">
        <v>0</v>
      </c>
      <c r="N1901" t="n">
        <v>0</v>
      </c>
      <c r="O1901" t="n">
        <v>0</v>
      </c>
      <c r="P1901" t="n">
        <v>0</v>
      </c>
      <c r="Q1901" t="n">
        <v>0</v>
      </c>
      <c r="R1901" s="2" t="inlineStr"/>
    </row>
    <row r="1902" ht="15" customHeight="1">
      <c r="A1902" t="inlineStr">
        <is>
          <t>A 13278-2022</t>
        </is>
      </c>
      <c r="B1902" s="1" t="n">
        <v>44644</v>
      </c>
      <c r="C1902" s="1" t="n">
        <v>45224</v>
      </c>
      <c r="D1902" t="inlineStr">
        <is>
          <t>STOCKHOLMS LÄN</t>
        </is>
      </c>
      <c r="E1902" t="inlineStr">
        <is>
          <t>NORRTÄLJE</t>
        </is>
      </c>
      <c r="G1902" t="n">
        <v>1.1</v>
      </c>
      <c r="H1902" t="n">
        <v>0</v>
      </c>
      <c r="I1902" t="n">
        <v>0</v>
      </c>
      <c r="J1902" t="n">
        <v>0</v>
      </c>
      <c r="K1902" t="n">
        <v>0</v>
      </c>
      <c r="L1902" t="n">
        <v>0</v>
      </c>
      <c r="M1902" t="n">
        <v>0</v>
      </c>
      <c r="N1902" t="n">
        <v>0</v>
      </c>
      <c r="O1902" t="n">
        <v>0</v>
      </c>
      <c r="P1902" t="n">
        <v>0</v>
      </c>
      <c r="Q1902" t="n">
        <v>0</v>
      </c>
      <c r="R1902" s="2" t="inlineStr"/>
    </row>
    <row r="1903" ht="15" customHeight="1">
      <c r="A1903" t="inlineStr">
        <is>
          <t>A 13276-2022</t>
        </is>
      </c>
      <c r="B1903" s="1" t="n">
        <v>44644</v>
      </c>
      <c r="C1903" s="1" t="n">
        <v>45224</v>
      </c>
      <c r="D1903" t="inlineStr">
        <is>
          <t>STOCKHOLMS LÄN</t>
        </is>
      </c>
      <c r="E1903" t="inlineStr">
        <is>
          <t>NORRTÄLJE</t>
        </is>
      </c>
      <c r="G1903" t="n">
        <v>0.7</v>
      </c>
      <c r="H1903" t="n">
        <v>0</v>
      </c>
      <c r="I1903" t="n">
        <v>0</v>
      </c>
      <c r="J1903" t="n">
        <v>0</v>
      </c>
      <c r="K1903" t="n">
        <v>0</v>
      </c>
      <c r="L1903" t="n">
        <v>0</v>
      </c>
      <c r="M1903" t="n">
        <v>0</v>
      </c>
      <c r="N1903" t="n">
        <v>0</v>
      </c>
      <c r="O1903" t="n">
        <v>0</v>
      </c>
      <c r="P1903" t="n">
        <v>0</v>
      </c>
      <c r="Q1903" t="n">
        <v>0</v>
      </c>
      <c r="R1903" s="2" t="inlineStr"/>
    </row>
    <row r="1904" ht="15" customHeight="1">
      <c r="A1904" t="inlineStr">
        <is>
          <t>A 13395-2022</t>
        </is>
      </c>
      <c r="B1904" s="1" t="n">
        <v>44645</v>
      </c>
      <c r="C1904" s="1" t="n">
        <v>45224</v>
      </c>
      <c r="D1904" t="inlineStr">
        <is>
          <t>STOCKHOLMS LÄN</t>
        </is>
      </c>
      <c r="E1904" t="inlineStr">
        <is>
          <t>NORRTÄLJE</t>
        </is>
      </c>
      <c r="G1904" t="n">
        <v>1.2</v>
      </c>
      <c r="H1904" t="n">
        <v>0</v>
      </c>
      <c r="I1904" t="n">
        <v>0</v>
      </c>
      <c r="J1904" t="n">
        <v>0</v>
      </c>
      <c r="K1904" t="n">
        <v>0</v>
      </c>
      <c r="L1904" t="n">
        <v>0</v>
      </c>
      <c r="M1904" t="n">
        <v>0</v>
      </c>
      <c r="N1904" t="n">
        <v>0</v>
      </c>
      <c r="O1904" t="n">
        <v>0</v>
      </c>
      <c r="P1904" t="n">
        <v>0</v>
      </c>
      <c r="Q1904" t="n">
        <v>0</v>
      </c>
      <c r="R1904" s="2" t="inlineStr"/>
    </row>
    <row r="1905" ht="15" customHeight="1">
      <c r="A1905" t="inlineStr">
        <is>
          <t>A 13701-2022</t>
        </is>
      </c>
      <c r="B1905" s="1" t="n">
        <v>44648</v>
      </c>
      <c r="C1905" s="1" t="n">
        <v>45224</v>
      </c>
      <c r="D1905" t="inlineStr">
        <is>
          <t>STOCKHOLMS LÄN</t>
        </is>
      </c>
      <c r="E1905" t="inlineStr">
        <is>
          <t>NORRTÄLJE</t>
        </is>
      </c>
      <c r="G1905" t="n">
        <v>1.6</v>
      </c>
      <c r="H1905" t="n">
        <v>0</v>
      </c>
      <c r="I1905" t="n">
        <v>0</v>
      </c>
      <c r="J1905" t="n">
        <v>0</v>
      </c>
      <c r="K1905" t="n">
        <v>0</v>
      </c>
      <c r="L1905" t="n">
        <v>0</v>
      </c>
      <c r="M1905" t="n">
        <v>0</v>
      </c>
      <c r="N1905" t="n">
        <v>0</v>
      </c>
      <c r="O1905" t="n">
        <v>0</v>
      </c>
      <c r="P1905" t="n">
        <v>0</v>
      </c>
      <c r="Q1905" t="n">
        <v>0</v>
      </c>
      <c r="R1905" s="2" t="inlineStr"/>
    </row>
    <row r="1906" ht="15" customHeight="1">
      <c r="A1906" t="inlineStr">
        <is>
          <t>A 13718-2022</t>
        </is>
      </c>
      <c r="B1906" s="1" t="n">
        <v>44649</v>
      </c>
      <c r="C1906" s="1" t="n">
        <v>45224</v>
      </c>
      <c r="D1906" t="inlineStr">
        <is>
          <t>STOCKHOLMS LÄN</t>
        </is>
      </c>
      <c r="E1906" t="inlineStr">
        <is>
          <t>NORRTÄLJE</t>
        </is>
      </c>
      <c r="G1906" t="n">
        <v>8.800000000000001</v>
      </c>
      <c r="H1906" t="n">
        <v>0</v>
      </c>
      <c r="I1906" t="n">
        <v>0</v>
      </c>
      <c r="J1906" t="n">
        <v>0</v>
      </c>
      <c r="K1906" t="n">
        <v>0</v>
      </c>
      <c r="L1906" t="n">
        <v>0</v>
      </c>
      <c r="M1906" t="n">
        <v>0</v>
      </c>
      <c r="N1906" t="n">
        <v>0</v>
      </c>
      <c r="O1906" t="n">
        <v>0</v>
      </c>
      <c r="P1906" t="n">
        <v>0</v>
      </c>
      <c r="Q1906" t="n">
        <v>0</v>
      </c>
      <c r="R1906" s="2" t="inlineStr"/>
    </row>
    <row r="1907" ht="15" customHeight="1">
      <c r="A1907" t="inlineStr">
        <is>
          <t>A 13836-2022</t>
        </is>
      </c>
      <c r="B1907" s="1" t="n">
        <v>44649</v>
      </c>
      <c r="C1907" s="1" t="n">
        <v>45224</v>
      </c>
      <c r="D1907" t="inlineStr">
        <is>
          <t>STOCKHOLMS LÄN</t>
        </is>
      </c>
      <c r="E1907" t="inlineStr">
        <is>
          <t>VALLENTUNA</t>
        </is>
      </c>
      <c r="G1907" t="n">
        <v>3.5</v>
      </c>
      <c r="H1907" t="n">
        <v>0</v>
      </c>
      <c r="I1907" t="n">
        <v>0</v>
      </c>
      <c r="J1907" t="n">
        <v>0</v>
      </c>
      <c r="K1907" t="n">
        <v>0</v>
      </c>
      <c r="L1907" t="n">
        <v>0</v>
      </c>
      <c r="M1907" t="n">
        <v>0</v>
      </c>
      <c r="N1907" t="n">
        <v>0</v>
      </c>
      <c r="O1907" t="n">
        <v>0</v>
      </c>
      <c r="P1907" t="n">
        <v>0</v>
      </c>
      <c r="Q1907" t="n">
        <v>0</v>
      </c>
      <c r="R1907" s="2" t="inlineStr"/>
    </row>
    <row r="1908" ht="15" customHeight="1">
      <c r="A1908" t="inlineStr">
        <is>
          <t>A 14725-2022</t>
        </is>
      </c>
      <c r="B1908" s="1" t="n">
        <v>44655</v>
      </c>
      <c r="C1908" s="1" t="n">
        <v>45224</v>
      </c>
      <c r="D1908" t="inlineStr">
        <is>
          <t>STOCKHOLMS LÄN</t>
        </is>
      </c>
      <c r="E1908" t="inlineStr">
        <is>
          <t>VALLENTUNA</t>
        </is>
      </c>
      <c r="G1908" t="n">
        <v>0.6</v>
      </c>
      <c r="H1908" t="n">
        <v>0</v>
      </c>
      <c r="I1908" t="n">
        <v>0</v>
      </c>
      <c r="J1908" t="n">
        <v>0</v>
      </c>
      <c r="K1908" t="n">
        <v>0</v>
      </c>
      <c r="L1908" t="n">
        <v>0</v>
      </c>
      <c r="M1908" t="n">
        <v>0</v>
      </c>
      <c r="N1908" t="n">
        <v>0</v>
      </c>
      <c r="O1908" t="n">
        <v>0</v>
      </c>
      <c r="P1908" t="n">
        <v>0</v>
      </c>
      <c r="Q1908" t="n">
        <v>0</v>
      </c>
      <c r="R1908" s="2" t="inlineStr"/>
    </row>
    <row r="1909" ht="15" customHeight="1">
      <c r="A1909" t="inlineStr">
        <is>
          <t>A 14719-2022</t>
        </is>
      </c>
      <c r="B1909" s="1" t="n">
        <v>44655</v>
      </c>
      <c r="C1909" s="1" t="n">
        <v>45224</v>
      </c>
      <c r="D1909" t="inlineStr">
        <is>
          <t>STOCKHOLMS LÄN</t>
        </is>
      </c>
      <c r="E1909" t="inlineStr">
        <is>
          <t>UPPLANDS-BRO</t>
        </is>
      </c>
      <c r="F1909" t="inlineStr">
        <is>
          <t>Allmännings- och besparingsskogar</t>
        </is>
      </c>
      <c r="G1909" t="n">
        <v>1.2</v>
      </c>
      <c r="H1909" t="n">
        <v>0</v>
      </c>
      <c r="I1909" t="n">
        <v>0</v>
      </c>
      <c r="J1909" t="n">
        <v>0</v>
      </c>
      <c r="K1909" t="n">
        <v>0</v>
      </c>
      <c r="L1909" t="n">
        <v>0</v>
      </c>
      <c r="M1909" t="n">
        <v>0</v>
      </c>
      <c r="N1909" t="n">
        <v>0</v>
      </c>
      <c r="O1909" t="n">
        <v>0</v>
      </c>
      <c r="P1909" t="n">
        <v>0</v>
      </c>
      <c r="Q1909" t="n">
        <v>0</v>
      </c>
      <c r="R1909" s="2" t="inlineStr"/>
    </row>
    <row r="1910" ht="15" customHeight="1">
      <c r="A1910" t="inlineStr">
        <is>
          <t>A 14724-2022</t>
        </is>
      </c>
      <c r="B1910" s="1" t="n">
        <v>44656</v>
      </c>
      <c r="C1910" s="1" t="n">
        <v>45224</v>
      </c>
      <c r="D1910" t="inlineStr">
        <is>
          <t>STOCKHOLMS LÄN</t>
        </is>
      </c>
      <c r="E1910" t="inlineStr">
        <is>
          <t>NORRTÄLJE</t>
        </is>
      </c>
      <c r="F1910" t="inlineStr">
        <is>
          <t>Sveaskog</t>
        </is>
      </c>
      <c r="G1910" t="n">
        <v>9</v>
      </c>
      <c r="H1910" t="n">
        <v>0</v>
      </c>
      <c r="I1910" t="n">
        <v>0</v>
      </c>
      <c r="J1910" t="n">
        <v>0</v>
      </c>
      <c r="K1910" t="n">
        <v>0</v>
      </c>
      <c r="L1910" t="n">
        <v>0</v>
      </c>
      <c r="M1910" t="n">
        <v>0</v>
      </c>
      <c r="N1910" t="n">
        <v>0</v>
      </c>
      <c r="O1910" t="n">
        <v>0</v>
      </c>
      <c r="P1910" t="n">
        <v>0</v>
      </c>
      <c r="Q1910" t="n">
        <v>0</v>
      </c>
      <c r="R1910" s="2" t="inlineStr"/>
    </row>
    <row r="1911" ht="15" customHeight="1">
      <c r="A1911" t="inlineStr">
        <is>
          <t>A 14869-2022</t>
        </is>
      </c>
      <c r="B1911" s="1" t="n">
        <v>44656</v>
      </c>
      <c r="C1911" s="1" t="n">
        <v>45224</v>
      </c>
      <c r="D1911" t="inlineStr">
        <is>
          <t>STOCKHOLMS LÄN</t>
        </is>
      </c>
      <c r="E1911" t="inlineStr">
        <is>
          <t>NORRTÄLJE</t>
        </is>
      </c>
      <c r="F1911" t="inlineStr">
        <is>
          <t>Holmen skog AB</t>
        </is>
      </c>
      <c r="G1911" t="n">
        <v>9.1</v>
      </c>
      <c r="H1911" t="n">
        <v>0</v>
      </c>
      <c r="I1911" t="n">
        <v>0</v>
      </c>
      <c r="J1911" t="n">
        <v>0</v>
      </c>
      <c r="K1911" t="n">
        <v>0</v>
      </c>
      <c r="L1911" t="n">
        <v>0</v>
      </c>
      <c r="M1911" t="n">
        <v>0</v>
      </c>
      <c r="N1911" t="n">
        <v>0</v>
      </c>
      <c r="O1911" t="n">
        <v>0</v>
      </c>
      <c r="P1911" t="n">
        <v>0</v>
      </c>
      <c r="Q1911" t="n">
        <v>0</v>
      </c>
      <c r="R1911" s="2" t="inlineStr"/>
    </row>
    <row r="1912" ht="15" customHeight="1">
      <c r="A1912" t="inlineStr">
        <is>
          <t>A 14716-2022</t>
        </is>
      </c>
      <c r="B1912" s="1" t="n">
        <v>44656</v>
      </c>
      <c r="C1912" s="1" t="n">
        <v>45224</v>
      </c>
      <c r="D1912" t="inlineStr">
        <is>
          <t>STOCKHOLMS LÄN</t>
        </is>
      </c>
      <c r="E1912" t="inlineStr">
        <is>
          <t>NORRTÄLJE</t>
        </is>
      </c>
      <c r="F1912" t="inlineStr">
        <is>
          <t>Sveaskog</t>
        </is>
      </c>
      <c r="G1912" t="n">
        <v>6.5</v>
      </c>
      <c r="H1912" t="n">
        <v>0</v>
      </c>
      <c r="I1912" t="n">
        <v>0</v>
      </c>
      <c r="J1912" t="n">
        <v>0</v>
      </c>
      <c r="K1912" t="n">
        <v>0</v>
      </c>
      <c r="L1912" t="n">
        <v>0</v>
      </c>
      <c r="M1912" t="n">
        <v>0</v>
      </c>
      <c r="N1912" t="n">
        <v>0</v>
      </c>
      <c r="O1912" t="n">
        <v>0</v>
      </c>
      <c r="P1912" t="n">
        <v>0</v>
      </c>
      <c r="Q1912" t="n">
        <v>0</v>
      </c>
      <c r="R1912" s="2" t="inlineStr"/>
    </row>
    <row r="1913" ht="15" customHeight="1">
      <c r="A1913" t="inlineStr">
        <is>
          <t>A 15225-2022</t>
        </is>
      </c>
      <c r="B1913" s="1" t="n">
        <v>44658</v>
      </c>
      <c r="C1913" s="1" t="n">
        <v>45224</v>
      </c>
      <c r="D1913" t="inlineStr">
        <is>
          <t>STOCKHOLMS LÄN</t>
        </is>
      </c>
      <c r="E1913" t="inlineStr">
        <is>
          <t>NORRTÄLJE</t>
        </is>
      </c>
      <c r="G1913" t="n">
        <v>1.7</v>
      </c>
      <c r="H1913" t="n">
        <v>0</v>
      </c>
      <c r="I1913" t="n">
        <v>0</v>
      </c>
      <c r="J1913" t="n">
        <v>0</v>
      </c>
      <c r="K1913" t="n">
        <v>0</v>
      </c>
      <c r="L1913" t="n">
        <v>0</v>
      </c>
      <c r="M1913" t="n">
        <v>0</v>
      </c>
      <c r="N1913" t="n">
        <v>0</v>
      </c>
      <c r="O1913" t="n">
        <v>0</v>
      </c>
      <c r="P1913" t="n">
        <v>0</v>
      </c>
      <c r="Q1913" t="n">
        <v>0</v>
      </c>
      <c r="R1913" s="2" t="inlineStr"/>
    </row>
    <row r="1914" ht="15" customHeight="1">
      <c r="A1914" t="inlineStr">
        <is>
          <t>A 15226-2022</t>
        </is>
      </c>
      <c r="B1914" s="1" t="n">
        <v>44658</v>
      </c>
      <c r="C1914" s="1" t="n">
        <v>45224</v>
      </c>
      <c r="D1914" t="inlineStr">
        <is>
          <t>STOCKHOLMS LÄN</t>
        </is>
      </c>
      <c r="E1914" t="inlineStr">
        <is>
          <t>NORRTÄLJE</t>
        </is>
      </c>
      <c r="G1914" t="n">
        <v>1.1</v>
      </c>
      <c r="H1914" t="n">
        <v>0</v>
      </c>
      <c r="I1914" t="n">
        <v>0</v>
      </c>
      <c r="J1914" t="n">
        <v>0</v>
      </c>
      <c r="K1914" t="n">
        <v>0</v>
      </c>
      <c r="L1914" t="n">
        <v>0</v>
      </c>
      <c r="M1914" t="n">
        <v>0</v>
      </c>
      <c r="N1914" t="n">
        <v>0</v>
      </c>
      <c r="O1914" t="n">
        <v>0</v>
      </c>
      <c r="P1914" t="n">
        <v>0</v>
      </c>
      <c r="Q1914" t="n">
        <v>0</v>
      </c>
      <c r="R1914" s="2" t="inlineStr"/>
    </row>
    <row r="1915" ht="15" customHeight="1">
      <c r="A1915" t="inlineStr">
        <is>
          <t>A 15131-2022</t>
        </is>
      </c>
      <c r="B1915" s="1" t="n">
        <v>44658</v>
      </c>
      <c r="C1915" s="1" t="n">
        <v>45224</v>
      </c>
      <c r="D1915" t="inlineStr">
        <is>
          <t>STOCKHOLMS LÄN</t>
        </is>
      </c>
      <c r="E1915" t="inlineStr">
        <is>
          <t>ÖSTERÅKER</t>
        </is>
      </c>
      <c r="G1915" t="n">
        <v>4.6</v>
      </c>
      <c r="H1915" t="n">
        <v>0</v>
      </c>
      <c r="I1915" t="n">
        <v>0</v>
      </c>
      <c r="J1915" t="n">
        <v>0</v>
      </c>
      <c r="K1915" t="n">
        <v>0</v>
      </c>
      <c r="L1915" t="n">
        <v>0</v>
      </c>
      <c r="M1915" t="n">
        <v>0</v>
      </c>
      <c r="N1915" t="n">
        <v>0</v>
      </c>
      <c r="O1915" t="n">
        <v>0</v>
      </c>
      <c r="P1915" t="n">
        <v>0</v>
      </c>
      <c r="Q1915" t="n">
        <v>0</v>
      </c>
      <c r="R1915" s="2" t="inlineStr"/>
    </row>
    <row r="1916" ht="15" customHeight="1">
      <c r="A1916" t="inlineStr">
        <is>
          <t>A 15630-2022</t>
        </is>
      </c>
      <c r="B1916" s="1" t="n">
        <v>44662</v>
      </c>
      <c r="C1916" s="1" t="n">
        <v>45224</v>
      </c>
      <c r="D1916" t="inlineStr">
        <is>
          <t>STOCKHOLMS LÄN</t>
        </is>
      </c>
      <c r="E1916" t="inlineStr">
        <is>
          <t>EKERÖ</t>
        </is>
      </c>
      <c r="G1916" t="n">
        <v>1</v>
      </c>
      <c r="H1916" t="n">
        <v>0</v>
      </c>
      <c r="I1916" t="n">
        <v>0</v>
      </c>
      <c r="J1916" t="n">
        <v>0</v>
      </c>
      <c r="K1916" t="n">
        <v>0</v>
      </c>
      <c r="L1916" t="n">
        <v>0</v>
      </c>
      <c r="M1916" t="n">
        <v>0</v>
      </c>
      <c r="N1916" t="n">
        <v>0</v>
      </c>
      <c r="O1916" t="n">
        <v>0</v>
      </c>
      <c r="P1916" t="n">
        <v>0</v>
      </c>
      <c r="Q1916" t="n">
        <v>0</v>
      </c>
      <c r="R1916" s="2" t="inlineStr"/>
    </row>
    <row r="1917" ht="15" customHeight="1">
      <c r="A1917" t="inlineStr">
        <is>
          <t>A 15825-2022</t>
        </is>
      </c>
      <c r="B1917" s="1" t="n">
        <v>44664</v>
      </c>
      <c r="C1917" s="1" t="n">
        <v>45224</v>
      </c>
      <c r="D1917" t="inlineStr">
        <is>
          <t>STOCKHOLMS LÄN</t>
        </is>
      </c>
      <c r="E1917" t="inlineStr">
        <is>
          <t>BOTKYRKA</t>
        </is>
      </c>
      <c r="G1917" t="n">
        <v>5.4</v>
      </c>
      <c r="H1917" t="n">
        <v>0</v>
      </c>
      <c r="I1917" t="n">
        <v>0</v>
      </c>
      <c r="J1917" t="n">
        <v>0</v>
      </c>
      <c r="K1917" t="n">
        <v>0</v>
      </c>
      <c r="L1917" t="n">
        <v>0</v>
      </c>
      <c r="M1917" t="n">
        <v>0</v>
      </c>
      <c r="N1917" t="n">
        <v>0</v>
      </c>
      <c r="O1917" t="n">
        <v>0</v>
      </c>
      <c r="P1917" t="n">
        <v>0</v>
      </c>
      <c r="Q1917" t="n">
        <v>0</v>
      </c>
      <c r="R1917" s="2" t="inlineStr"/>
    </row>
    <row r="1918" ht="15" customHeight="1">
      <c r="A1918" t="inlineStr">
        <is>
          <t>A 15905-2022</t>
        </is>
      </c>
      <c r="B1918" s="1" t="n">
        <v>44664</v>
      </c>
      <c r="C1918" s="1" t="n">
        <v>45224</v>
      </c>
      <c r="D1918" t="inlineStr">
        <is>
          <t>STOCKHOLMS LÄN</t>
        </is>
      </c>
      <c r="E1918" t="inlineStr">
        <is>
          <t>BOTKYRKA</t>
        </is>
      </c>
      <c r="G1918" t="n">
        <v>11.2</v>
      </c>
      <c r="H1918" t="n">
        <v>0</v>
      </c>
      <c r="I1918" t="n">
        <v>0</v>
      </c>
      <c r="J1918" t="n">
        <v>0</v>
      </c>
      <c r="K1918" t="n">
        <v>0</v>
      </c>
      <c r="L1918" t="n">
        <v>0</v>
      </c>
      <c r="M1918" t="n">
        <v>0</v>
      </c>
      <c r="N1918" t="n">
        <v>0</v>
      </c>
      <c r="O1918" t="n">
        <v>0</v>
      </c>
      <c r="P1918" t="n">
        <v>0</v>
      </c>
      <c r="Q1918" t="n">
        <v>0</v>
      </c>
      <c r="R1918" s="2" t="inlineStr"/>
    </row>
    <row r="1919" ht="15" customHeight="1">
      <c r="A1919" t="inlineStr">
        <is>
          <t>A 15861-2022</t>
        </is>
      </c>
      <c r="B1919" s="1" t="n">
        <v>44664</v>
      </c>
      <c r="C1919" s="1" t="n">
        <v>45224</v>
      </c>
      <c r="D1919" t="inlineStr">
        <is>
          <t>STOCKHOLMS LÄN</t>
        </is>
      </c>
      <c r="E1919" t="inlineStr">
        <is>
          <t>NORRTÄLJE</t>
        </is>
      </c>
      <c r="G1919" t="n">
        <v>10.2</v>
      </c>
      <c r="H1919" t="n">
        <v>0</v>
      </c>
      <c r="I1919" t="n">
        <v>0</v>
      </c>
      <c r="J1919" t="n">
        <v>0</v>
      </c>
      <c r="K1919" t="n">
        <v>0</v>
      </c>
      <c r="L1919" t="n">
        <v>0</v>
      </c>
      <c r="M1919" t="n">
        <v>0</v>
      </c>
      <c r="N1919" t="n">
        <v>0</v>
      </c>
      <c r="O1919" t="n">
        <v>0</v>
      </c>
      <c r="P1919" t="n">
        <v>0</v>
      </c>
      <c r="Q1919" t="n">
        <v>0</v>
      </c>
      <c r="R1919" s="2" t="inlineStr"/>
    </row>
    <row r="1920" ht="15" customHeight="1">
      <c r="A1920" t="inlineStr">
        <is>
          <t>A 16242-2022</t>
        </is>
      </c>
      <c r="B1920" s="1" t="n">
        <v>44670</v>
      </c>
      <c r="C1920" s="1" t="n">
        <v>45224</v>
      </c>
      <c r="D1920" t="inlineStr">
        <is>
          <t>STOCKHOLMS LÄN</t>
        </is>
      </c>
      <c r="E1920" t="inlineStr">
        <is>
          <t>EKERÖ</t>
        </is>
      </c>
      <c r="G1920" t="n">
        <v>0.6</v>
      </c>
      <c r="H1920" t="n">
        <v>0</v>
      </c>
      <c r="I1920" t="n">
        <v>0</v>
      </c>
      <c r="J1920" t="n">
        <v>0</v>
      </c>
      <c r="K1920" t="n">
        <v>0</v>
      </c>
      <c r="L1920" t="n">
        <v>0</v>
      </c>
      <c r="M1920" t="n">
        <v>0</v>
      </c>
      <c r="N1920" t="n">
        <v>0</v>
      </c>
      <c r="O1920" t="n">
        <v>0</v>
      </c>
      <c r="P1920" t="n">
        <v>0</v>
      </c>
      <c r="Q1920" t="n">
        <v>0</v>
      </c>
      <c r="R1920" s="2" t="inlineStr"/>
    </row>
    <row r="1921" ht="15" customHeight="1">
      <c r="A1921" t="inlineStr">
        <is>
          <t>A 16202-2022</t>
        </is>
      </c>
      <c r="B1921" s="1" t="n">
        <v>44670</v>
      </c>
      <c r="C1921" s="1" t="n">
        <v>45224</v>
      </c>
      <c r="D1921" t="inlineStr">
        <is>
          <t>STOCKHOLMS LÄN</t>
        </is>
      </c>
      <c r="E1921" t="inlineStr">
        <is>
          <t>NORRTÄLJE</t>
        </is>
      </c>
      <c r="G1921" t="n">
        <v>1.5</v>
      </c>
      <c r="H1921" t="n">
        <v>0</v>
      </c>
      <c r="I1921" t="n">
        <v>0</v>
      </c>
      <c r="J1921" t="n">
        <v>0</v>
      </c>
      <c r="K1921" t="n">
        <v>0</v>
      </c>
      <c r="L1921" t="n">
        <v>0</v>
      </c>
      <c r="M1921" t="n">
        <v>0</v>
      </c>
      <c r="N1921" t="n">
        <v>0</v>
      </c>
      <c r="O1921" t="n">
        <v>0</v>
      </c>
      <c r="P1921" t="n">
        <v>0</v>
      </c>
      <c r="Q1921" t="n">
        <v>0</v>
      </c>
      <c r="R1921" s="2" t="inlineStr"/>
    </row>
    <row r="1922" ht="15" customHeight="1">
      <c r="A1922" t="inlineStr">
        <is>
          <t>A 16224-2022</t>
        </is>
      </c>
      <c r="B1922" s="1" t="n">
        <v>44670</v>
      </c>
      <c r="C1922" s="1" t="n">
        <v>45224</v>
      </c>
      <c r="D1922" t="inlineStr">
        <is>
          <t>STOCKHOLMS LÄN</t>
        </is>
      </c>
      <c r="E1922" t="inlineStr">
        <is>
          <t>NORRTÄLJE</t>
        </is>
      </c>
      <c r="G1922" t="n">
        <v>1.5</v>
      </c>
      <c r="H1922" t="n">
        <v>0</v>
      </c>
      <c r="I1922" t="n">
        <v>0</v>
      </c>
      <c r="J1922" t="n">
        <v>0</v>
      </c>
      <c r="K1922" t="n">
        <v>0</v>
      </c>
      <c r="L1922" t="n">
        <v>0</v>
      </c>
      <c r="M1922" t="n">
        <v>0</v>
      </c>
      <c r="N1922" t="n">
        <v>0</v>
      </c>
      <c r="O1922" t="n">
        <v>0</v>
      </c>
      <c r="P1922" t="n">
        <v>0</v>
      </c>
      <c r="Q1922" t="n">
        <v>0</v>
      </c>
      <c r="R1922" s="2" t="inlineStr"/>
    </row>
    <row r="1923" ht="15" customHeight="1">
      <c r="A1923" t="inlineStr">
        <is>
          <t>A 16433-2022</t>
        </is>
      </c>
      <c r="B1923" s="1" t="n">
        <v>44671</v>
      </c>
      <c r="C1923" s="1" t="n">
        <v>45224</v>
      </c>
      <c r="D1923" t="inlineStr">
        <is>
          <t>STOCKHOLMS LÄN</t>
        </is>
      </c>
      <c r="E1923" t="inlineStr">
        <is>
          <t>SÖDERTÄLJE</t>
        </is>
      </c>
      <c r="G1923" t="n">
        <v>1</v>
      </c>
      <c r="H1923" t="n">
        <v>0</v>
      </c>
      <c r="I1923" t="n">
        <v>0</v>
      </c>
      <c r="J1923" t="n">
        <v>0</v>
      </c>
      <c r="K1923" t="n">
        <v>0</v>
      </c>
      <c r="L1923" t="n">
        <v>0</v>
      </c>
      <c r="M1923" t="n">
        <v>0</v>
      </c>
      <c r="N1923" t="n">
        <v>0</v>
      </c>
      <c r="O1923" t="n">
        <v>0</v>
      </c>
      <c r="P1923" t="n">
        <v>0</v>
      </c>
      <c r="Q1923" t="n">
        <v>0</v>
      </c>
      <c r="R1923" s="2" t="inlineStr"/>
    </row>
    <row r="1924" ht="15" customHeight="1">
      <c r="A1924" t="inlineStr">
        <is>
          <t>A 16437-2022</t>
        </is>
      </c>
      <c r="B1924" s="1" t="n">
        <v>44671</v>
      </c>
      <c r="C1924" s="1" t="n">
        <v>45224</v>
      </c>
      <c r="D1924" t="inlineStr">
        <is>
          <t>STOCKHOLMS LÄN</t>
        </is>
      </c>
      <c r="E1924" t="inlineStr">
        <is>
          <t>SÖDERTÄLJE</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16442-2022</t>
        </is>
      </c>
      <c r="B1925" s="1" t="n">
        <v>44671</v>
      </c>
      <c r="C1925" s="1" t="n">
        <v>45224</v>
      </c>
      <c r="D1925" t="inlineStr">
        <is>
          <t>STOCKHOLMS LÄN</t>
        </is>
      </c>
      <c r="E1925" t="inlineStr">
        <is>
          <t>NORRTÄLJE</t>
        </is>
      </c>
      <c r="G1925" t="n">
        <v>4.8</v>
      </c>
      <c r="H1925" t="n">
        <v>0</v>
      </c>
      <c r="I1925" t="n">
        <v>0</v>
      </c>
      <c r="J1925" t="n">
        <v>0</v>
      </c>
      <c r="K1925" t="n">
        <v>0</v>
      </c>
      <c r="L1925" t="n">
        <v>0</v>
      </c>
      <c r="M1925" t="n">
        <v>0</v>
      </c>
      <c r="N1925" t="n">
        <v>0</v>
      </c>
      <c r="O1925" t="n">
        <v>0</v>
      </c>
      <c r="P1925" t="n">
        <v>0</v>
      </c>
      <c r="Q1925" t="n">
        <v>0</v>
      </c>
      <c r="R1925" s="2" t="inlineStr"/>
    </row>
    <row r="1926" ht="15" customHeight="1">
      <c r="A1926" t="inlineStr">
        <is>
          <t>A 16534-2022</t>
        </is>
      </c>
      <c r="B1926" s="1" t="n">
        <v>44672</v>
      </c>
      <c r="C1926" s="1" t="n">
        <v>45224</v>
      </c>
      <c r="D1926" t="inlineStr">
        <is>
          <t>STOCKHOLMS LÄN</t>
        </is>
      </c>
      <c r="E1926" t="inlineStr">
        <is>
          <t>NORRTÄLJE</t>
        </is>
      </c>
      <c r="G1926" t="n">
        <v>1.3</v>
      </c>
      <c r="H1926" t="n">
        <v>0</v>
      </c>
      <c r="I1926" t="n">
        <v>0</v>
      </c>
      <c r="J1926" t="n">
        <v>0</v>
      </c>
      <c r="K1926" t="n">
        <v>0</v>
      </c>
      <c r="L1926" t="n">
        <v>0</v>
      </c>
      <c r="M1926" t="n">
        <v>0</v>
      </c>
      <c r="N1926" t="n">
        <v>0</v>
      </c>
      <c r="O1926" t="n">
        <v>0</v>
      </c>
      <c r="P1926" t="n">
        <v>0</v>
      </c>
      <c r="Q1926" t="n">
        <v>0</v>
      </c>
      <c r="R1926" s="2" t="inlineStr"/>
    </row>
    <row r="1927" ht="15" customHeight="1">
      <c r="A1927" t="inlineStr">
        <is>
          <t>A 16835-2022</t>
        </is>
      </c>
      <c r="B1927" s="1" t="n">
        <v>44673</v>
      </c>
      <c r="C1927" s="1" t="n">
        <v>45224</v>
      </c>
      <c r="D1927" t="inlineStr">
        <is>
          <t>STOCKHOLMS LÄN</t>
        </is>
      </c>
      <c r="E1927" t="inlineStr">
        <is>
          <t>NORRTÄLJE</t>
        </is>
      </c>
      <c r="G1927" t="n">
        <v>0.9</v>
      </c>
      <c r="H1927" t="n">
        <v>0</v>
      </c>
      <c r="I1927" t="n">
        <v>0</v>
      </c>
      <c r="J1927" t="n">
        <v>0</v>
      </c>
      <c r="K1927" t="n">
        <v>0</v>
      </c>
      <c r="L1927" t="n">
        <v>0</v>
      </c>
      <c r="M1927" t="n">
        <v>0</v>
      </c>
      <c r="N1927" t="n">
        <v>0</v>
      </c>
      <c r="O1927" t="n">
        <v>0</v>
      </c>
      <c r="P1927" t="n">
        <v>0</v>
      </c>
      <c r="Q1927" t="n">
        <v>0</v>
      </c>
      <c r="R1927" s="2" t="inlineStr"/>
    </row>
    <row r="1928" ht="15" customHeight="1">
      <c r="A1928" t="inlineStr">
        <is>
          <t>A 16724-2022</t>
        </is>
      </c>
      <c r="B1928" s="1" t="n">
        <v>44673</v>
      </c>
      <c r="C1928" s="1" t="n">
        <v>45224</v>
      </c>
      <c r="D1928" t="inlineStr">
        <is>
          <t>STOCKHOLMS LÄN</t>
        </is>
      </c>
      <c r="E1928" t="inlineStr">
        <is>
          <t>SÖDERTÄLJE</t>
        </is>
      </c>
      <c r="F1928" t="inlineStr">
        <is>
          <t>Övriga statliga verk och myndigheter</t>
        </is>
      </c>
      <c r="G1928" t="n">
        <v>2.7</v>
      </c>
      <c r="H1928" t="n">
        <v>0</v>
      </c>
      <c r="I1928" t="n">
        <v>0</v>
      </c>
      <c r="J1928" t="n">
        <v>0</v>
      </c>
      <c r="K1928" t="n">
        <v>0</v>
      </c>
      <c r="L1928" t="n">
        <v>0</v>
      </c>
      <c r="M1928" t="n">
        <v>0</v>
      </c>
      <c r="N1928" t="n">
        <v>0</v>
      </c>
      <c r="O1928" t="n">
        <v>0</v>
      </c>
      <c r="P1928" t="n">
        <v>0</v>
      </c>
      <c r="Q1928" t="n">
        <v>0</v>
      </c>
      <c r="R1928" s="2" t="inlineStr"/>
    </row>
    <row r="1929" ht="15" customHeight="1">
      <c r="A1929" t="inlineStr">
        <is>
          <t>A 16738-2022</t>
        </is>
      </c>
      <c r="B1929" s="1" t="n">
        <v>44673</v>
      </c>
      <c r="C1929" s="1" t="n">
        <v>45224</v>
      </c>
      <c r="D1929" t="inlineStr">
        <is>
          <t>STOCKHOLMS LÄN</t>
        </is>
      </c>
      <c r="E1929" t="inlineStr">
        <is>
          <t>ÖSTERÅKER</t>
        </is>
      </c>
      <c r="G1929" t="n">
        <v>1.1</v>
      </c>
      <c r="H1929" t="n">
        <v>0</v>
      </c>
      <c r="I1929" t="n">
        <v>0</v>
      </c>
      <c r="J1929" t="n">
        <v>0</v>
      </c>
      <c r="K1929" t="n">
        <v>0</v>
      </c>
      <c r="L1929" t="n">
        <v>0</v>
      </c>
      <c r="M1929" t="n">
        <v>0</v>
      </c>
      <c r="N1929" t="n">
        <v>0</v>
      </c>
      <c r="O1929" t="n">
        <v>0</v>
      </c>
      <c r="P1929" t="n">
        <v>0</v>
      </c>
      <c r="Q1929" t="n">
        <v>0</v>
      </c>
      <c r="R1929" s="2" t="inlineStr"/>
    </row>
    <row r="1930" ht="15" customHeight="1">
      <c r="A1930" t="inlineStr">
        <is>
          <t>A 16789-2022</t>
        </is>
      </c>
      <c r="B1930" s="1" t="n">
        <v>44673</v>
      </c>
      <c r="C1930" s="1" t="n">
        <v>45224</v>
      </c>
      <c r="D1930" t="inlineStr">
        <is>
          <t>STOCKHOLMS LÄN</t>
        </is>
      </c>
      <c r="E1930" t="inlineStr">
        <is>
          <t>ÖSTERÅKER</t>
        </is>
      </c>
      <c r="G1930" t="n">
        <v>4.3</v>
      </c>
      <c r="H1930" t="n">
        <v>0</v>
      </c>
      <c r="I1930" t="n">
        <v>0</v>
      </c>
      <c r="J1930" t="n">
        <v>0</v>
      </c>
      <c r="K1930" t="n">
        <v>0</v>
      </c>
      <c r="L1930" t="n">
        <v>0</v>
      </c>
      <c r="M1930" t="n">
        <v>0</v>
      </c>
      <c r="N1930" t="n">
        <v>0</v>
      </c>
      <c r="O1930" t="n">
        <v>0</v>
      </c>
      <c r="P1930" t="n">
        <v>0</v>
      </c>
      <c r="Q1930" t="n">
        <v>0</v>
      </c>
      <c r="R1930" s="2" t="inlineStr"/>
    </row>
    <row r="1931" ht="15" customHeight="1">
      <c r="A1931" t="inlineStr">
        <is>
          <t>A 16803-2022</t>
        </is>
      </c>
      <c r="B1931" s="1" t="n">
        <v>44673</v>
      </c>
      <c r="C1931" s="1" t="n">
        <v>45224</v>
      </c>
      <c r="D1931" t="inlineStr">
        <is>
          <t>STOCKHOLMS LÄN</t>
        </is>
      </c>
      <c r="E1931" t="inlineStr">
        <is>
          <t>ÖSTERÅKER</t>
        </is>
      </c>
      <c r="G1931" t="n">
        <v>1.9</v>
      </c>
      <c r="H1931" t="n">
        <v>0</v>
      </c>
      <c r="I1931" t="n">
        <v>0</v>
      </c>
      <c r="J1931" t="n">
        <v>0</v>
      </c>
      <c r="K1931" t="n">
        <v>0</v>
      </c>
      <c r="L1931" t="n">
        <v>0</v>
      </c>
      <c r="M1931" t="n">
        <v>0</v>
      </c>
      <c r="N1931" t="n">
        <v>0</v>
      </c>
      <c r="O1931" t="n">
        <v>0</v>
      </c>
      <c r="P1931" t="n">
        <v>0</v>
      </c>
      <c r="Q1931" t="n">
        <v>0</v>
      </c>
      <c r="R1931" s="2" t="inlineStr"/>
    </row>
    <row r="1932" ht="15" customHeight="1">
      <c r="A1932" t="inlineStr">
        <is>
          <t>A 16728-2022</t>
        </is>
      </c>
      <c r="B1932" s="1" t="n">
        <v>44673</v>
      </c>
      <c r="C1932" s="1" t="n">
        <v>45224</v>
      </c>
      <c r="D1932" t="inlineStr">
        <is>
          <t>STOCKHOLMS LÄN</t>
        </is>
      </c>
      <c r="E1932" t="inlineStr">
        <is>
          <t>ÖSTERÅKER</t>
        </is>
      </c>
      <c r="G1932" t="n">
        <v>0.9</v>
      </c>
      <c r="H1932" t="n">
        <v>0</v>
      </c>
      <c r="I1932" t="n">
        <v>0</v>
      </c>
      <c r="J1932" t="n">
        <v>0</v>
      </c>
      <c r="K1932" t="n">
        <v>0</v>
      </c>
      <c r="L1932" t="n">
        <v>0</v>
      </c>
      <c r="M1932" t="n">
        <v>0</v>
      </c>
      <c r="N1932" t="n">
        <v>0</v>
      </c>
      <c r="O1932" t="n">
        <v>0</v>
      </c>
      <c r="P1932" t="n">
        <v>0</v>
      </c>
      <c r="Q1932" t="n">
        <v>0</v>
      </c>
      <c r="R1932" s="2" t="inlineStr"/>
    </row>
    <row r="1933" ht="15" customHeight="1">
      <c r="A1933" t="inlineStr">
        <is>
          <t>A 17020-2022</t>
        </is>
      </c>
      <c r="B1933" s="1" t="n">
        <v>44676</v>
      </c>
      <c r="C1933" s="1" t="n">
        <v>45224</v>
      </c>
      <c r="D1933" t="inlineStr">
        <is>
          <t>STOCKHOLMS LÄN</t>
        </is>
      </c>
      <c r="E1933" t="inlineStr">
        <is>
          <t>HANINGE</t>
        </is>
      </c>
      <c r="F1933" t="inlineStr">
        <is>
          <t>Övriga statliga verk och myndigheter</t>
        </is>
      </c>
      <c r="G1933" t="n">
        <v>12.4</v>
      </c>
      <c r="H1933" t="n">
        <v>0</v>
      </c>
      <c r="I1933" t="n">
        <v>0</v>
      </c>
      <c r="J1933" t="n">
        <v>0</v>
      </c>
      <c r="K1933" t="n">
        <v>0</v>
      </c>
      <c r="L1933" t="n">
        <v>0</v>
      </c>
      <c r="M1933" t="n">
        <v>0</v>
      </c>
      <c r="N1933" t="n">
        <v>0</v>
      </c>
      <c r="O1933" t="n">
        <v>0</v>
      </c>
      <c r="P1933" t="n">
        <v>0</v>
      </c>
      <c r="Q1933" t="n">
        <v>0</v>
      </c>
      <c r="R1933" s="2" t="inlineStr"/>
    </row>
    <row r="1934" ht="15" customHeight="1">
      <c r="A1934" t="inlineStr">
        <is>
          <t>A 17023-2022</t>
        </is>
      </c>
      <c r="B1934" s="1" t="n">
        <v>44676</v>
      </c>
      <c r="C1934" s="1" t="n">
        <v>45224</v>
      </c>
      <c r="D1934" t="inlineStr">
        <is>
          <t>STOCKHOLMS LÄN</t>
        </is>
      </c>
      <c r="E1934" t="inlineStr">
        <is>
          <t>HANINGE</t>
        </is>
      </c>
      <c r="F1934" t="inlineStr">
        <is>
          <t>Övriga statliga verk och myndigheter</t>
        </is>
      </c>
      <c r="G1934" t="n">
        <v>11.4</v>
      </c>
      <c r="H1934" t="n">
        <v>0</v>
      </c>
      <c r="I1934" t="n">
        <v>0</v>
      </c>
      <c r="J1934" t="n">
        <v>0</v>
      </c>
      <c r="K1934" t="n">
        <v>0</v>
      </c>
      <c r="L1934" t="n">
        <v>0</v>
      </c>
      <c r="M1934" t="n">
        <v>0</v>
      </c>
      <c r="N1934" t="n">
        <v>0</v>
      </c>
      <c r="O1934" t="n">
        <v>0</v>
      </c>
      <c r="P1934" t="n">
        <v>0</v>
      </c>
      <c r="Q1934" t="n">
        <v>0</v>
      </c>
      <c r="R1934" s="2" t="inlineStr"/>
    </row>
    <row r="1935" ht="15" customHeight="1">
      <c r="A1935" t="inlineStr">
        <is>
          <t>A 17173-2022</t>
        </is>
      </c>
      <c r="B1935" s="1" t="n">
        <v>44677</v>
      </c>
      <c r="C1935" s="1" t="n">
        <v>45224</v>
      </c>
      <c r="D1935" t="inlineStr">
        <is>
          <t>STOCKHOLMS LÄN</t>
        </is>
      </c>
      <c r="E1935" t="inlineStr">
        <is>
          <t>ÖSTERÅKER</t>
        </is>
      </c>
      <c r="G1935" t="n">
        <v>2.8</v>
      </c>
      <c r="H1935" t="n">
        <v>0</v>
      </c>
      <c r="I1935" t="n">
        <v>0</v>
      </c>
      <c r="J1935" t="n">
        <v>0</v>
      </c>
      <c r="K1935" t="n">
        <v>0</v>
      </c>
      <c r="L1935" t="n">
        <v>0</v>
      </c>
      <c r="M1935" t="n">
        <v>0</v>
      </c>
      <c r="N1935" t="n">
        <v>0</v>
      </c>
      <c r="O1935" t="n">
        <v>0</v>
      </c>
      <c r="P1935" t="n">
        <v>0</v>
      </c>
      <c r="Q1935" t="n">
        <v>0</v>
      </c>
      <c r="R1935" s="2" t="inlineStr"/>
    </row>
    <row r="1936" ht="15" customHeight="1">
      <c r="A1936" t="inlineStr">
        <is>
          <t>A 17184-2022</t>
        </is>
      </c>
      <c r="B1936" s="1" t="n">
        <v>44677</v>
      </c>
      <c r="C1936" s="1" t="n">
        <v>45224</v>
      </c>
      <c r="D1936" t="inlineStr">
        <is>
          <t>STOCKHOLMS LÄN</t>
        </is>
      </c>
      <c r="E1936" t="inlineStr">
        <is>
          <t>ÖSTERÅKER</t>
        </is>
      </c>
      <c r="G1936" t="n">
        <v>3.5</v>
      </c>
      <c r="H1936" t="n">
        <v>0</v>
      </c>
      <c r="I1936" t="n">
        <v>0</v>
      </c>
      <c r="J1936" t="n">
        <v>0</v>
      </c>
      <c r="K1936" t="n">
        <v>0</v>
      </c>
      <c r="L1936" t="n">
        <v>0</v>
      </c>
      <c r="M1936" t="n">
        <v>0</v>
      </c>
      <c r="N1936" t="n">
        <v>0</v>
      </c>
      <c r="O1936" t="n">
        <v>0</v>
      </c>
      <c r="P1936" t="n">
        <v>0</v>
      </c>
      <c r="Q1936" t="n">
        <v>0</v>
      </c>
      <c r="R1936" s="2" t="inlineStr"/>
    </row>
    <row r="1937" ht="15" customHeight="1">
      <c r="A1937" t="inlineStr">
        <is>
          <t>A 17196-2022</t>
        </is>
      </c>
      <c r="B1937" s="1" t="n">
        <v>44677</v>
      </c>
      <c r="C1937" s="1" t="n">
        <v>45224</v>
      </c>
      <c r="D1937" t="inlineStr">
        <is>
          <t>STOCKHOLMS LÄN</t>
        </is>
      </c>
      <c r="E1937" t="inlineStr">
        <is>
          <t>ÖSTERÅKER</t>
        </is>
      </c>
      <c r="G1937" t="n">
        <v>5.9</v>
      </c>
      <c r="H1937" t="n">
        <v>0</v>
      </c>
      <c r="I1937" t="n">
        <v>0</v>
      </c>
      <c r="J1937" t="n">
        <v>0</v>
      </c>
      <c r="K1937" t="n">
        <v>0</v>
      </c>
      <c r="L1937" t="n">
        <v>0</v>
      </c>
      <c r="M1937" t="n">
        <v>0</v>
      </c>
      <c r="N1937" t="n">
        <v>0</v>
      </c>
      <c r="O1937" t="n">
        <v>0</v>
      </c>
      <c r="P1937" t="n">
        <v>0</v>
      </c>
      <c r="Q1937" t="n">
        <v>0</v>
      </c>
      <c r="R1937" s="2" t="inlineStr"/>
    </row>
    <row r="1938" ht="15" customHeight="1">
      <c r="A1938" t="inlineStr">
        <is>
          <t>A 17391-2022</t>
        </is>
      </c>
      <c r="B1938" s="1" t="n">
        <v>44678</v>
      </c>
      <c r="C1938" s="1" t="n">
        <v>45224</v>
      </c>
      <c r="D1938" t="inlineStr">
        <is>
          <t>STOCKHOLMS LÄN</t>
        </is>
      </c>
      <c r="E1938" t="inlineStr">
        <is>
          <t>NORRTÄLJE</t>
        </is>
      </c>
      <c r="G1938" t="n">
        <v>2.8</v>
      </c>
      <c r="H1938" t="n">
        <v>0</v>
      </c>
      <c r="I1938" t="n">
        <v>0</v>
      </c>
      <c r="J1938" t="n">
        <v>0</v>
      </c>
      <c r="K1938" t="n">
        <v>0</v>
      </c>
      <c r="L1938" t="n">
        <v>0</v>
      </c>
      <c r="M1938" t="n">
        <v>0</v>
      </c>
      <c r="N1938" t="n">
        <v>0</v>
      </c>
      <c r="O1938" t="n">
        <v>0</v>
      </c>
      <c r="P1938" t="n">
        <v>0</v>
      </c>
      <c r="Q1938" t="n">
        <v>0</v>
      </c>
      <c r="R1938" s="2" t="inlineStr"/>
    </row>
    <row r="1939" ht="15" customHeight="1">
      <c r="A1939" t="inlineStr">
        <is>
          <t>A 17263-2022</t>
        </is>
      </c>
      <c r="B1939" s="1" t="n">
        <v>44678</v>
      </c>
      <c r="C1939" s="1" t="n">
        <v>45224</v>
      </c>
      <c r="D1939" t="inlineStr">
        <is>
          <t>STOCKHOLMS LÄN</t>
        </is>
      </c>
      <c r="E1939" t="inlineStr">
        <is>
          <t>ÖSTERÅKER</t>
        </is>
      </c>
      <c r="G1939" t="n">
        <v>2.4</v>
      </c>
      <c r="H1939" t="n">
        <v>0</v>
      </c>
      <c r="I1939" t="n">
        <v>0</v>
      </c>
      <c r="J1939" t="n">
        <v>0</v>
      </c>
      <c r="K1939" t="n">
        <v>0</v>
      </c>
      <c r="L1939" t="n">
        <v>0</v>
      </c>
      <c r="M1939" t="n">
        <v>0</v>
      </c>
      <c r="N1939" t="n">
        <v>0</v>
      </c>
      <c r="O1939" t="n">
        <v>0</v>
      </c>
      <c r="P1939" t="n">
        <v>0</v>
      </c>
      <c r="Q1939" t="n">
        <v>0</v>
      </c>
      <c r="R1939" s="2" t="inlineStr"/>
    </row>
    <row r="1940" ht="15" customHeight="1">
      <c r="A1940" t="inlineStr">
        <is>
          <t>A 17390-2022</t>
        </is>
      </c>
      <c r="B1940" s="1" t="n">
        <v>44678</v>
      </c>
      <c r="C1940" s="1" t="n">
        <v>45224</v>
      </c>
      <c r="D1940" t="inlineStr">
        <is>
          <t>STOCKHOLMS LÄN</t>
        </is>
      </c>
      <c r="E1940" t="inlineStr">
        <is>
          <t>NORRTÄLJE</t>
        </is>
      </c>
      <c r="G1940" t="n">
        <v>4.9</v>
      </c>
      <c r="H1940" t="n">
        <v>0</v>
      </c>
      <c r="I1940" t="n">
        <v>0</v>
      </c>
      <c r="J1940" t="n">
        <v>0</v>
      </c>
      <c r="K1940" t="n">
        <v>0</v>
      </c>
      <c r="L1940" t="n">
        <v>0</v>
      </c>
      <c r="M1940" t="n">
        <v>0</v>
      </c>
      <c r="N1940" t="n">
        <v>0</v>
      </c>
      <c r="O1940" t="n">
        <v>0</v>
      </c>
      <c r="P1940" t="n">
        <v>0</v>
      </c>
      <c r="Q1940" t="n">
        <v>0</v>
      </c>
      <c r="R1940" s="2" t="inlineStr"/>
    </row>
    <row r="1941" ht="15" customHeight="1">
      <c r="A1941" t="inlineStr">
        <is>
          <t>A 17286-2022</t>
        </is>
      </c>
      <c r="B1941" s="1" t="n">
        <v>44678</v>
      </c>
      <c r="C1941" s="1" t="n">
        <v>45224</v>
      </c>
      <c r="D1941" t="inlineStr">
        <is>
          <t>STOCKHOLMS LÄN</t>
        </is>
      </c>
      <c r="E1941" t="inlineStr">
        <is>
          <t>SIGTUNA</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17388-2022</t>
        </is>
      </c>
      <c r="B1942" s="1" t="n">
        <v>44678</v>
      </c>
      <c r="C1942" s="1" t="n">
        <v>45224</v>
      </c>
      <c r="D1942" t="inlineStr">
        <is>
          <t>STOCKHOLMS LÄN</t>
        </is>
      </c>
      <c r="E1942" t="inlineStr">
        <is>
          <t>NORRTÄLJE</t>
        </is>
      </c>
      <c r="G1942" t="n">
        <v>2.4</v>
      </c>
      <c r="H1942" t="n">
        <v>0</v>
      </c>
      <c r="I1942" t="n">
        <v>0</v>
      </c>
      <c r="J1942" t="n">
        <v>0</v>
      </c>
      <c r="K1942" t="n">
        <v>0</v>
      </c>
      <c r="L1942" t="n">
        <v>0</v>
      </c>
      <c r="M1942" t="n">
        <v>0</v>
      </c>
      <c r="N1942" t="n">
        <v>0</v>
      </c>
      <c r="O1942" t="n">
        <v>0</v>
      </c>
      <c r="P1942" t="n">
        <v>0</v>
      </c>
      <c r="Q1942" t="n">
        <v>0</v>
      </c>
      <c r="R1942" s="2" t="inlineStr"/>
    </row>
    <row r="1943" ht="15" customHeight="1">
      <c r="A1943" t="inlineStr">
        <is>
          <t>A 17789-2022</t>
        </is>
      </c>
      <c r="B1943" s="1" t="n">
        <v>44680</v>
      </c>
      <c r="C1943" s="1" t="n">
        <v>45224</v>
      </c>
      <c r="D1943" t="inlineStr">
        <is>
          <t>STOCKHOLMS LÄN</t>
        </is>
      </c>
      <c r="E1943" t="inlineStr">
        <is>
          <t>BOTKYRKA</t>
        </is>
      </c>
      <c r="G1943" t="n">
        <v>3.2</v>
      </c>
      <c r="H1943" t="n">
        <v>0</v>
      </c>
      <c r="I1943" t="n">
        <v>0</v>
      </c>
      <c r="J1943" t="n">
        <v>0</v>
      </c>
      <c r="K1943" t="n">
        <v>0</v>
      </c>
      <c r="L1943" t="n">
        <v>0</v>
      </c>
      <c r="M1943" t="n">
        <v>0</v>
      </c>
      <c r="N1943" t="n">
        <v>0</v>
      </c>
      <c r="O1943" t="n">
        <v>0</v>
      </c>
      <c r="P1943" t="n">
        <v>0</v>
      </c>
      <c r="Q1943" t="n">
        <v>0</v>
      </c>
      <c r="R1943" s="2" t="inlineStr"/>
    </row>
    <row r="1944" ht="15" customHeight="1">
      <c r="A1944" t="inlineStr">
        <is>
          <t>A 17612-2022</t>
        </is>
      </c>
      <c r="B1944" s="1" t="n">
        <v>44680</v>
      </c>
      <c r="C1944" s="1" t="n">
        <v>45224</v>
      </c>
      <c r="D1944" t="inlineStr">
        <is>
          <t>STOCKHOLMS LÄN</t>
        </is>
      </c>
      <c r="E1944" t="inlineStr">
        <is>
          <t>NORRTÄLJE</t>
        </is>
      </c>
      <c r="G1944" t="n">
        <v>2.6</v>
      </c>
      <c r="H1944" t="n">
        <v>0</v>
      </c>
      <c r="I1944" t="n">
        <v>0</v>
      </c>
      <c r="J1944" t="n">
        <v>0</v>
      </c>
      <c r="K1944" t="n">
        <v>0</v>
      </c>
      <c r="L1944" t="n">
        <v>0</v>
      </c>
      <c r="M1944" t="n">
        <v>0</v>
      </c>
      <c r="N1944" t="n">
        <v>0</v>
      </c>
      <c r="O1944" t="n">
        <v>0</v>
      </c>
      <c r="P1944" t="n">
        <v>0</v>
      </c>
      <c r="Q1944" t="n">
        <v>0</v>
      </c>
      <c r="R1944" s="2" t="inlineStr"/>
    </row>
    <row r="1945" ht="15" customHeight="1">
      <c r="A1945" t="inlineStr">
        <is>
          <t>A 17629-2022</t>
        </is>
      </c>
      <c r="B1945" s="1" t="n">
        <v>44680</v>
      </c>
      <c r="C1945" s="1" t="n">
        <v>45224</v>
      </c>
      <c r="D1945" t="inlineStr">
        <is>
          <t>STOCKHOLMS LÄN</t>
        </is>
      </c>
      <c r="E1945" t="inlineStr">
        <is>
          <t>NORRTÄLJE</t>
        </is>
      </c>
      <c r="G1945" t="n">
        <v>0.6</v>
      </c>
      <c r="H1945" t="n">
        <v>0</v>
      </c>
      <c r="I1945" t="n">
        <v>0</v>
      </c>
      <c r="J1945" t="n">
        <v>0</v>
      </c>
      <c r="K1945" t="n">
        <v>0</v>
      </c>
      <c r="L1945" t="n">
        <v>0</v>
      </c>
      <c r="M1945" t="n">
        <v>0</v>
      </c>
      <c r="N1945" t="n">
        <v>0</v>
      </c>
      <c r="O1945" t="n">
        <v>0</v>
      </c>
      <c r="P1945" t="n">
        <v>0</v>
      </c>
      <c r="Q1945" t="n">
        <v>0</v>
      </c>
      <c r="R1945" s="2" t="inlineStr"/>
    </row>
    <row r="1946" ht="15" customHeight="1">
      <c r="A1946" t="inlineStr">
        <is>
          <t>A 17634-2022</t>
        </is>
      </c>
      <c r="B1946" s="1" t="n">
        <v>44680</v>
      </c>
      <c r="C1946" s="1" t="n">
        <v>45224</v>
      </c>
      <c r="D1946" t="inlineStr">
        <is>
          <t>STOCKHOLMS LÄN</t>
        </is>
      </c>
      <c r="E1946" t="inlineStr">
        <is>
          <t>NYNÄSHAMN</t>
        </is>
      </c>
      <c r="G1946" t="n">
        <v>2.6</v>
      </c>
      <c r="H1946" t="n">
        <v>0</v>
      </c>
      <c r="I1946" t="n">
        <v>0</v>
      </c>
      <c r="J1946" t="n">
        <v>0</v>
      </c>
      <c r="K1946" t="n">
        <v>0</v>
      </c>
      <c r="L1946" t="n">
        <v>0</v>
      </c>
      <c r="M1946" t="n">
        <v>0</v>
      </c>
      <c r="N1946" t="n">
        <v>0</v>
      </c>
      <c r="O1946" t="n">
        <v>0</v>
      </c>
      <c r="P1946" t="n">
        <v>0</v>
      </c>
      <c r="Q1946" t="n">
        <v>0</v>
      </c>
      <c r="R1946" s="2" t="inlineStr"/>
    </row>
    <row r="1947" ht="15" customHeight="1">
      <c r="A1947" t="inlineStr">
        <is>
          <t>A 17803-2022</t>
        </is>
      </c>
      <c r="B1947" s="1" t="n">
        <v>44683</v>
      </c>
      <c r="C1947" s="1" t="n">
        <v>45224</v>
      </c>
      <c r="D1947" t="inlineStr">
        <is>
          <t>STOCKHOLMS LÄN</t>
        </is>
      </c>
      <c r="E1947" t="inlineStr">
        <is>
          <t>NORRTÄLJE</t>
        </is>
      </c>
      <c r="G1947" t="n">
        <v>1.4</v>
      </c>
      <c r="H1947" t="n">
        <v>0</v>
      </c>
      <c r="I1947" t="n">
        <v>0</v>
      </c>
      <c r="J1947" t="n">
        <v>0</v>
      </c>
      <c r="K1947" t="n">
        <v>0</v>
      </c>
      <c r="L1947" t="n">
        <v>0</v>
      </c>
      <c r="M1947" t="n">
        <v>0</v>
      </c>
      <c r="N1947" t="n">
        <v>0</v>
      </c>
      <c r="O1947" t="n">
        <v>0</v>
      </c>
      <c r="P1947" t="n">
        <v>0</v>
      </c>
      <c r="Q1947" t="n">
        <v>0</v>
      </c>
      <c r="R1947" s="2" t="inlineStr"/>
    </row>
    <row r="1948" ht="15" customHeight="1">
      <c r="A1948" t="inlineStr">
        <is>
          <t>A 17952-2022</t>
        </is>
      </c>
      <c r="B1948" s="1" t="n">
        <v>44683</v>
      </c>
      <c r="C1948" s="1" t="n">
        <v>45224</v>
      </c>
      <c r="D1948" t="inlineStr">
        <is>
          <t>STOCKHOLMS LÄN</t>
        </is>
      </c>
      <c r="E1948" t="inlineStr">
        <is>
          <t>NORRTÄLJE</t>
        </is>
      </c>
      <c r="G1948" t="n">
        <v>51.1</v>
      </c>
      <c r="H1948" t="n">
        <v>0</v>
      </c>
      <c r="I1948" t="n">
        <v>0</v>
      </c>
      <c r="J1948" t="n">
        <v>0</v>
      </c>
      <c r="K1948" t="n">
        <v>0</v>
      </c>
      <c r="L1948" t="n">
        <v>0</v>
      </c>
      <c r="M1948" t="n">
        <v>0</v>
      </c>
      <c r="N1948" t="n">
        <v>0</v>
      </c>
      <c r="O1948" t="n">
        <v>0</v>
      </c>
      <c r="P1948" t="n">
        <v>0</v>
      </c>
      <c r="Q1948" t="n">
        <v>0</v>
      </c>
      <c r="R1948" s="2" t="inlineStr"/>
    </row>
    <row r="1949" ht="15" customHeight="1">
      <c r="A1949" t="inlineStr">
        <is>
          <t>A 18092-2022</t>
        </is>
      </c>
      <c r="B1949" s="1" t="n">
        <v>44684</v>
      </c>
      <c r="C1949" s="1" t="n">
        <v>45224</v>
      </c>
      <c r="D1949" t="inlineStr">
        <is>
          <t>STOCKHOLMS LÄN</t>
        </is>
      </c>
      <c r="E1949" t="inlineStr">
        <is>
          <t>NORRTÄLJE</t>
        </is>
      </c>
      <c r="G1949" t="n">
        <v>9.199999999999999</v>
      </c>
      <c r="H1949" t="n">
        <v>0</v>
      </c>
      <c r="I1949" t="n">
        <v>0</v>
      </c>
      <c r="J1949" t="n">
        <v>0</v>
      </c>
      <c r="K1949" t="n">
        <v>0</v>
      </c>
      <c r="L1949" t="n">
        <v>0</v>
      </c>
      <c r="M1949" t="n">
        <v>0</v>
      </c>
      <c r="N1949" t="n">
        <v>0</v>
      </c>
      <c r="O1949" t="n">
        <v>0</v>
      </c>
      <c r="P1949" t="n">
        <v>0</v>
      </c>
      <c r="Q1949" t="n">
        <v>0</v>
      </c>
      <c r="R1949" s="2" t="inlineStr"/>
    </row>
    <row r="1950" ht="15" customHeight="1">
      <c r="A1950" t="inlineStr">
        <is>
          <t>A 18093-2022</t>
        </is>
      </c>
      <c r="B1950" s="1" t="n">
        <v>44684</v>
      </c>
      <c r="C1950" s="1" t="n">
        <v>45224</v>
      </c>
      <c r="D1950" t="inlineStr">
        <is>
          <t>STOCKHOLMS LÄN</t>
        </is>
      </c>
      <c r="E1950" t="inlineStr">
        <is>
          <t>BOTKYRKA</t>
        </is>
      </c>
      <c r="G1950" t="n">
        <v>2.2</v>
      </c>
      <c r="H1950" t="n">
        <v>0</v>
      </c>
      <c r="I1950" t="n">
        <v>0</v>
      </c>
      <c r="J1950" t="n">
        <v>0</v>
      </c>
      <c r="K1950" t="n">
        <v>0</v>
      </c>
      <c r="L1950" t="n">
        <v>0</v>
      </c>
      <c r="M1950" t="n">
        <v>0</v>
      </c>
      <c r="N1950" t="n">
        <v>0</v>
      </c>
      <c r="O1950" t="n">
        <v>0</v>
      </c>
      <c r="P1950" t="n">
        <v>0</v>
      </c>
      <c r="Q1950" t="n">
        <v>0</v>
      </c>
      <c r="R1950" s="2" t="inlineStr"/>
    </row>
    <row r="1951" ht="15" customHeight="1">
      <c r="A1951" t="inlineStr">
        <is>
          <t>A 18103-2022</t>
        </is>
      </c>
      <c r="B1951" s="1" t="n">
        <v>44684</v>
      </c>
      <c r="C1951" s="1" t="n">
        <v>45224</v>
      </c>
      <c r="D1951" t="inlineStr">
        <is>
          <t>STOCKHOLMS LÄN</t>
        </is>
      </c>
      <c r="E1951" t="inlineStr">
        <is>
          <t>NORRTÄLJE</t>
        </is>
      </c>
      <c r="G1951" t="n">
        <v>1</v>
      </c>
      <c r="H1951" t="n">
        <v>0</v>
      </c>
      <c r="I1951" t="n">
        <v>0</v>
      </c>
      <c r="J1951" t="n">
        <v>0</v>
      </c>
      <c r="K1951" t="n">
        <v>0</v>
      </c>
      <c r="L1951" t="n">
        <v>0</v>
      </c>
      <c r="M1951" t="n">
        <v>0</v>
      </c>
      <c r="N1951" t="n">
        <v>0</v>
      </c>
      <c r="O1951" t="n">
        <v>0</v>
      </c>
      <c r="P1951" t="n">
        <v>0</v>
      </c>
      <c r="Q1951" t="n">
        <v>0</v>
      </c>
      <c r="R1951" s="2" t="inlineStr"/>
    </row>
    <row r="1952" ht="15" customHeight="1">
      <c r="A1952" t="inlineStr">
        <is>
          <t>A 18091-2022</t>
        </is>
      </c>
      <c r="B1952" s="1" t="n">
        <v>44684</v>
      </c>
      <c r="C1952" s="1" t="n">
        <v>45224</v>
      </c>
      <c r="D1952" t="inlineStr">
        <is>
          <t>STOCKHOLMS LÄN</t>
        </is>
      </c>
      <c r="E1952" t="inlineStr">
        <is>
          <t>ÖSTERÅKER</t>
        </is>
      </c>
      <c r="G1952" t="n">
        <v>6.1</v>
      </c>
      <c r="H1952" t="n">
        <v>0</v>
      </c>
      <c r="I1952" t="n">
        <v>0</v>
      </c>
      <c r="J1952" t="n">
        <v>0</v>
      </c>
      <c r="K1952" t="n">
        <v>0</v>
      </c>
      <c r="L1952" t="n">
        <v>0</v>
      </c>
      <c r="M1952" t="n">
        <v>0</v>
      </c>
      <c r="N1952" t="n">
        <v>0</v>
      </c>
      <c r="O1952" t="n">
        <v>0</v>
      </c>
      <c r="P1952" t="n">
        <v>0</v>
      </c>
      <c r="Q1952" t="n">
        <v>0</v>
      </c>
      <c r="R1952" s="2" t="inlineStr"/>
    </row>
    <row r="1953" ht="15" customHeight="1">
      <c r="A1953" t="inlineStr">
        <is>
          <t>A 18350-2022</t>
        </is>
      </c>
      <c r="B1953" s="1" t="n">
        <v>44685</v>
      </c>
      <c r="C1953" s="1" t="n">
        <v>45224</v>
      </c>
      <c r="D1953" t="inlineStr">
        <is>
          <t>STOCKHOLMS LÄN</t>
        </is>
      </c>
      <c r="E1953" t="inlineStr">
        <is>
          <t>NORRTÄLJE</t>
        </is>
      </c>
      <c r="F1953" t="inlineStr">
        <is>
          <t>Holmen skog AB</t>
        </is>
      </c>
      <c r="G1953" t="n">
        <v>7.1</v>
      </c>
      <c r="H1953" t="n">
        <v>0</v>
      </c>
      <c r="I1953" t="n">
        <v>0</v>
      </c>
      <c r="J1953" t="n">
        <v>0</v>
      </c>
      <c r="K1953" t="n">
        <v>0</v>
      </c>
      <c r="L1953" t="n">
        <v>0</v>
      </c>
      <c r="M1953" t="n">
        <v>0</v>
      </c>
      <c r="N1953" t="n">
        <v>0</v>
      </c>
      <c r="O1953" t="n">
        <v>0</v>
      </c>
      <c r="P1953" t="n">
        <v>0</v>
      </c>
      <c r="Q1953" t="n">
        <v>0</v>
      </c>
      <c r="R1953" s="2" t="inlineStr"/>
    </row>
    <row r="1954" ht="15" customHeight="1">
      <c r="A1954" t="inlineStr">
        <is>
          <t>A 18546-2022</t>
        </is>
      </c>
      <c r="B1954" s="1" t="n">
        <v>44686</v>
      </c>
      <c r="C1954" s="1" t="n">
        <v>45224</v>
      </c>
      <c r="D1954" t="inlineStr">
        <is>
          <t>STOCKHOLMS LÄN</t>
        </is>
      </c>
      <c r="E1954" t="inlineStr">
        <is>
          <t>NORRTÄLJE</t>
        </is>
      </c>
      <c r="G1954" t="n">
        <v>15.2</v>
      </c>
      <c r="H1954" t="n">
        <v>0</v>
      </c>
      <c r="I1954" t="n">
        <v>0</v>
      </c>
      <c r="J1954" t="n">
        <v>0</v>
      </c>
      <c r="K1954" t="n">
        <v>0</v>
      </c>
      <c r="L1954" t="n">
        <v>0</v>
      </c>
      <c r="M1954" t="n">
        <v>0</v>
      </c>
      <c r="N1954" t="n">
        <v>0</v>
      </c>
      <c r="O1954" t="n">
        <v>0</v>
      </c>
      <c r="P1954" t="n">
        <v>0</v>
      </c>
      <c r="Q1954" t="n">
        <v>0</v>
      </c>
      <c r="R1954" s="2" t="inlineStr"/>
    </row>
    <row r="1955" ht="15" customHeight="1">
      <c r="A1955" t="inlineStr">
        <is>
          <t>A 18665-2022</t>
        </is>
      </c>
      <c r="B1955" s="1" t="n">
        <v>44687</v>
      </c>
      <c r="C1955" s="1" t="n">
        <v>45224</v>
      </c>
      <c r="D1955" t="inlineStr">
        <is>
          <t>STOCKHOLMS LÄN</t>
        </is>
      </c>
      <c r="E1955" t="inlineStr">
        <is>
          <t>NORRTÄLJE</t>
        </is>
      </c>
      <c r="F1955" t="inlineStr">
        <is>
          <t>Kyrkan</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18787-2022</t>
        </is>
      </c>
      <c r="B1956" s="1" t="n">
        <v>44687</v>
      </c>
      <c r="C1956" s="1" t="n">
        <v>45224</v>
      </c>
      <c r="D1956" t="inlineStr">
        <is>
          <t>STOCKHOLMS LÄN</t>
        </is>
      </c>
      <c r="E1956" t="inlineStr">
        <is>
          <t>NORRTÄLJE</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18894-2022</t>
        </is>
      </c>
      <c r="B1957" s="1" t="n">
        <v>44690</v>
      </c>
      <c r="C1957" s="1" t="n">
        <v>45224</v>
      </c>
      <c r="D1957" t="inlineStr">
        <is>
          <t>STOCKHOLMS LÄN</t>
        </is>
      </c>
      <c r="E1957" t="inlineStr">
        <is>
          <t>NORRTÄLJE</t>
        </is>
      </c>
      <c r="G1957" t="n">
        <v>3.6</v>
      </c>
      <c r="H1957" t="n">
        <v>0</v>
      </c>
      <c r="I1957" t="n">
        <v>0</v>
      </c>
      <c r="J1957" t="n">
        <v>0</v>
      </c>
      <c r="K1957" t="n">
        <v>0</v>
      </c>
      <c r="L1957" t="n">
        <v>0</v>
      </c>
      <c r="M1957" t="n">
        <v>0</v>
      </c>
      <c r="N1957" t="n">
        <v>0</v>
      </c>
      <c r="O1957" t="n">
        <v>0</v>
      </c>
      <c r="P1957" t="n">
        <v>0</v>
      </c>
      <c r="Q1957" t="n">
        <v>0</v>
      </c>
      <c r="R1957" s="2" t="inlineStr"/>
    </row>
    <row r="1958" ht="15" customHeight="1">
      <c r="A1958" t="inlineStr">
        <is>
          <t>A 18846-2022</t>
        </is>
      </c>
      <c r="B1958" s="1" t="n">
        <v>44690</v>
      </c>
      <c r="C1958" s="1" t="n">
        <v>45224</v>
      </c>
      <c r="D1958" t="inlineStr">
        <is>
          <t>STOCKHOLMS LÄN</t>
        </is>
      </c>
      <c r="E1958" t="inlineStr">
        <is>
          <t>NORRTÄLJE</t>
        </is>
      </c>
      <c r="G1958" t="n">
        <v>7</v>
      </c>
      <c r="H1958" t="n">
        <v>0</v>
      </c>
      <c r="I1958" t="n">
        <v>0</v>
      </c>
      <c r="J1958" t="n">
        <v>0</v>
      </c>
      <c r="K1958" t="n">
        <v>0</v>
      </c>
      <c r="L1958" t="n">
        <v>0</v>
      </c>
      <c r="M1958" t="n">
        <v>0</v>
      </c>
      <c r="N1958" t="n">
        <v>0</v>
      </c>
      <c r="O1958" t="n">
        <v>0</v>
      </c>
      <c r="P1958" t="n">
        <v>0</v>
      </c>
      <c r="Q1958" t="n">
        <v>0</v>
      </c>
      <c r="R1958" s="2" t="inlineStr"/>
    </row>
    <row r="1959" ht="15" customHeight="1">
      <c r="A1959" t="inlineStr">
        <is>
          <t>A 18905-2022</t>
        </is>
      </c>
      <c r="B1959" s="1" t="n">
        <v>44690</v>
      </c>
      <c r="C1959" s="1" t="n">
        <v>45224</v>
      </c>
      <c r="D1959" t="inlineStr">
        <is>
          <t>STOCKHOLMS LÄN</t>
        </is>
      </c>
      <c r="E1959" t="inlineStr">
        <is>
          <t>NORRTÄLJE</t>
        </is>
      </c>
      <c r="G1959" t="n">
        <v>0.7</v>
      </c>
      <c r="H1959" t="n">
        <v>0</v>
      </c>
      <c r="I1959" t="n">
        <v>0</v>
      </c>
      <c r="J1959" t="n">
        <v>0</v>
      </c>
      <c r="K1959" t="n">
        <v>0</v>
      </c>
      <c r="L1959" t="n">
        <v>0</v>
      </c>
      <c r="M1959" t="n">
        <v>0</v>
      </c>
      <c r="N1959" t="n">
        <v>0</v>
      </c>
      <c r="O1959" t="n">
        <v>0</v>
      </c>
      <c r="P1959" t="n">
        <v>0</v>
      </c>
      <c r="Q1959" t="n">
        <v>0</v>
      </c>
      <c r="R1959" s="2" t="inlineStr"/>
    </row>
    <row r="1960" ht="15" customHeight="1">
      <c r="A1960" t="inlineStr">
        <is>
          <t>A 19116-2022</t>
        </is>
      </c>
      <c r="B1960" s="1" t="n">
        <v>44691</v>
      </c>
      <c r="C1960" s="1" t="n">
        <v>45224</v>
      </c>
      <c r="D1960" t="inlineStr">
        <is>
          <t>STOCKHOLMS LÄN</t>
        </is>
      </c>
      <c r="E1960" t="inlineStr">
        <is>
          <t>NORRTÄLJE</t>
        </is>
      </c>
      <c r="G1960" t="n">
        <v>2.1</v>
      </c>
      <c r="H1960" t="n">
        <v>0</v>
      </c>
      <c r="I1960" t="n">
        <v>0</v>
      </c>
      <c r="J1960" t="n">
        <v>0</v>
      </c>
      <c r="K1960" t="n">
        <v>0</v>
      </c>
      <c r="L1960" t="n">
        <v>0</v>
      </c>
      <c r="M1960" t="n">
        <v>0</v>
      </c>
      <c r="N1960" t="n">
        <v>0</v>
      </c>
      <c r="O1960" t="n">
        <v>0</v>
      </c>
      <c r="P1960" t="n">
        <v>0</v>
      </c>
      <c r="Q1960" t="n">
        <v>0</v>
      </c>
      <c r="R1960" s="2" t="inlineStr"/>
    </row>
    <row r="1961" ht="15" customHeight="1">
      <c r="A1961" t="inlineStr">
        <is>
          <t>A 19580-2022</t>
        </is>
      </c>
      <c r="B1961" s="1" t="n">
        <v>44693</v>
      </c>
      <c r="C1961" s="1" t="n">
        <v>45224</v>
      </c>
      <c r="D1961" t="inlineStr">
        <is>
          <t>STOCKHOLMS LÄN</t>
        </is>
      </c>
      <c r="E1961" t="inlineStr">
        <is>
          <t>NORRTÄLJE</t>
        </is>
      </c>
      <c r="G1961" t="n">
        <v>0.4</v>
      </c>
      <c r="H1961" t="n">
        <v>0</v>
      </c>
      <c r="I1961" t="n">
        <v>0</v>
      </c>
      <c r="J1961" t="n">
        <v>0</v>
      </c>
      <c r="K1961" t="n">
        <v>0</v>
      </c>
      <c r="L1961" t="n">
        <v>0</v>
      </c>
      <c r="M1961" t="n">
        <v>0</v>
      </c>
      <c r="N1961" t="n">
        <v>0</v>
      </c>
      <c r="O1961" t="n">
        <v>0</v>
      </c>
      <c r="P1961" t="n">
        <v>0</v>
      </c>
      <c r="Q1961" t="n">
        <v>0</v>
      </c>
      <c r="R1961" s="2" t="inlineStr"/>
    </row>
    <row r="1962" ht="15" customHeight="1">
      <c r="A1962" t="inlineStr">
        <is>
          <t>A 19652-2022</t>
        </is>
      </c>
      <c r="B1962" s="1" t="n">
        <v>44694</v>
      </c>
      <c r="C1962" s="1" t="n">
        <v>45224</v>
      </c>
      <c r="D1962" t="inlineStr">
        <is>
          <t>STOCKHOLMS LÄN</t>
        </is>
      </c>
      <c r="E1962" t="inlineStr">
        <is>
          <t>HANINGE</t>
        </is>
      </c>
      <c r="G1962" t="n">
        <v>1.3</v>
      </c>
      <c r="H1962" t="n">
        <v>0</v>
      </c>
      <c r="I1962" t="n">
        <v>0</v>
      </c>
      <c r="J1962" t="n">
        <v>0</v>
      </c>
      <c r="K1962" t="n">
        <v>0</v>
      </c>
      <c r="L1962" t="n">
        <v>0</v>
      </c>
      <c r="M1962" t="n">
        <v>0</v>
      </c>
      <c r="N1962" t="n">
        <v>0</v>
      </c>
      <c r="O1962" t="n">
        <v>0</v>
      </c>
      <c r="P1962" t="n">
        <v>0</v>
      </c>
      <c r="Q1962" t="n">
        <v>0</v>
      </c>
      <c r="R1962" s="2" t="inlineStr"/>
    </row>
    <row r="1963" ht="15" customHeight="1">
      <c r="A1963" t="inlineStr">
        <is>
          <t>A 19983-2022</t>
        </is>
      </c>
      <c r="B1963" s="1" t="n">
        <v>44697</v>
      </c>
      <c r="C1963" s="1" t="n">
        <v>45224</v>
      </c>
      <c r="D1963" t="inlineStr">
        <is>
          <t>STOCKHOLMS LÄN</t>
        </is>
      </c>
      <c r="E1963" t="inlineStr">
        <is>
          <t>NORRTÄLJE</t>
        </is>
      </c>
      <c r="G1963" t="n">
        <v>0.9</v>
      </c>
      <c r="H1963" t="n">
        <v>0</v>
      </c>
      <c r="I1963" t="n">
        <v>0</v>
      </c>
      <c r="J1963" t="n">
        <v>0</v>
      </c>
      <c r="K1963" t="n">
        <v>0</v>
      </c>
      <c r="L1963" t="n">
        <v>0</v>
      </c>
      <c r="M1963" t="n">
        <v>0</v>
      </c>
      <c r="N1963" t="n">
        <v>0</v>
      </c>
      <c r="O1963" t="n">
        <v>0</v>
      </c>
      <c r="P1963" t="n">
        <v>0</v>
      </c>
      <c r="Q1963" t="n">
        <v>0</v>
      </c>
      <c r="R1963" s="2" t="inlineStr"/>
    </row>
    <row r="1964" ht="15" customHeight="1">
      <c r="A1964" t="inlineStr">
        <is>
          <t>A 20016-2022</t>
        </is>
      </c>
      <c r="B1964" s="1" t="n">
        <v>44697</v>
      </c>
      <c r="C1964" s="1" t="n">
        <v>45224</v>
      </c>
      <c r="D1964" t="inlineStr">
        <is>
          <t>STOCKHOLMS LÄN</t>
        </is>
      </c>
      <c r="E1964" t="inlineStr">
        <is>
          <t>SÖDERTÄLJE</t>
        </is>
      </c>
      <c r="G1964" t="n">
        <v>1.7</v>
      </c>
      <c r="H1964" t="n">
        <v>0</v>
      </c>
      <c r="I1964" t="n">
        <v>0</v>
      </c>
      <c r="J1964" t="n">
        <v>0</v>
      </c>
      <c r="K1964" t="n">
        <v>0</v>
      </c>
      <c r="L1964" t="n">
        <v>0</v>
      </c>
      <c r="M1964" t="n">
        <v>0</v>
      </c>
      <c r="N1964" t="n">
        <v>0</v>
      </c>
      <c r="O1964" t="n">
        <v>0</v>
      </c>
      <c r="P1964" t="n">
        <v>0</v>
      </c>
      <c r="Q1964" t="n">
        <v>0</v>
      </c>
      <c r="R1964" s="2" t="inlineStr"/>
    </row>
    <row r="1965" ht="15" customHeight="1">
      <c r="A1965" t="inlineStr">
        <is>
          <t>A 19995-2022</t>
        </is>
      </c>
      <c r="B1965" s="1" t="n">
        <v>44697</v>
      </c>
      <c r="C1965" s="1" t="n">
        <v>45224</v>
      </c>
      <c r="D1965" t="inlineStr">
        <is>
          <t>STOCKHOLMS LÄN</t>
        </is>
      </c>
      <c r="E1965" t="inlineStr">
        <is>
          <t>SIGTUNA</t>
        </is>
      </c>
      <c r="G1965" t="n">
        <v>0.9</v>
      </c>
      <c r="H1965" t="n">
        <v>0</v>
      </c>
      <c r="I1965" t="n">
        <v>0</v>
      </c>
      <c r="J1965" t="n">
        <v>0</v>
      </c>
      <c r="K1965" t="n">
        <v>0</v>
      </c>
      <c r="L1965" t="n">
        <v>0</v>
      </c>
      <c r="M1965" t="n">
        <v>0</v>
      </c>
      <c r="N1965" t="n">
        <v>0</v>
      </c>
      <c r="O1965" t="n">
        <v>0</v>
      </c>
      <c r="P1965" t="n">
        <v>0</v>
      </c>
      <c r="Q1965" t="n">
        <v>0</v>
      </c>
      <c r="R1965" s="2" t="inlineStr"/>
    </row>
    <row r="1966" ht="15" customHeight="1">
      <c r="A1966" t="inlineStr">
        <is>
          <t>A 19982-2022</t>
        </is>
      </c>
      <c r="B1966" s="1" t="n">
        <v>44697</v>
      </c>
      <c r="C1966" s="1" t="n">
        <v>45224</v>
      </c>
      <c r="D1966" t="inlineStr">
        <is>
          <t>STOCKHOLMS LÄN</t>
        </is>
      </c>
      <c r="E1966" t="inlineStr">
        <is>
          <t>NORRTÄLJE</t>
        </is>
      </c>
      <c r="G1966" t="n">
        <v>0.9</v>
      </c>
      <c r="H1966" t="n">
        <v>0</v>
      </c>
      <c r="I1966" t="n">
        <v>0</v>
      </c>
      <c r="J1966" t="n">
        <v>0</v>
      </c>
      <c r="K1966" t="n">
        <v>0</v>
      </c>
      <c r="L1966" t="n">
        <v>0</v>
      </c>
      <c r="M1966" t="n">
        <v>0</v>
      </c>
      <c r="N1966" t="n">
        <v>0</v>
      </c>
      <c r="O1966" t="n">
        <v>0</v>
      </c>
      <c r="P1966" t="n">
        <v>0</v>
      </c>
      <c r="Q1966" t="n">
        <v>0</v>
      </c>
      <c r="R1966" s="2" t="inlineStr"/>
    </row>
    <row r="1967" ht="15" customHeight="1">
      <c r="A1967" t="inlineStr">
        <is>
          <t>A 20291-2022</t>
        </is>
      </c>
      <c r="B1967" s="1" t="n">
        <v>44698</v>
      </c>
      <c r="C1967" s="1" t="n">
        <v>45224</v>
      </c>
      <c r="D1967" t="inlineStr">
        <is>
          <t>STOCKHOLMS LÄN</t>
        </is>
      </c>
      <c r="E1967" t="inlineStr">
        <is>
          <t>NORRTÄLJE</t>
        </is>
      </c>
      <c r="F1967" t="inlineStr">
        <is>
          <t>Naturvårdsverket</t>
        </is>
      </c>
      <c r="G1967" t="n">
        <v>2</v>
      </c>
      <c r="H1967" t="n">
        <v>0</v>
      </c>
      <c r="I1967" t="n">
        <v>0</v>
      </c>
      <c r="J1967" t="n">
        <v>0</v>
      </c>
      <c r="K1967" t="n">
        <v>0</v>
      </c>
      <c r="L1967" t="n">
        <v>0</v>
      </c>
      <c r="M1967" t="n">
        <v>0</v>
      </c>
      <c r="N1967" t="n">
        <v>0</v>
      </c>
      <c r="O1967" t="n">
        <v>0</v>
      </c>
      <c r="P1967" t="n">
        <v>0</v>
      </c>
      <c r="Q1967" t="n">
        <v>0</v>
      </c>
      <c r="R1967" s="2" t="inlineStr"/>
    </row>
    <row r="1968" ht="15" customHeight="1">
      <c r="A1968" t="inlineStr">
        <is>
          <t>A 20121-2022</t>
        </is>
      </c>
      <c r="B1968" s="1" t="n">
        <v>44698</v>
      </c>
      <c r="C1968" s="1" t="n">
        <v>45224</v>
      </c>
      <c r="D1968" t="inlineStr">
        <is>
          <t>STOCKHOLMS LÄN</t>
        </is>
      </c>
      <c r="E1968" t="inlineStr">
        <is>
          <t>NORRTÄLJE</t>
        </is>
      </c>
      <c r="G1968" t="n">
        <v>4.2</v>
      </c>
      <c r="H1968" t="n">
        <v>0</v>
      </c>
      <c r="I1968" t="n">
        <v>0</v>
      </c>
      <c r="J1968" t="n">
        <v>0</v>
      </c>
      <c r="K1968" t="n">
        <v>0</v>
      </c>
      <c r="L1968" t="n">
        <v>0</v>
      </c>
      <c r="M1968" t="n">
        <v>0</v>
      </c>
      <c r="N1968" t="n">
        <v>0</v>
      </c>
      <c r="O1968" t="n">
        <v>0</v>
      </c>
      <c r="P1968" t="n">
        <v>0</v>
      </c>
      <c r="Q1968" t="n">
        <v>0</v>
      </c>
      <c r="R1968" s="2" t="inlineStr"/>
    </row>
    <row r="1969" ht="15" customHeight="1">
      <c r="A1969" t="inlineStr">
        <is>
          <t>A 20129-2022</t>
        </is>
      </c>
      <c r="B1969" s="1" t="n">
        <v>44698</v>
      </c>
      <c r="C1969" s="1" t="n">
        <v>45224</v>
      </c>
      <c r="D1969" t="inlineStr">
        <is>
          <t>STOCKHOLMS LÄN</t>
        </is>
      </c>
      <c r="E1969" t="inlineStr">
        <is>
          <t>NORRTÄLJE</t>
        </is>
      </c>
      <c r="G1969" t="n">
        <v>3.7</v>
      </c>
      <c r="H1969" t="n">
        <v>0</v>
      </c>
      <c r="I1969" t="n">
        <v>0</v>
      </c>
      <c r="J1969" t="n">
        <v>0</v>
      </c>
      <c r="K1969" t="n">
        <v>0</v>
      </c>
      <c r="L1969" t="n">
        <v>0</v>
      </c>
      <c r="M1969" t="n">
        <v>0</v>
      </c>
      <c r="N1969" t="n">
        <v>0</v>
      </c>
      <c r="O1969" t="n">
        <v>0</v>
      </c>
      <c r="P1969" t="n">
        <v>0</v>
      </c>
      <c r="Q1969" t="n">
        <v>0</v>
      </c>
      <c r="R1969" s="2" t="inlineStr"/>
    </row>
    <row r="1970" ht="15" customHeight="1">
      <c r="A1970" t="inlineStr">
        <is>
          <t>A 20294-2022</t>
        </is>
      </c>
      <c r="B1970" s="1" t="n">
        <v>44698</v>
      </c>
      <c r="C1970" s="1" t="n">
        <v>45224</v>
      </c>
      <c r="D1970" t="inlineStr">
        <is>
          <t>STOCKHOLMS LÄN</t>
        </is>
      </c>
      <c r="E1970" t="inlineStr">
        <is>
          <t>NORRTÄLJE</t>
        </is>
      </c>
      <c r="G1970" t="n">
        <v>0.8</v>
      </c>
      <c r="H1970" t="n">
        <v>0</v>
      </c>
      <c r="I1970" t="n">
        <v>0</v>
      </c>
      <c r="J1970" t="n">
        <v>0</v>
      </c>
      <c r="K1970" t="n">
        <v>0</v>
      </c>
      <c r="L1970" t="n">
        <v>0</v>
      </c>
      <c r="M1970" t="n">
        <v>0</v>
      </c>
      <c r="N1970" t="n">
        <v>0</v>
      </c>
      <c r="O1970" t="n">
        <v>0</v>
      </c>
      <c r="P1970" t="n">
        <v>0</v>
      </c>
      <c r="Q1970" t="n">
        <v>0</v>
      </c>
      <c r="R1970" s="2" t="inlineStr"/>
    </row>
    <row r="1971" ht="15" customHeight="1">
      <c r="A1971" t="inlineStr">
        <is>
          <t>A 20295-2022</t>
        </is>
      </c>
      <c r="B1971" s="1" t="n">
        <v>44698</v>
      </c>
      <c r="C1971" s="1" t="n">
        <v>45224</v>
      </c>
      <c r="D1971" t="inlineStr">
        <is>
          <t>STOCKHOLMS LÄN</t>
        </is>
      </c>
      <c r="E1971" t="inlineStr">
        <is>
          <t>NORRTÄLJE</t>
        </is>
      </c>
      <c r="G1971" t="n">
        <v>1.3</v>
      </c>
      <c r="H1971" t="n">
        <v>0</v>
      </c>
      <c r="I1971" t="n">
        <v>0</v>
      </c>
      <c r="J1971" t="n">
        <v>0</v>
      </c>
      <c r="K1971" t="n">
        <v>0</v>
      </c>
      <c r="L1971" t="n">
        <v>0</v>
      </c>
      <c r="M1971" t="n">
        <v>0</v>
      </c>
      <c r="N1971" t="n">
        <v>0</v>
      </c>
      <c r="O1971" t="n">
        <v>0</v>
      </c>
      <c r="P1971" t="n">
        <v>0</v>
      </c>
      <c r="Q1971" t="n">
        <v>0</v>
      </c>
      <c r="R1971" s="2" t="inlineStr"/>
    </row>
    <row r="1972" ht="15" customHeight="1">
      <c r="A1972" t="inlineStr">
        <is>
          <t>A 20641-2022</t>
        </is>
      </c>
      <c r="B1972" s="1" t="n">
        <v>44700</v>
      </c>
      <c r="C1972" s="1" t="n">
        <v>45224</v>
      </c>
      <c r="D1972" t="inlineStr">
        <is>
          <t>STOCKHOLMS LÄN</t>
        </is>
      </c>
      <c r="E1972" t="inlineStr">
        <is>
          <t>VÄRMDÖ</t>
        </is>
      </c>
      <c r="G1972" t="n">
        <v>1.3</v>
      </c>
      <c r="H1972" t="n">
        <v>0</v>
      </c>
      <c r="I1972" t="n">
        <v>0</v>
      </c>
      <c r="J1972" t="n">
        <v>0</v>
      </c>
      <c r="K1972" t="n">
        <v>0</v>
      </c>
      <c r="L1972" t="n">
        <v>0</v>
      </c>
      <c r="M1972" t="n">
        <v>0</v>
      </c>
      <c r="N1972" t="n">
        <v>0</v>
      </c>
      <c r="O1972" t="n">
        <v>0</v>
      </c>
      <c r="P1972" t="n">
        <v>0</v>
      </c>
      <c r="Q1972" t="n">
        <v>0</v>
      </c>
      <c r="R1972" s="2" t="inlineStr"/>
    </row>
    <row r="1973" ht="15" customHeight="1">
      <c r="A1973" t="inlineStr">
        <is>
          <t>A 20649-2022</t>
        </is>
      </c>
      <c r="B1973" s="1" t="n">
        <v>44700</v>
      </c>
      <c r="C1973" s="1" t="n">
        <v>45224</v>
      </c>
      <c r="D1973" t="inlineStr">
        <is>
          <t>STOCKHOLMS LÄN</t>
        </is>
      </c>
      <c r="E1973" t="inlineStr">
        <is>
          <t>BOTKYRKA</t>
        </is>
      </c>
      <c r="F1973" t="inlineStr">
        <is>
          <t>Övriga Aktiebolag</t>
        </is>
      </c>
      <c r="G1973" t="n">
        <v>6</v>
      </c>
      <c r="H1973" t="n">
        <v>0</v>
      </c>
      <c r="I1973" t="n">
        <v>0</v>
      </c>
      <c r="J1973" t="n">
        <v>0</v>
      </c>
      <c r="K1973" t="n">
        <v>0</v>
      </c>
      <c r="L1973" t="n">
        <v>0</v>
      </c>
      <c r="M1973" t="n">
        <v>0</v>
      </c>
      <c r="N1973" t="n">
        <v>0</v>
      </c>
      <c r="O1973" t="n">
        <v>0</v>
      </c>
      <c r="P1973" t="n">
        <v>0</v>
      </c>
      <c r="Q1973" t="n">
        <v>0</v>
      </c>
      <c r="R1973" s="2" t="inlineStr"/>
    </row>
    <row r="1974" ht="15" customHeight="1">
      <c r="A1974" t="inlineStr">
        <is>
          <t>A 21158-2022</t>
        </is>
      </c>
      <c r="B1974" s="1" t="n">
        <v>44704</v>
      </c>
      <c r="C1974" s="1" t="n">
        <v>45224</v>
      </c>
      <c r="D1974" t="inlineStr">
        <is>
          <t>STOCKHOLMS LÄN</t>
        </is>
      </c>
      <c r="E1974" t="inlineStr">
        <is>
          <t>NORRTÄLJE</t>
        </is>
      </c>
      <c r="G1974" t="n">
        <v>17.8</v>
      </c>
      <c r="H1974" t="n">
        <v>0</v>
      </c>
      <c r="I1974" t="n">
        <v>0</v>
      </c>
      <c r="J1974" t="n">
        <v>0</v>
      </c>
      <c r="K1974" t="n">
        <v>0</v>
      </c>
      <c r="L1974" t="n">
        <v>0</v>
      </c>
      <c r="M1974" t="n">
        <v>0</v>
      </c>
      <c r="N1974" t="n">
        <v>0</v>
      </c>
      <c r="O1974" t="n">
        <v>0</v>
      </c>
      <c r="P1974" t="n">
        <v>0</v>
      </c>
      <c r="Q1974" t="n">
        <v>0</v>
      </c>
      <c r="R1974" s="2" t="inlineStr"/>
    </row>
    <row r="1975" ht="15" customHeight="1">
      <c r="A1975" t="inlineStr">
        <is>
          <t>A 21174-2022</t>
        </is>
      </c>
      <c r="B1975" s="1" t="n">
        <v>44704</v>
      </c>
      <c r="C1975" s="1" t="n">
        <v>45224</v>
      </c>
      <c r="D1975" t="inlineStr">
        <is>
          <t>STOCKHOLMS LÄN</t>
        </is>
      </c>
      <c r="E1975" t="inlineStr">
        <is>
          <t>NORRTÄLJE</t>
        </is>
      </c>
      <c r="G1975" t="n">
        <v>5.2</v>
      </c>
      <c r="H1975" t="n">
        <v>0</v>
      </c>
      <c r="I1975" t="n">
        <v>0</v>
      </c>
      <c r="J1975" t="n">
        <v>0</v>
      </c>
      <c r="K1975" t="n">
        <v>0</v>
      </c>
      <c r="L1975" t="n">
        <v>0</v>
      </c>
      <c r="M1975" t="n">
        <v>0</v>
      </c>
      <c r="N1975" t="n">
        <v>0</v>
      </c>
      <c r="O1975" t="n">
        <v>0</v>
      </c>
      <c r="P1975" t="n">
        <v>0</v>
      </c>
      <c r="Q1975" t="n">
        <v>0</v>
      </c>
      <c r="R1975" s="2" t="inlineStr"/>
    </row>
    <row r="1976" ht="15" customHeight="1">
      <c r="A1976" t="inlineStr">
        <is>
          <t>A 21102-2022</t>
        </is>
      </c>
      <c r="B1976" s="1" t="n">
        <v>44704</v>
      </c>
      <c r="C1976" s="1" t="n">
        <v>45224</v>
      </c>
      <c r="D1976" t="inlineStr">
        <is>
          <t>STOCKHOLMS LÄN</t>
        </is>
      </c>
      <c r="E1976" t="inlineStr">
        <is>
          <t>NORRTÄLJE</t>
        </is>
      </c>
      <c r="G1976" t="n">
        <v>0.2</v>
      </c>
      <c r="H1976" t="n">
        <v>0</v>
      </c>
      <c r="I1976" t="n">
        <v>0</v>
      </c>
      <c r="J1976" t="n">
        <v>0</v>
      </c>
      <c r="K1976" t="n">
        <v>0</v>
      </c>
      <c r="L1976" t="n">
        <v>0</v>
      </c>
      <c r="M1976" t="n">
        <v>0</v>
      </c>
      <c r="N1976" t="n">
        <v>0</v>
      </c>
      <c r="O1976" t="n">
        <v>0</v>
      </c>
      <c r="P1976" t="n">
        <v>0</v>
      </c>
      <c r="Q1976" t="n">
        <v>0</v>
      </c>
      <c r="R1976" s="2" t="inlineStr"/>
    </row>
    <row r="1977" ht="15" customHeight="1">
      <c r="A1977" t="inlineStr">
        <is>
          <t>A 21178-2022</t>
        </is>
      </c>
      <c r="B1977" s="1" t="n">
        <v>44704</v>
      </c>
      <c r="C1977" s="1" t="n">
        <v>45224</v>
      </c>
      <c r="D1977" t="inlineStr">
        <is>
          <t>STOCKHOLMS LÄN</t>
        </is>
      </c>
      <c r="E1977" t="inlineStr">
        <is>
          <t>NORRTÄLJE</t>
        </is>
      </c>
      <c r="G1977" t="n">
        <v>6</v>
      </c>
      <c r="H1977" t="n">
        <v>0</v>
      </c>
      <c r="I1977" t="n">
        <v>0</v>
      </c>
      <c r="J1977" t="n">
        <v>0</v>
      </c>
      <c r="K1977" t="n">
        <v>0</v>
      </c>
      <c r="L1977" t="n">
        <v>0</v>
      </c>
      <c r="M1977" t="n">
        <v>0</v>
      </c>
      <c r="N1977" t="n">
        <v>0</v>
      </c>
      <c r="O1977" t="n">
        <v>0</v>
      </c>
      <c r="P1977" t="n">
        <v>0</v>
      </c>
      <c r="Q1977" t="n">
        <v>0</v>
      </c>
      <c r="R1977" s="2" t="inlineStr"/>
    </row>
    <row r="1978" ht="15" customHeight="1">
      <c r="A1978" t="inlineStr">
        <is>
          <t>A 21480-2022</t>
        </is>
      </c>
      <c r="B1978" s="1" t="n">
        <v>44704</v>
      </c>
      <c r="C1978" s="1" t="n">
        <v>45224</v>
      </c>
      <c r="D1978" t="inlineStr">
        <is>
          <t>STOCKHOLMS LÄN</t>
        </is>
      </c>
      <c r="E1978" t="inlineStr">
        <is>
          <t>NORRTÄLJE</t>
        </is>
      </c>
      <c r="G1978" t="n">
        <v>2.8</v>
      </c>
      <c r="H1978" t="n">
        <v>0</v>
      </c>
      <c r="I1978" t="n">
        <v>0</v>
      </c>
      <c r="J1978" t="n">
        <v>0</v>
      </c>
      <c r="K1978" t="n">
        <v>0</v>
      </c>
      <c r="L1978" t="n">
        <v>0</v>
      </c>
      <c r="M1978" t="n">
        <v>0</v>
      </c>
      <c r="N1978" t="n">
        <v>0</v>
      </c>
      <c r="O1978" t="n">
        <v>0</v>
      </c>
      <c r="P1978" t="n">
        <v>0</v>
      </c>
      <c r="Q1978" t="n">
        <v>0</v>
      </c>
      <c r="R1978" s="2" t="inlineStr"/>
    </row>
    <row r="1979" ht="15" customHeight="1">
      <c r="A1979" t="inlineStr">
        <is>
          <t>A 21472-2022</t>
        </is>
      </c>
      <c r="B1979" s="1" t="n">
        <v>44706</v>
      </c>
      <c r="C1979" s="1" t="n">
        <v>45224</v>
      </c>
      <c r="D1979" t="inlineStr">
        <is>
          <t>STOCKHOLMS LÄN</t>
        </is>
      </c>
      <c r="E1979" t="inlineStr">
        <is>
          <t>NACKA</t>
        </is>
      </c>
      <c r="G1979" t="n">
        <v>1.5</v>
      </c>
      <c r="H1979" t="n">
        <v>0</v>
      </c>
      <c r="I1979" t="n">
        <v>0</v>
      </c>
      <c r="J1979" t="n">
        <v>0</v>
      </c>
      <c r="K1979" t="n">
        <v>0</v>
      </c>
      <c r="L1979" t="n">
        <v>0</v>
      </c>
      <c r="M1979" t="n">
        <v>0</v>
      </c>
      <c r="N1979" t="n">
        <v>0</v>
      </c>
      <c r="O1979" t="n">
        <v>0</v>
      </c>
      <c r="P1979" t="n">
        <v>0</v>
      </c>
      <c r="Q1979" t="n">
        <v>0</v>
      </c>
      <c r="R1979" s="2" t="inlineStr"/>
    </row>
    <row r="1980" ht="15" customHeight="1">
      <c r="A1980" t="inlineStr">
        <is>
          <t>A 21267-2022</t>
        </is>
      </c>
      <c r="B1980" s="1" t="n">
        <v>44706</v>
      </c>
      <c r="C1980" s="1" t="n">
        <v>45224</v>
      </c>
      <c r="D1980" t="inlineStr">
        <is>
          <t>STOCKHOLMS LÄN</t>
        </is>
      </c>
      <c r="E1980" t="inlineStr">
        <is>
          <t>NACKA</t>
        </is>
      </c>
      <c r="G1980" t="n">
        <v>2.8</v>
      </c>
      <c r="H1980" t="n">
        <v>0</v>
      </c>
      <c r="I1980" t="n">
        <v>0</v>
      </c>
      <c r="J1980" t="n">
        <v>0</v>
      </c>
      <c r="K1980" t="n">
        <v>0</v>
      </c>
      <c r="L1980" t="n">
        <v>0</v>
      </c>
      <c r="M1980" t="n">
        <v>0</v>
      </c>
      <c r="N1980" t="n">
        <v>0</v>
      </c>
      <c r="O1980" t="n">
        <v>0</v>
      </c>
      <c r="P1980" t="n">
        <v>0</v>
      </c>
      <c r="Q1980" t="n">
        <v>0</v>
      </c>
      <c r="R1980" s="2" t="inlineStr"/>
    </row>
    <row r="1981" ht="15" customHeight="1">
      <c r="A1981" t="inlineStr">
        <is>
          <t>A 21726-2022</t>
        </is>
      </c>
      <c r="B1981" s="1" t="n">
        <v>44708</v>
      </c>
      <c r="C1981" s="1" t="n">
        <v>45224</v>
      </c>
      <c r="D1981" t="inlineStr">
        <is>
          <t>STOCKHOLMS LÄN</t>
        </is>
      </c>
      <c r="E1981" t="inlineStr">
        <is>
          <t>NORRTÄLJE</t>
        </is>
      </c>
      <c r="G1981" t="n">
        <v>0.2</v>
      </c>
      <c r="H1981" t="n">
        <v>0</v>
      </c>
      <c r="I1981" t="n">
        <v>0</v>
      </c>
      <c r="J1981" t="n">
        <v>0</v>
      </c>
      <c r="K1981" t="n">
        <v>0</v>
      </c>
      <c r="L1981" t="n">
        <v>0</v>
      </c>
      <c r="M1981" t="n">
        <v>0</v>
      </c>
      <c r="N1981" t="n">
        <v>0</v>
      </c>
      <c r="O1981" t="n">
        <v>0</v>
      </c>
      <c r="P1981" t="n">
        <v>0</v>
      </c>
      <c r="Q1981" t="n">
        <v>0</v>
      </c>
      <c r="R1981" s="2" t="inlineStr"/>
    </row>
    <row r="1982" ht="15" customHeight="1">
      <c r="A1982" t="inlineStr">
        <is>
          <t>A 21723-2022</t>
        </is>
      </c>
      <c r="B1982" s="1" t="n">
        <v>44708</v>
      </c>
      <c r="C1982" s="1" t="n">
        <v>45224</v>
      </c>
      <c r="D1982" t="inlineStr">
        <is>
          <t>STOCKHOLMS LÄN</t>
        </is>
      </c>
      <c r="E1982" t="inlineStr">
        <is>
          <t>NORRTÄLJE</t>
        </is>
      </c>
      <c r="G1982" t="n">
        <v>0.3</v>
      </c>
      <c r="H1982" t="n">
        <v>0</v>
      </c>
      <c r="I1982" t="n">
        <v>0</v>
      </c>
      <c r="J1982" t="n">
        <v>0</v>
      </c>
      <c r="K1982" t="n">
        <v>0</v>
      </c>
      <c r="L1982" t="n">
        <v>0</v>
      </c>
      <c r="M1982" t="n">
        <v>0</v>
      </c>
      <c r="N1982" t="n">
        <v>0</v>
      </c>
      <c r="O1982" t="n">
        <v>0</v>
      </c>
      <c r="P1982" t="n">
        <v>0</v>
      </c>
      <c r="Q1982" t="n">
        <v>0</v>
      </c>
      <c r="R1982" s="2" t="inlineStr"/>
    </row>
    <row r="1983" ht="15" customHeight="1">
      <c r="A1983" t="inlineStr">
        <is>
          <t>A 21888-2022</t>
        </is>
      </c>
      <c r="B1983" s="1" t="n">
        <v>44709</v>
      </c>
      <c r="C1983" s="1" t="n">
        <v>45224</v>
      </c>
      <c r="D1983" t="inlineStr">
        <is>
          <t>STOCKHOLMS LÄN</t>
        </is>
      </c>
      <c r="E1983" t="inlineStr">
        <is>
          <t>NACKA</t>
        </is>
      </c>
      <c r="G1983" t="n">
        <v>2.4</v>
      </c>
      <c r="H1983" t="n">
        <v>0</v>
      </c>
      <c r="I1983" t="n">
        <v>0</v>
      </c>
      <c r="J1983" t="n">
        <v>0</v>
      </c>
      <c r="K1983" t="n">
        <v>0</v>
      </c>
      <c r="L1983" t="n">
        <v>0</v>
      </c>
      <c r="M1983" t="n">
        <v>0</v>
      </c>
      <c r="N1983" t="n">
        <v>0</v>
      </c>
      <c r="O1983" t="n">
        <v>0</v>
      </c>
      <c r="P1983" t="n">
        <v>0</v>
      </c>
      <c r="Q1983" t="n">
        <v>0</v>
      </c>
      <c r="R1983" s="2" t="inlineStr"/>
    </row>
    <row r="1984" ht="15" customHeight="1">
      <c r="A1984" t="inlineStr">
        <is>
          <t>A 22068-2022</t>
        </is>
      </c>
      <c r="B1984" s="1" t="n">
        <v>44711</v>
      </c>
      <c r="C1984" s="1" t="n">
        <v>45224</v>
      </c>
      <c r="D1984" t="inlineStr">
        <is>
          <t>STOCKHOLMS LÄN</t>
        </is>
      </c>
      <c r="E1984" t="inlineStr">
        <is>
          <t>NACKA</t>
        </is>
      </c>
      <c r="G1984" t="n">
        <v>0.7</v>
      </c>
      <c r="H1984" t="n">
        <v>0</v>
      </c>
      <c r="I1984" t="n">
        <v>0</v>
      </c>
      <c r="J1984" t="n">
        <v>0</v>
      </c>
      <c r="K1984" t="n">
        <v>0</v>
      </c>
      <c r="L1984" t="n">
        <v>0</v>
      </c>
      <c r="M1984" t="n">
        <v>0</v>
      </c>
      <c r="N1984" t="n">
        <v>0</v>
      </c>
      <c r="O1984" t="n">
        <v>0</v>
      </c>
      <c r="P1984" t="n">
        <v>0</v>
      </c>
      <c r="Q1984" t="n">
        <v>0</v>
      </c>
      <c r="R1984" s="2" t="inlineStr"/>
    </row>
    <row r="1985" ht="15" customHeight="1">
      <c r="A1985" t="inlineStr">
        <is>
          <t>A 22072-2022</t>
        </is>
      </c>
      <c r="B1985" s="1" t="n">
        <v>44711</v>
      </c>
      <c r="C1985" s="1" t="n">
        <v>45224</v>
      </c>
      <c r="D1985" t="inlineStr">
        <is>
          <t>STOCKHOLMS LÄN</t>
        </is>
      </c>
      <c r="E1985" t="inlineStr">
        <is>
          <t>NORRTÄLJE</t>
        </is>
      </c>
      <c r="G1985" t="n">
        <v>9.6</v>
      </c>
      <c r="H1985" t="n">
        <v>0</v>
      </c>
      <c r="I1985" t="n">
        <v>0</v>
      </c>
      <c r="J1985" t="n">
        <v>0</v>
      </c>
      <c r="K1985" t="n">
        <v>0</v>
      </c>
      <c r="L1985" t="n">
        <v>0</v>
      </c>
      <c r="M1985" t="n">
        <v>0</v>
      </c>
      <c r="N1985" t="n">
        <v>0</v>
      </c>
      <c r="O1985" t="n">
        <v>0</v>
      </c>
      <c r="P1985" t="n">
        <v>0</v>
      </c>
      <c r="Q1985" t="n">
        <v>0</v>
      </c>
      <c r="R1985" s="2" t="inlineStr"/>
    </row>
    <row r="1986" ht="15" customHeight="1">
      <c r="A1986" t="inlineStr">
        <is>
          <t>A 22071-2022</t>
        </is>
      </c>
      <c r="B1986" s="1" t="n">
        <v>44711</v>
      </c>
      <c r="C1986" s="1" t="n">
        <v>45224</v>
      </c>
      <c r="D1986" t="inlineStr">
        <is>
          <t>STOCKHOLMS LÄN</t>
        </is>
      </c>
      <c r="E1986" t="inlineStr">
        <is>
          <t>NORRTÄLJE</t>
        </is>
      </c>
      <c r="G1986" t="n">
        <v>7</v>
      </c>
      <c r="H1986" t="n">
        <v>0</v>
      </c>
      <c r="I1986" t="n">
        <v>0</v>
      </c>
      <c r="J1986" t="n">
        <v>0</v>
      </c>
      <c r="K1986" t="n">
        <v>0</v>
      </c>
      <c r="L1986" t="n">
        <v>0</v>
      </c>
      <c r="M1986" t="n">
        <v>0</v>
      </c>
      <c r="N1986" t="n">
        <v>0</v>
      </c>
      <c r="O1986" t="n">
        <v>0</v>
      </c>
      <c r="P1986" t="n">
        <v>0</v>
      </c>
      <c r="Q1986" t="n">
        <v>0</v>
      </c>
      <c r="R1986" s="2" t="inlineStr"/>
    </row>
    <row r="1987" ht="15" customHeight="1">
      <c r="A1987" t="inlineStr">
        <is>
          <t>A 22529-2022</t>
        </is>
      </c>
      <c r="B1987" s="1" t="n">
        <v>44713</v>
      </c>
      <c r="C1987" s="1" t="n">
        <v>45224</v>
      </c>
      <c r="D1987" t="inlineStr">
        <is>
          <t>STOCKHOLMS LÄN</t>
        </is>
      </c>
      <c r="E1987" t="inlineStr">
        <is>
          <t>NYKVARN</t>
        </is>
      </c>
      <c r="F1987" t="inlineStr">
        <is>
          <t>Allmännings- och besparingsskogar</t>
        </is>
      </c>
      <c r="G1987" t="n">
        <v>8.4</v>
      </c>
      <c r="H1987" t="n">
        <v>0</v>
      </c>
      <c r="I1987" t="n">
        <v>0</v>
      </c>
      <c r="J1987" t="n">
        <v>0</v>
      </c>
      <c r="K1987" t="n">
        <v>0</v>
      </c>
      <c r="L1987" t="n">
        <v>0</v>
      </c>
      <c r="M1987" t="n">
        <v>0</v>
      </c>
      <c r="N1987" t="n">
        <v>0</v>
      </c>
      <c r="O1987" t="n">
        <v>0</v>
      </c>
      <c r="P1987" t="n">
        <v>0</v>
      </c>
      <c r="Q1987" t="n">
        <v>0</v>
      </c>
      <c r="R1987" s="2" t="inlineStr"/>
    </row>
    <row r="1988" ht="15" customHeight="1">
      <c r="A1988" t="inlineStr">
        <is>
          <t>A 22503-2022</t>
        </is>
      </c>
      <c r="B1988" s="1" t="n">
        <v>44713</v>
      </c>
      <c r="C1988" s="1" t="n">
        <v>45224</v>
      </c>
      <c r="D1988" t="inlineStr">
        <is>
          <t>STOCKHOLMS LÄN</t>
        </is>
      </c>
      <c r="E1988" t="inlineStr">
        <is>
          <t>NORRTÄLJE</t>
        </is>
      </c>
      <c r="G1988" t="n">
        <v>5.1</v>
      </c>
      <c r="H1988" t="n">
        <v>0</v>
      </c>
      <c r="I1988" t="n">
        <v>0</v>
      </c>
      <c r="J1988" t="n">
        <v>0</v>
      </c>
      <c r="K1988" t="n">
        <v>0</v>
      </c>
      <c r="L1988" t="n">
        <v>0</v>
      </c>
      <c r="M1988" t="n">
        <v>0</v>
      </c>
      <c r="N1988" t="n">
        <v>0</v>
      </c>
      <c r="O1988" t="n">
        <v>0</v>
      </c>
      <c r="P1988" t="n">
        <v>0</v>
      </c>
      <c r="Q1988" t="n">
        <v>0</v>
      </c>
      <c r="R1988" s="2" t="inlineStr"/>
    </row>
    <row r="1989" ht="15" customHeight="1">
      <c r="A1989" t="inlineStr">
        <is>
          <t>A 22531-2022</t>
        </is>
      </c>
      <c r="B1989" s="1" t="n">
        <v>44713</v>
      </c>
      <c r="C1989" s="1" t="n">
        <v>45224</v>
      </c>
      <c r="D1989" t="inlineStr">
        <is>
          <t>STOCKHOLMS LÄN</t>
        </is>
      </c>
      <c r="E1989" t="inlineStr">
        <is>
          <t>NYKVARN</t>
        </is>
      </c>
      <c r="F1989" t="inlineStr">
        <is>
          <t>Allmännings- och besparingsskogar</t>
        </is>
      </c>
      <c r="G1989" t="n">
        <v>10.1</v>
      </c>
      <c r="H1989" t="n">
        <v>0</v>
      </c>
      <c r="I1989" t="n">
        <v>0</v>
      </c>
      <c r="J1989" t="n">
        <v>0</v>
      </c>
      <c r="K1989" t="n">
        <v>0</v>
      </c>
      <c r="L1989" t="n">
        <v>0</v>
      </c>
      <c r="M1989" t="n">
        <v>0</v>
      </c>
      <c r="N1989" t="n">
        <v>0</v>
      </c>
      <c r="O1989" t="n">
        <v>0</v>
      </c>
      <c r="P1989" t="n">
        <v>0</v>
      </c>
      <c r="Q1989" t="n">
        <v>0</v>
      </c>
      <c r="R1989" s="2" t="inlineStr"/>
    </row>
    <row r="1990" ht="15" customHeight="1">
      <c r="A1990" t="inlineStr">
        <is>
          <t>A 22628-2022</t>
        </is>
      </c>
      <c r="B1990" s="1" t="n">
        <v>44714</v>
      </c>
      <c r="C1990" s="1" t="n">
        <v>45224</v>
      </c>
      <c r="D1990" t="inlineStr">
        <is>
          <t>STOCKHOLMS LÄN</t>
        </is>
      </c>
      <c r="E1990" t="inlineStr">
        <is>
          <t>NORRTÄLJE</t>
        </is>
      </c>
      <c r="G1990" t="n">
        <v>11.4</v>
      </c>
      <c r="H1990" t="n">
        <v>0</v>
      </c>
      <c r="I1990" t="n">
        <v>0</v>
      </c>
      <c r="J1990" t="n">
        <v>0</v>
      </c>
      <c r="K1990" t="n">
        <v>0</v>
      </c>
      <c r="L1990" t="n">
        <v>0</v>
      </c>
      <c r="M1990" t="n">
        <v>0</v>
      </c>
      <c r="N1990" t="n">
        <v>0</v>
      </c>
      <c r="O1990" t="n">
        <v>0</v>
      </c>
      <c r="P1990" t="n">
        <v>0</v>
      </c>
      <c r="Q1990" t="n">
        <v>0</v>
      </c>
      <c r="R1990" s="2" t="inlineStr"/>
    </row>
    <row r="1991" ht="15" customHeight="1">
      <c r="A1991" t="inlineStr">
        <is>
          <t>A 23125-2022</t>
        </is>
      </c>
      <c r="B1991" s="1" t="n">
        <v>44719</v>
      </c>
      <c r="C1991" s="1" t="n">
        <v>45224</v>
      </c>
      <c r="D1991" t="inlineStr">
        <is>
          <t>STOCKHOLMS LÄN</t>
        </is>
      </c>
      <c r="E1991" t="inlineStr">
        <is>
          <t>NORRTÄLJE</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23456-2022</t>
        </is>
      </c>
      <c r="B1992" s="1" t="n">
        <v>44720</v>
      </c>
      <c r="C1992" s="1" t="n">
        <v>45224</v>
      </c>
      <c r="D1992" t="inlineStr">
        <is>
          <t>STOCKHOLMS LÄN</t>
        </is>
      </c>
      <c r="E1992" t="inlineStr">
        <is>
          <t>NYKVARN</t>
        </is>
      </c>
      <c r="G1992" t="n">
        <v>3</v>
      </c>
      <c r="H1992" t="n">
        <v>0</v>
      </c>
      <c r="I1992" t="n">
        <v>0</v>
      </c>
      <c r="J1992" t="n">
        <v>0</v>
      </c>
      <c r="K1992" t="n">
        <v>0</v>
      </c>
      <c r="L1992" t="n">
        <v>0</v>
      </c>
      <c r="M1992" t="n">
        <v>0</v>
      </c>
      <c r="N1992" t="n">
        <v>0</v>
      </c>
      <c r="O1992" t="n">
        <v>0</v>
      </c>
      <c r="P1992" t="n">
        <v>0</v>
      </c>
      <c r="Q1992" t="n">
        <v>0</v>
      </c>
      <c r="R1992" s="2" t="inlineStr"/>
    </row>
    <row r="1993" ht="15" customHeight="1">
      <c r="A1993" t="inlineStr">
        <is>
          <t>A 23770-2022</t>
        </is>
      </c>
      <c r="B1993" s="1" t="n">
        <v>44722</v>
      </c>
      <c r="C1993" s="1" t="n">
        <v>45224</v>
      </c>
      <c r="D1993" t="inlineStr">
        <is>
          <t>STOCKHOLMS LÄN</t>
        </is>
      </c>
      <c r="E1993" t="inlineStr">
        <is>
          <t>NORRTÄLJE</t>
        </is>
      </c>
      <c r="G1993" t="n">
        <v>1.6</v>
      </c>
      <c r="H1993" t="n">
        <v>0</v>
      </c>
      <c r="I1993" t="n">
        <v>0</v>
      </c>
      <c r="J1993" t="n">
        <v>0</v>
      </c>
      <c r="K1993" t="n">
        <v>0</v>
      </c>
      <c r="L1993" t="n">
        <v>0</v>
      </c>
      <c r="M1993" t="n">
        <v>0</v>
      </c>
      <c r="N1993" t="n">
        <v>0</v>
      </c>
      <c r="O1993" t="n">
        <v>0</v>
      </c>
      <c r="P1993" t="n">
        <v>0</v>
      </c>
      <c r="Q1993" t="n">
        <v>0</v>
      </c>
      <c r="R1993" s="2" t="inlineStr"/>
    </row>
    <row r="1994" ht="15" customHeight="1">
      <c r="A1994" t="inlineStr">
        <is>
          <t>A 23801-2022</t>
        </is>
      </c>
      <c r="B1994" s="1" t="n">
        <v>44722</v>
      </c>
      <c r="C1994" s="1" t="n">
        <v>45224</v>
      </c>
      <c r="D1994" t="inlineStr">
        <is>
          <t>STOCKHOLMS LÄN</t>
        </is>
      </c>
      <c r="E1994" t="inlineStr">
        <is>
          <t>NORRTÄLJE</t>
        </is>
      </c>
      <c r="G1994" t="n">
        <v>6.8</v>
      </c>
      <c r="H1994" t="n">
        <v>0</v>
      </c>
      <c r="I1994" t="n">
        <v>0</v>
      </c>
      <c r="J1994" t="n">
        <v>0</v>
      </c>
      <c r="K1994" t="n">
        <v>0</v>
      </c>
      <c r="L1994" t="n">
        <v>0</v>
      </c>
      <c r="M1994" t="n">
        <v>0</v>
      </c>
      <c r="N1994" t="n">
        <v>0</v>
      </c>
      <c r="O1994" t="n">
        <v>0</v>
      </c>
      <c r="P1994" t="n">
        <v>0</v>
      </c>
      <c r="Q1994" t="n">
        <v>0</v>
      </c>
      <c r="R1994" s="2" t="inlineStr"/>
    </row>
    <row r="1995" ht="15" customHeight="1">
      <c r="A1995" t="inlineStr">
        <is>
          <t>A 24034-2022</t>
        </is>
      </c>
      <c r="B1995" s="1" t="n">
        <v>44724</v>
      </c>
      <c r="C1995" s="1" t="n">
        <v>45224</v>
      </c>
      <c r="D1995" t="inlineStr">
        <is>
          <t>STOCKHOLMS LÄN</t>
        </is>
      </c>
      <c r="E1995" t="inlineStr">
        <is>
          <t>SÖDERTÄLJE</t>
        </is>
      </c>
      <c r="G1995" t="n">
        <v>1.7</v>
      </c>
      <c r="H1995" t="n">
        <v>0</v>
      </c>
      <c r="I1995" t="n">
        <v>0</v>
      </c>
      <c r="J1995" t="n">
        <v>0</v>
      </c>
      <c r="K1995" t="n">
        <v>0</v>
      </c>
      <c r="L1995" t="n">
        <v>0</v>
      </c>
      <c r="M1995" t="n">
        <v>0</v>
      </c>
      <c r="N1995" t="n">
        <v>0</v>
      </c>
      <c r="O1995" t="n">
        <v>0</v>
      </c>
      <c r="P1995" t="n">
        <v>0</v>
      </c>
      <c r="Q1995" t="n">
        <v>0</v>
      </c>
      <c r="R1995" s="2" t="inlineStr"/>
    </row>
    <row r="1996" ht="15" customHeight="1">
      <c r="A1996" t="inlineStr">
        <is>
          <t>A 24101-2022</t>
        </is>
      </c>
      <c r="B1996" s="1" t="n">
        <v>44725</v>
      </c>
      <c r="C1996" s="1" t="n">
        <v>45224</v>
      </c>
      <c r="D1996" t="inlineStr">
        <is>
          <t>STOCKHOLMS LÄN</t>
        </is>
      </c>
      <c r="E1996" t="inlineStr">
        <is>
          <t>NORRTÄLJE</t>
        </is>
      </c>
      <c r="G1996" t="n">
        <v>1.5</v>
      </c>
      <c r="H1996" t="n">
        <v>0</v>
      </c>
      <c r="I1996" t="n">
        <v>0</v>
      </c>
      <c r="J1996" t="n">
        <v>0</v>
      </c>
      <c r="K1996" t="n">
        <v>0</v>
      </c>
      <c r="L1996" t="n">
        <v>0</v>
      </c>
      <c r="M1996" t="n">
        <v>0</v>
      </c>
      <c r="N1996" t="n">
        <v>0</v>
      </c>
      <c r="O1996" t="n">
        <v>0</v>
      </c>
      <c r="P1996" t="n">
        <v>0</v>
      </c>
      <c r="Q1996" t="n">
        <v>0</v>
      </c>
      <c r="R1996" s="2" t="inlineStr"/>
    </row>
    <row r="1997" ht="15" customHeight="1">
      <c r="A1997" t="inlineStr">
        <is>
          <t>A 24656-2022</t>
        </is>
      </c>
      <c r="B1997" s="1" t="n">
        <v>44726</v>
      </c>
      <c r="C1997" s="1" t="n">
        <v>45224</v>
      </c>
      <c r="D1997" t="inlineStr">
        <is>
          <t>STOCKHOLMS LÄN</t>
        </is>
      </c>
      <c r="E1997" t="inlineStr">
        <is>
          <t>NYKVARN</t>
        </is>
      </c>
      <c r="G1997" t="n">
        <v>1.2</v>
      </c>
      <c r="H1997" t="n">
        <v>0</v>
      </c>
      <c r="I1997" t="n">
        <v>0</v>
      </c>
      <c r="J1997" t="n">
        <v>0</v>
      </c>
      <c r="K1997" t="n">
        <v>0</v>
      </c>
      <c r="L1997" t="n">
        <v>0</v>
      </c>
      <c r="M1997" t="n">
        <v>0</v>
      </c>
      <c r="N1997" t="n">
        <v>0</v>
      </c>
      <c r="O1997" t="n">
        <v>0</v>
      </c>
      <c r="P1997" t="n">
        <v>0</v>
      </c>
      <c r="Q1997" t="n">
        <v>0</v>
      </c>
      <c r="R1997" s="2" t="inlineStr"/>
    </row>
    <row r="1998" ht="15" customHeight="1">
      <c r="A1998" t="inlineStr">
        <is>
          <t>A 24534-2022</t>
        </is>
      </c>
      <c r="B1998" s="1" t="n">
        <v>44727</v>
      </c>
      <c r="C1998" s="1" t="n">
        <v>45224</v>
      </c>
      <c r="D1998" t="inlineStr">
        <is>
          <t>STOCKHOLMS LÄN</t>
        </is>
      </c>
      <c r="E1998" t="inlineStr">
        <is>
          <t>NORRTÄLJE</t>
        </is>
      </c>
      <c r="G1998" t="n">
        <v>2.8</v>
      </c>
      <c r="H1998" t="n">
        <v>0</v>
      </c>
      <c r="I1998" t="n">
        <v>0</v>
      </c>
      <c r="J1998" t="n">
        <v>0</v>
      </c>
      <c r="K1998" t="n">
        <v>0</v>
      </c>
      <c r="L1998" t="n">
        <v>0</v>
      </c>
      <c r="M1998" t="n">
        <v>0</v>
      </c>
      <c r="N1998" t="n">
        <v>0</v>
      </c>
      <c r="O1998" t="n">
        <v>0</v>
      </c>
      <c r="P1998" t="n">
        <v>0</v>
      </c>
      <c r="Q1998" t="n">
        <v>0</v>
      </c>
      <c r="R1998" s="2" t="inlineStr"/>
    </row>
    <row r="1999" ht="15" customHeight="1">
      <c r="A1999" t="inlineStr">
        <is>
          <t>A 25278-2022</t>
        </is>
      </c>
      <c r="B1999" s="1" t="n">
        <v>44730</v>
      </c>
      <c r="C1999" s="1" t="n">
        <v>45224</v>
      </c>
      <c r="D1999" t="inlineStr">
        <is>
          <t>STOCKHOLMS LÄN</t>
        </is>
      </c>
      <c r="E1999" t="inlineStr">
        <is>
          <t>NYKVARN</t>
        </is>
      </c>
      <c r="G1999" t="n">
        <v>3.9</v>
      </c>
      <c r="H1999" t="n">
        <v>0</v>
      </c>
      <c r="I1999" t="n">
        <v>0</v>
      </c>
      <c r="J1999" t="n">
        <v>0</v>
      </c>
      <c r="K1999" t="n">
        <v>0</v>
      </c>
      <c r="L1999" t="n">
        <v>0</v>
      </c>
      <c r="M1999" t="n">
        <v>0</v>
      </c>
      <c r="N1999" t="n">
        <v>0</v>
      </c>
      <c r="O1999" t="n">
        <v>0</v>
      </c>
      <c r="P1999" t="n">
        <v>0</v>
      </c>
      <c r="Q1999" t="n">
        <v>0</v>
      </c>
      <c r="R1999" s="2" t="inlineStr"/>
    </row>
    <row r="2000" ht="15" customHeight="1">
      <c r="A2000" t="inlineStr">
        <is>
          <t>A 25619-2022</t>
        </is>
      </c>
      <c r="B2000" s="1" t="n">
        <v>44732</v>
      </c>
      <c r="C2000" s="1" t="n">
        <v>45224</v>
      </c>
      <c r="D2000" t="inlineStr">
        <is>
          <t>STOCKHOLMS LÄN</t>
        </is>
      </c>
      <c r="E2000" t="inlineStr">
        <is>
          <t>NORRTÄLJE</t>
        </is>
      </c>
      <c r="G2000" t="n">
        <v>3.9</v>
      </c>
      <c r="H2000" t="n">
        <v>0</v>
      </c>
      <c r="I2000" t="n">
        <v>0</v>
      </c>
      <c r="J2000" t="n">
        <v>0</v>
      </c>
      <c r="K2000" t="n">
        <v>0</v>
      </c>
      <c r="L2000" t="n">
        <v>0</v>
      </c>
      <c r="M2000" t="n">
        <v>0</v>
      </c>
      <c r="N2000" t="n">
        <v>0</v>
      </c>
      <c r="O2000" t="n">
        <v>0</v>
      </c>
      <c r="P2000" t="n">
        <v>0</v>
      </c>
      <c r="Q2000" t="n">
        <v>0</v>
      </c>
      <c r="R2000" s="2" t="inlineStr"/>
    </row>
    <row r="2001" ht="15" customHeight="1">
      <c r="A2001" t="inlineStr">
        <is>
          <t>A 25525-2022</t>
        </is>
      </c>
      <c r="B2001" s="1" t="n">
        <v>44732</v>
      </c>
      <c r="C2001" s="1" t="n">
        <v>45224</v>
      </c>
      <c r="D2001" t="inlineStr">
        <is>
          <t>STOCKHOLMS LÄN</t>
        </is>
      </c>
      <c r="E2001" t="inlineStr">
        <is>
          <t>NORRTÄLJE</t>
        </is>
      </c>
      <c r="G2001" t="n">
        <v>2.2</v>
      </c>
      <c r="H2001" t="n">
        <v>0</v>
      </c>
      <c r="I2001" t="n">
        <v>0</v>
      </c>
      <c r="J2001" t="n">
        <v>0</v>
      </c>
      <c r="K2001" t="n">
        <v>0</v>
      </c>
      <c r="L2001" t="n">
        <v>0</v>
      </c>
      <c r="M2001" t="n">
        <v>0</v>
      </c>
      <c r="N2001" t="n">
        <v>0</v>
      </c>
      <c r="O2001" t="n">
        <v>0</v>
      </c>
      <c r="P2001" t="n">
        <v>0</v>
      </c>
      <c r="Q2001" t="n">
        <v>0</v>
      </c>
      <c r="R2001" s="2" t="inlineStr"/>
    </row>
    <row r="2002" ht="15" customHeight="1">
      <c r="A2002" t="inlineStr">
        <is>
          <t>A 25621-2022</t>
        </is>
      </c>
      <c r="B2002" s="1" t="n">
        <v>44732</v>
      </c>
      <c r="C2002" s="1" t="n">
        <v>45224</v>
      </c>
      <c r="D2002" t="inlineStr">
        <is>
          <t>STOCKHOLMS LÄN</t>
        </is>
      </c>
      <c r="E2002" t="inlineStr">
        <is>
          <t>NORRTÄLJE</t>
        </is>
      </c>
      <c r="G2002" t="n">
        <v>3.1</v>
      </c>
      <c r="H2002" t="n">
        <v>0</v>
      </c>
      <c r="I2002" t="n">
        <v>0</v>
      </c>
      <c r="J2002" t="n">
        <v>0</v>
      </c>
      <c r="K2002" t="n">
        <v>0</v>
      </c>
      <c r="L2002" t="n">
        <v>0</v>
      </c>
      <c r="M2002" t="n">
        <v>0</v>
      </c>
      <c r="N2002" t="n">
        <v>0</v>
      </c>
      <c r="O2002" t="n">
        <v>0</v>
      </c>
      <c r="P2002" t="n">
        <v>0</v>
      </c>
      <c r="Q2002" t="n">
        <v>0</v>
      </c>
      <c r="R2002" s="2" t="inlineStr"/>
    </row>
    <row r="2003" ht="15" customHeight="1">
      <c r="A2003" t="inlineStr">
        <is>
          <t>A 26016-2022</t>
        </is>
      </c>
      <c r="B2003" s="1" t="n">
        <v>44734</v>
      </c>
      <c r="C2003" s="1" t="n">
        <v>45224</v>
      </c>
      <c r="D2003" t="inlineStr">
        <is>
          <t>STOCKHOLMS LÄN</t>
        </is>
      </c>
      <c r="E2003" t="inlineStr">
        <is>
          <t>VALLENTUNA</t>
        </is>
      </c>
      <c r="G2003" t="n">
        <v>2.2</v>
      </c>
      <c r="H2003" t="n">
        <v>0</v>
      </c>
      <c r="I2003" t="n">
        <v>0</v>
      </c>
      <c r="J2003" t="n">
        <v>0</v>
      </c>
      <c r="K2003" t="n">
        <v>0</v>
      </c>
      <c r="L2003" t="n">
        <v>0</v>
      </c>
      <c r="M2003" t="n">
        <v>0</v>
      </c>
      <c r="N2003" t="n">
        <v>0</v>
      </c>
      <c r="O2003" t="n">
        <v>0</v>
      </c>
      <c r="P2003" t="n">
        <v>0</v>
      </c>
      <c r="Q2003" t="n">
        <v>0</v>
      </c>
      <c r="R2003" s="2" t="inlineStr"/>
    </row>
    <row r="2004" ht="15" customHeight="1">
      <c r="A2004" t="inlineStr">
        <is>
          <t>A 26190-2022</t>
        </is>
      </c>
      <c r="B2004" s="1" t="n">
        <v>44735</v>
      </c>
      <c r="C2004" s="1" t="n">
        <v>45224</v>
      </c>
      <c r="D2004" t="inlineStr">
        <is>
          <t>STOCKHOLMS LÄN</t>
        </is>
      </c>
      <c r="E2004" t="inlineStr">
        <is>
          <t>NYNÄSHAMN</t>
        </is>
      </c>
      <c r="G2004" t="n">
        <v>2</v>
      </c>
      <c r="H2004" t="n">
        <v>0</v>
      </c>
      <c r="I2004" t="n">
        <v>0</v>
      </c>
      <c r="J2004" t="n">
        <v>0</v>
      </c>
      <c r="K2004" t="n">
        <v>0</v>
      </c>
      <c r="L2004" t="n">
        <v>0</v>
      </c>
      <c r="M2004" t="n">
        <v>0</v>
      </c>
      <c r="N2004" t="n">
        <v>0</v>
      </c>
      <c r="O2004" t="n">
        <v>0</v>
      </c>
      <c r="P2004" t="n">
        <v>0</v>
      </c>
      <c r="Q2004" t="n">
        <v>0</v>
      </c>
      <c r="R2004" s="2" t="inlineStr"/>
    </row>
    <row r="2005" ht="15" customHeight="1">
      <c r="A2005" t="inlineStr">
        <is>
          <t>A 26328-2022</t>
        </is>
      </c>
      <c r="B2005" s="1" t="n">
        <v>44735</v>
      </c>
      <c r="C2005" s="1" t="n">
        <v>45224</v>
      </c>
      <c r="D2005" t="inlineStr">
        <is>
          <t>STOCKHOLMS LÄN</t>
        </is>
      </c>
      <c r="E2005" t="inlineStr">
        <is>
          <t>NORRTÄLJE</t>
        </is>
      </c>
      <c r="G2005" t="n">
        <v>2.8</v>
      </c>
      <c r="H2005" t="n">
        <v>0</v>
      </c>
      <c r="I2005" t="n">
        <v>0</v>
      </c>
      <c r="J2005" t="n">
        <v>0</v>
      </c>
      <c r="K2005" t="n">
        <v>0</v>
      </c>
      <c r="L2005" t="n">
        <v>0</v>
      </c>
      <c r="M2005" t="n">
        <v>0</v>
      </c>
      <c r="N2005" t="n">
        <v>0</v>
      </c>
      <c r="O2005" t="n">
        <v>0</v>
      </c>
      <c r="P2005" t="n">
        <v>0</v>
      </c>
      <c r="Q2005" t="n">
        <v>0</v>
      </c>
      <c r="R2005" s="2" t="inlineStr"/>
    </row>
    <row r="2006" ht="15" customHeight="1">
      <c r="A2006" t="inlineStr">
        <is>
          <t>A 26335-2022</t>
        </is>
      </c>
      <c r="B2006" s="1" t="n">
        <v>44735</v>
      </c>
      <c r="C2006" s="1" t="n">
        <v>45224</v>
      </c>
      <c r="D2006" t="inlineStr">
        <is>
          <t>STOCKHOLMS LÄN</t>
        </is>
      </c>
      <c r="E2006" t="inlineStr">
        <is>
          <t>NORRTÄLJE</t>
        </is>
      </c>
      <c r="G2006" t="n">
        <v>3.3</v>
      </c>
      <c r="H2006" t="n">
        <v>0</v>
      </c>
      <c r="I2006" t="n">
        <v>0</v>
      </c>
      <c r="J2006" t="n">
        <v>0</v>
      </c>
      <c r="K2006" t="n">
        <v>0</v>
      </c>
      <c r="L2006" t="n">
        <v>0</v>
      </c>
      <c r="M2006" t="n">
        <v>0</v>
      </c>
      <c r="N2006" t="n">
        <v>0</v>
      </c>
      <c r="O2006" t="n">
        <v>0</v>
      </c>
      <c r="P2006" t="n">
        <v>0</v>
      </c>
      <c r="Q2006" t="n">
        <v>0</v>
      </c>
      <c r="R2006" s="2" t="inlineStr"/>
    </row>
    <row r="2007" ht="15" customHeight="1">
      <c r="A2007" t="inlineStr">
        <is>
          <t>A 26812-2022</t>
        </is>
      </c>
      <c r="B2007" s="1" t="n">
        <v>44740</v>
      </c>
      <c r="C2007" s="1" t="n">
        <v>45224</v>
      </c>
      <c r="D2007" t="inlineStr">
        <is>
          <t>STOCKHOLMS LÄN</t>
        </is>
      </c>
      <c r="E2007" t="inlineStr">
        <is>
          <t>SÖDERTÄLJE</t>
        </is>
      </c>
      <c r="G2007" t="n">
        <v>0.9</v>
      </c>
      <c r="H2007" t="n">
        <v>0</v>
      </c>
      <c r="I2007" t="n">
        <v>0</v>
      </c>
      <c r="J2007" t="n">
        <v>0</v>
      </c>
      <c r="K2007" t="n">
        <v>0</v>
      </c>
      <c r="L2007" t="n">
        <v>0</v>
      </c>
      <c r="M2007" t="n">
        <v>0</v>
      </c>
      <c r="N2007" t="n">
        <v>0</v>
      </c>
      <c r="O2007" t="n">
        <v>0</v>
      </c>
      <c r="P2007" t="n">
        <v>0</v>
      </c>
      <c r="Q2007" t="n">
        <v>0</v>
      </c>
      <c r="R2007" s="2" t="inlineStr"/>
    </row>
    <row r="2008" ht="15" customHeight="1">
      <c r="A2008" t="inlineStr">
        <is>
          <t>A 27538-2022</t>
        </is>
      </c>
      <c r="B2008" s="1" t="n">
        <v>44742</v>
      </c>
      <c r="C2008" s="1" t="n">
        <v>45224</v>
      </c>
      <c r="D2008" t="inlineStr">
        <is>
          <t>STOCKHOLMS LÄN</t>
        </is>
      </c>
      <c r="E2008" t="inlineStr">
        <is>
          <t>NORRTÄLJE</t>
        </is>
      </c>
      <c r="G2008" t="n">
        <v>2.2</v>
      </c>
      <c r="H2008" t="n">
        <v>0</v>
      </c>
      <c r="I2008" t="n">
        <v>0</v>
      </c>
      <c r="J2008" t="n">
        <v>0</v>
      </c>
      <c r="K2008" t="n">
        <v>0</v>
      </c>
      <c r="L2008" t="n">
        <v>0</v>
      </c>
      <c r="M2008" t="n">
        <v>0</v>
      </c>
      <c r="N2008" t="n">
        <v>0</v>
      </c>
      <c r="O2008" t="n">
        <v>0</v>
      </c>
      <c r="P2008" t="n">
        <v>0</v>
      </c>
      <c r="Q2008" t="n">
        <v>0</v>
      </c>
      <c r="R2008" s="2" t="inlineStr"/>
    </row>
    <row r="2009" ht="15" customHeight="1">
      <c r="A2009" t="inlineStr">
        <is>
          <t>A 27460-2022</t>
        </is>
      </c>
      <c r="B2009" s="1" t="n">
        <v>44742</v>
      </c>
      <c r="C2009" s="1" t="n">
        <v>45224</v>
      </c>
      <c r="D2009" t="inlineStr">
        <is>
          <t>STOCKHOLMS LÄN</t>
        </is>
      </c>
      <c r="E2009" t="inlineStr">
        <is>
          <t>VALLENTUNA</t>
        </is>
      </c>
      <c r="F2009" t="inlineStr">
        <is>
          <t>Allmännings- och besparingsskogar</t>
        </is>
      </c>
      <c r="G2009" t="n">
        <v>26.6</v>
      </c>
      <c r="H2009" t="n">
        <v>0</v>
      </c>
      <c r="I2009" t="n">
        <v>0</v>
      </c>
      <c r="J2009" t="n">
        <v>0</v>
      </c>
      <c r="K2009" t="n">
        <v>0</v>
      </c>
      <c r="L2009" t="n">
        <v>0</v>
      </c>
      <c r="M2009" t="n">
        <v>0</v>
      </c>
      <c r="N2009" t="n">
        <v>0</v>
      </c>
      <c r="O2009" t="n">
        <v>0</v>
      </c>
      <c r="P2009" t="n">
        <v>0</v>
      </c>
      <c r="Q2009" t="n">
        <v>0</v>
      </c>
      <c r="R2009" s="2" t="inlineStr"/>
    </row>
    <row r="2010" ht="15" customHeight="1">
      <c r="A2010" t="inlineStr">
        <is>
          <t>A 27972-2022</t>
        </is>
      </c>
      <c r="B2010" s="1" t="n">
        <v>44744</v>
      </c>
      <c r="C2010" s="1" t="n">
        <v>45224</v>
      </c>
      <c r="D2010" t="inlineStr">
        <is>
          <t>STOCKHOLMS LÄN</t>
        </is>
      </c>
      <c r="E2010" t="inlineStr">
        <is>
          <t>SÖDERTÄLJE</t>
        </is>
      </c>
      <c r="G2010" t="n">
        <v>3.4</v>
      </c>
      <c r="H2010" t="n">
        <v>0</v>
      </c>
      <c r="I2010" t="n">
        <v>0</v>
      </c>
      <c r="J2010" t="n">
        <v>0</v>
      </c>
      <c r="K2010" t="n">
        <v>0</v>
      </c>
      <c r="L2010" t="n">
        <v>0</v>
      </c>
      <c r="M2010" t="n">
        <v>0</v>
      </c>
      <c r="N2010" t="n">
        <v>0</v>
      </c>
      <c r="O2010" t="n">
        <v>0</v>
      </c>
      <c r="P2010" t="n">
        <v>0</v>
      </c>
      <c r="Q2010" t="n">
        <v>0</v>
      </c>
      <c r="R2010" s="2" t="inlineStr"/>
    </row>
    <row r="2011" ht="15" customHeight="1">
      <c r="A2011" t="inlineStr">
        <is>
          <t>A 27970-2022</t>
        </is>
      </c>
      <c r="B2011" s="1" t="n">
        <v>44744</v>
      </c>
      <c r="C2011" s="1" t="n">
        <v>45224</v>
      </c>
      <c r="D2011" t="inlineStr">
        <is>
          <t>STOCKHOLMS LÄN</t>
        </is>
      </c>
      <c r="E2011" t="inlineStr">
        <is>
          <t>SÖDERTÄLJE</t>
        </is>
      </c>
      <c r="G2011" t="n">
        <v>1.6</v>
      </c>
      <c r="H2011" t="n">
        <v>0</v>
      </c>
      <c r="I2011" t="n">
        <v>0</v>
      </c>
      <c r="J2011" t="n">
        <v>0</v>
      </c>
      <c r="K2011" t="n">
        <v>0</v>
      </c>
      <c r="L2011" t="n">
        <v>0</v>
      </c>
      <c r="M2011" t="n">
        <v>0</v>
      </c>
      <c r="N2011" t="n">
        <v>0</v>
      </c>
      <c r="O2011" t="n">
        <v>0</v>
      </c>
      <c r="P2011" t="n">
        <v>0</v>
      </c>
      <c r="Q2011" t="n">
        <v>0</v>
      </c>
      <c r="R2011" s="2" t="inlineStr"/>
    </row>
    <row r="2012" ht="15" customHeight="1">
      <c r="A2012" t="inlineStr">
        <is>
          <t>A 27969-2022</t>
        </is>
      </c>
      <c r="B2012" s="1" t="n">
        <v>44744</v>
      </c>
      <c r="C2012" s="1" t="n">
        <v>45224</v>
      </c>
      <c r="D2012" t="inlineStr">
        <is>
          <t>STOCKHOLMS LÄN</t>
        </is>
      </c>
      <c r="E2012" t="inlineStr">
        <is>
          <t>SÖDERTÄLJE</t>
        </is>
      </c>
      <c r="G2012" t="n">
        <v>2.5</v>
      </c>
      <c r="H2012" t="n">
        <v>0</v>
      </c>
      <c r="I2012" t="n">
        <v>0</v>
      </c>
      <c r="J2012" t="n">
        <v>0</v>
      </c>
      <c r="K2012" t="n">
        <v>0</v>
      </c>
      <c r="L2012" t="n">
        <v>0</v>
      </c>
      <c r="M2012" t="n">
        <v>0</v>
      </c>
      <c r="N2012" t="n">
        <v>0</v>
      </c>
      <c r="O2012" t="n">
        <v>0</v>
      </c>
      <c r="P2012" t="n">
        <v>0</v>
      </c>
      <c r="Q2012" t="n">
        <v>0</v>
      </c>
      <c r="R2012" s="2" t="inlineStr"/>
    </row>
    <row r="2013" ht="15" customHeight="1">
      <c r="A2013" t="inlineStr">
        <is>
          <t>A 27971-2022</t>
        </is>
      </c>
      <c r="B2013" s="1" t="n">
        <v>44744</v>
      </c>
      <c r="C2013" s="1" t="n">
        <v>45224</v>
      </c>
      <c r="D2013" t="inlineStr">
        <is>
          <t>STOCKHOLMS LÄN</t>
        </is>
      </c>
      <c r="E2013" t="inlineStr">
        <is>
          <t>SÖDERTÄLJE</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28042-2022</t>
        </is>
      </c>
      <c r="B2014" s="1" t="n">
        <v>44744</v>
      </c>
      <c r="C2014" s="1" t="n">
        <v>45224</v>
      </c>
      <c r="D2014" t="inlineStr">
        <is>
          <t>STOCKHOLMS LÄN</t>
        </is>
      </c>
      <c r="E2014" t="inlineStr">
        <is>
          <t>NORRTÄLJE</t>
        </is>
      </c>
      <c r="G2014" t="n">
        <v>0.2</v>
      </c>
      <c r="H2014" t="n">
        <v>0</v>
      </c>
      <c r="I2014" t="n">
        <v>0</v>
      </c>
      <c r="J2014" t="n">
        <v>0</v>
      </c>
      <c r="K2014" t="n">
        <v>0</v>
      </c>
      <c r="L2014" t="n">
        <v>0</v>
      </c>
      <c r="M2014" t="n">
        <v>0</v>
      </c>
      <c r="N2014" t="n">
        <v>0</v>
      </c>
      <c r="O2014" t="n">
        <v>0</v>
      </c>
      <c r="P2014" t="n">
        <v>0</v>
      </c>
      <c r="Q2014" t="n">
        <v>0</v>
      </c>
      <c r="R2014" s="2" t="inlineStr"/>
    </row>
    <row r="2015" ht="15" customHeight="1">
      <c r="A2015" t="inlineStr">
        <is>
          <t>A 28209-2022</t>
        </is>
      </c>
      <c r="B2015" s="1" t="n">
        <v>44746</v>
      </c>
      <c r="C2015" s="1" t="n">
        <v>45224</v>
      </c>
      <c r="D2015" t="inlineStr">
        <is>
          <t>STOCKHOLMS LÄN</t>
        </is>
      </c>
      <c r="E2015" t="inlineStr">
        <is>
          <t>NORRTÄLJE</t>
        </is>
      </c>
      <c r="G2015" t="n">
        <v>0.6</v>
      </c>
      <c r="H2015" t="n">
        <v>0</v>
      </c>
      <c r="I2015" t="n">
        <v>0</v>
      </c>
      <c r="J2015" t="n">
        <v>0</v>
      </c>
      <c r="K2015" t="n">
        <v>0</v>
      </c>
      <c r="L2015" t="n">
        <v>0</v>
      </c>
      <c r="M2015" t="n">
        <v>0</v>
      </c>
      <c r="N2015" t="n">
        <v>0</v>
      </c>
      <c r="O2015" t="n">
        <v>0</v>
      </c>
      <c r="P2015" t="n">
        <v>0</v>
      </c>
      <c r="Q2015" t="n">
        <v>0</v>
      </c>
      <c r="R2015" s="2" t="inlineStr"/>
    </row>
    <row r="2016" ht="15" customHeight="1">
      <c r="A2016" t="inlineStr">
        <is>
          <t>A 28399-2022</t>
        </is>
      </c>
      <c r="B2016" s="1" t="n">
        <v>44747</v>
      </c>
      <c r="C2016" s="1" t="n">
        <v>45224</v>
      </c>
      <c r="D2016" t="inlineStr">
        <is>
          <t>STOCKHOLMS LÄN</t>
        </is>
      </c>
      <c r="E2016" t="inlineStr">
        <is>
          <t>ÖSTERÅKER</t>
        </is>
      </c>
      <c r="G2016" t="n">
        <v>1.3</v>
      </c>
      <c r="H2016" t="n">
        <v>0</v>
      </c>
      <c r="I2016" t="n">
        <v>0</v>
      </c>
      <c r="J2016" t="n">
        <v>0</v>
      </c>
      <c r="K2016" t="n">
        <v>0</v>
      </c>
      <c r="L2016" t="n">
        <v>0</v>
      </c>
      <c r="M2016" t="n">
        <v>0</v>
      </c>
      <c r="N2016" t="n">
        <v>0</v>
      </c>
      <c r="O2016" t="n">
        <v>0</v>
      </c>
      <c r="P2016" t="n">
        <v>0</v>
      </c>
      <c r="Q2016" t="n">
        <v>0</v>
      </c>
      <c r="R2016" s="2" t="inlineStr"/>
    </row>
    <row r="2017" ht="15" customHeight="1">
      <c r="A2017" t="inlineStr">
        <is>
          <t>A 28405-2022</t>
        </is>
      </c>
      <c r="B2017" s="1" t="n">
        <v>44747</v>
      </c>
      <c r="C2017" s="1" t="n">
        <v>45224</v>
      </c>
      <c r="D2017" t="inlineStr">
        <is>
          <t>STOCKHOLMS LÄN</t>
        </is>
      </c>
      <c r="E2017" t="inlineStr">
        <is>
          <t>ÖSTERÅKER</t>
        </is>
      </c>
      <c r="G2017" t="n">
        <v>1.9</v>
      </c>
      <c r="H2017" t="n">
        <v>0</v>
      </c>
      <c r="I2017" t="n">
        <v>0</v>
      </c>
      <c r="J2017" t="n">
        <v>0</v>
      </c>
      <c r="K2017" t="n">
        <v>0</v>
      </c>
      <c r="L2017" t="n">
        <v>0</v>
      </c>
      <c r="M2017" t="n">
        <v>0</v>
      </c>
      <c r="N2017" t="n">
        <v>0</v>
      </c>
      <c r="O2017" t="n">
        <v>0</v>
      </c>
      <c r="P2017" t="n">
        <v>0</v>
      </c>
      <c r="Q2017" t="n">
        <v>0</v>
      </c>
      <c r="R2017" s="2" t="inlineStr"/>
    </row>
    <row r="2018" ht="15" customHeight="1">
      <c r="A2018" t="inlineStr">
        <is>
          <t>A 28365-2022</t>
        </is>
      </c>
      <c r="B2018" s="1" t="n">
        <v>44747</v>
      </c>
      <c r="C2018" s="1" t="n">
        <v>45224</v>
      </c>
      <c r="D2018" t="inlineStr">
        <is>
          <t>STOCKHOLMS LÄN</t>
        </is>
      </c>
      <c r="E2018" t="inlineStr">
        <is>
          <t>NORRTÄLJE</t>
        </is>
      </c>
      <c r="G2018" t="n">
        <v>5.1</v>
      </c>
      <c r="H2018" t="n">
        <v>0</v>
      </c>
      <c r="I2018" t="n">
        <v>0</v>
      </c>
      <c r="J2018" t="n">
        <v>0</v>
      </c>
      <c r="K2018" t="n">
        <v>0</v>
      </c>
      <c r="L2018" t="n">
        <v>0</v>
      </c>
      <c r="M2018" t="n">
        <v>0</v>
      </c>
      <c r="N2018" t="n">
        <v>0</v>
      </c>
      <c r="O2018" t="n">
        <v>0</v>
      </c>
      <c r="P2018" t="n">
        <v>0</v>
      </c>
      <c r="Q2018" t="n">
        <v>0</v>
      </c>
      <c r="R2018" s="2" t="inlineStr"/>
    </row>
    <row r="2019" ht="15" customHeight="1">
      <c r="A2019" t="inlineStr">
        <is>
          <t>A 28843-2022</t>
        </is>
      </c>
      <c r="B2019" s="1" t="n">
        <v>44749</v>
      </c>
      <c r="C2019" s="1" t="n">
        <v>45224</v>
      </c>
      <c r="D2019" t="inlineStr">
        <is>
          <t>STOCKHOLMS LÄN</t>
        </is>
      </c>
      <c r="E2019" t="inlineStr">
        <is>
          <t>SIGTUNA</t>
        </is>
      </c>
      <c r="G2019" t="n">
        <v>7.8</v>
      </c>
      <c r="H2019" t="n">
        <v>0</v>
      </c>
      <c r="I2019" t="n">
        <v>0</v>
      </c>
      <c r="J2019" t="n">
        <v>0</v>
      </c>
      <c r="K2019" t="n">
        <v>0</v>
      </c>
      <c r="L2019" t="n">
        <v>0</v>
      </c>
      <c r="M2019" t="n">
        <v>0</v>
      </c>
      <c r="N2019" t="n">
        <v>0</v>
      </c>
      <c r="O2019" t="n">
        <v>0</v>
      </c>
      <c r="P2019" t="n">
        <v>0</v>
      </c>
      <c r="Q2019" t="n">
        <v>0</v>
      </c>
      <c r="R2019" s="2" t="inlineStr"/>
    </row>
    <row r="2020" ht="15" customHeight="1">
      <c r="A2020" t="inlineStr">
        <is>
          <t>A 28964-2022</t>
        </is>
      </c>
      <c r="B2020" s="1" t="n">
        <v>44749</v>
      </c>
      <c r="C2020" s="1" t="n">
        <v>45224</v>
      </c>
      <c r="D2020" t="inlineStr">
        <is>
          <t>STOCKHOLMS LÄN</t>
        </is>
      </c>
      <c r="E2020" t="inlineStr">
        <is>
          <t>ÖSTERÅKER</t>
        </is>
      </c>
      <c r="G2020" t="n">
        <v>1.3</v>
      </c>
      <c r="H2020" t="n">
        <v>0</v>
      </c>
      <c r="I2020" t="n">
        <v>0</v>
      </c>
      <c r="J2020" t="n">
        <v>0</v>
      </c>
      <c r="K2020" t="n">
        <v>0</v>
      </c>
      <c r="L2020" t="n">
        <v>0</v>
      </c>
      <c r="M2020" t="n">
        <v>0</v>
      </c>
      <c r="N2020" t="n">
        <v>0</v>
      </c>
      <c r="O2020" t="n">
        <v>0</v>
      </c>
      <c r="P2020" t="n">
        <v>0</v>
      </c>
      <c r="Q2020" t="n">
        <v>0</v>
      </c>
      <c r="R2020" s="2" t="inlineStr"/>
    </row>
    <row r="2021" ht="15" customHeight="1">
      <c r="A2021" t="inlineStr">
        <is>
          <t>A 29070-2022</t>
        </is>
      </c>
      <c r="B2021" s="1" t="n">
        <v>44750</v>
      </c>
      <c r="C2021" s="1" t="n">
        <v>45224</v>
      </c>
      <c r="D2021" t="inlineStr">
        <is>
          <t>STOCKHOLMS LÄN</t>
        </is>
      </c>
      <c r="E2021" t="inlineStr">
        <is>
          <t>NORRTÄLJE</t>
        </is>
      </c>
      <c r="G2021" t="n">
        <v>3.4</v>
      </c>
      <c r="H2021" t="n">
        <v>0</v>
      </c>
      <c r="I2021" t="n">
        <v>0</v>
      </c>
      <c r="J2021" t="n">
        <v>0</v>
      </c>
      <c r="K2021" t="n">
        <v>0</v>
      </c>
      <c r="L2021" t="n">
        <v>0</v>
      </c>
      <c r="M2021" t="n">
        <v>0</v>
      </c>
      <c r="N2021" t="n">
        <v>0</v>
      </c>
      <c r="O2021" t="n">
        <v>0</v>
      </c>
      <c r="P2021" t="n">
        <v>0</v>
      </c>
      <c r="Q2021" t="n">
        <v>0</v>
      </c>
      <c r="R2021" s="2" t="inlineStr"/>
    </row>
    <row r="2022" ht="15" customHeight="1">
      <c r="A2022" t="inlineStr">
        <is>
          <t>A 29278-2022</t>
        </is>
      </c>
      <c r="B2022" s="1" t="n">
        <v>44750</v>
      </c>
      <c r="C2022" s="1" t="n">
        <v>45224</v>
      </c>
      <c r="D2022" t="inlineStr">
        <is>
          <t>STOCKHOLMS LÄN</t>
        </is>
      </c>
      <c r="E2022" t="inlineStr">
        <is>
          <t>NORRTÄLJE</t>
        </is>
      </c>
      <c r="G2022" t="n">
        <v>0.6</v>
      </c>
      <c r="H2022" t="n">
        <v>0</v>
      </c>
      <c r="I2022" t="n">
        <v>0</v>
      </c>
      <c r="J2022" t="n">
        <v>0</v>
      </c>
      <c r="K2022" t="n">
        <v>0</v>
      </c>
      <c r="L2022" t="n">
        <v>0</v>
      </c>
      <c r="M2022" t="n">
        <v>0</v>
      </c>
      <c r="N2022" t="n">
        <v>0</v>
      </c>
      <c r="O2022" t="n">
        <v>0</v>
      </c>
      <c r="P2022" t="n">
        <v>0</v>
      </c>
      <c r="Q2022" t="n">
        <v>0</v>
      </c>
      <c r="R2022" s="2" t="inlineStr"/>
    </row>
    <row r="2023" ht="15" customHeight="1">
      <c r="A2023" t="inlineStr">
        <is>
          <t>A 29362-2022</t>
        </is>
      </c>
      <c r="B2023" s="1" t="n">
        <v>44753</v>
      </c>
      <c r="C2023" s="1" t="n">
        <v>45224</v>
      </c>
      <c r="D2023" t="inlineStr">
        <is>
          <t>STOCKHOLMS LÄN</t>
        </is>
      </c>
      <c r="E2023" t="inlineStr">
        <is>
          <t>NORRTÄLJE</t>
        </is>
      </c>
      <c r="G2023" t="n">
        <v>3.8</v>
      </c>
      <c r="H2023" t="n">
        <v>0</v>
      </c>
      <c r="I2023" t="n">
        <v>0</v>
      </c>
      <c r="J2023" t="n">
        <v>0</v>
      </c>
      <c r="K2023" t="n">
        <v>0</v>
      </c>
      <c r="L2023" t="n">
        <v>0</v>
      </c>
      <c r="M2023" t="n">
        <v>0</v>
      </c>
      <c r="N2023" t="n">
        <v>0</v>
      </c>
      <c r="O2023" t="n">
        <v>0</v>
      </c>
      <c r="P2023" t="n">
        <v>0</v>
      </c>
      <c r="Q2023" t="n">
        <v>0</v>
      </c>
      <c r="R2023" s="2" t="inlineStr"/>
    </row>
    <row r="2024" ht="15" customHeight="1">
      <c r="A2024" t="inlineStr">
        <is>
          <t>A 29646-2022</t>
        </is>
      </c>
      <c r="B2024" s="1" t="n">
        <v>44754</v>
      </c>
      <c r="C2024" s="1" t="n">
        <v>45224</v>
      </c>
      <c r="D2024" t="inlineStr">
        <is>
          <t>STOCKHOLMS LÄN</t>
        </is>
      </c>
      <c r="E2024" t="inlineStr">
        <is>
          <t>SIGTUNA</t>
        </is>
      </c>
      <c r="G2024" t="n">
        <v>6.1</v>
      </c>
      <c r="H2024" t="n">
        <v>0</v>
      </c>
      <c r="I2024" t="n">
        <v>0</v>
      </c>
      <c r="J2024" t="n">
        <v>0</v>
      </c>
      <c r="K2024" t="n">
        <v>0</v>
      </c>
      <c r="L2024" t="n">
        <v>0</v>
      </c>
      <c r="M2024" t="n">
        <v>0</v>
      </c>
      <c r="N2024" t="n">
        <v>0</v>
      </c>
      <c r="O2024" t="n">
        <v>0</v>
      </c>
      <c r="P2024" t="n">
        <v>0</v>
      </c>
      <c r="Q2024" t="n">
        <v>0</v>
      </c>
      <c r="R2024" s="2" t="inlineStr"/>
    </row>
    <row r="2025" ht="15" customHeight="1">
      <c r="A2025" t="inlineStr">
        <is>
          <t>A 29784-2022</t>
        </is>
      </c>
      <c r="B2025" s="1" t="n">
        <v>44755</v>
      </c>
      <c r="C2025" s="1" t="n">
        <v>45224</v>
      </c>
      <c r="D2025" t="inlineStr">
        <is>
          <t>STOCKHOLMS LÄN</t>
        </is>
      </c>
      <c r="E2025" t="inlineStr">
        <is>
          <t>UPPLANDS-BRO</t>
        </is>
      </c>
      <c r="F2025" t="inlineStr">
        <is>
          <t>Allmännings- och besparingsskogar</t>
        </is>
      </c>
      <c r="G2025" t="n">
        <v>2.9</v>
      </c>
      <c r="H2025" t="n">
        <v>0</v>
      </c>
      <c r="I2025" t="n">
        <v>0</v>
      </c>
      <c r="J2025" t="n">
        <v>0</v>
      </c>
      <c r="K2025" t="n">
        <v>0</v>
      </c>
      <c r="L2025" t="n">
        <v>0</v>
      </c>
      <c r="M2025" t="n">
        <v>0</v>
      </c>
      <c r="N2025" t="n">
        <v>0</v>
      </c>
      <c r="O2025" t="n">
        <v>0</v>
      </c>
      <c r="P2025" t="n">
        <v>0</v>
      </c>
      <c r="Q2025" t="n">
        <v>0</v>
      </c>
      <c r="R2025" s="2" t="inlineStr"/>
    </row>
    <row r="2026" ht="15" customHeight="1">
      <c r="A2026" t="inlineStr">
        <is>
          <t>A 29786-2022</t>
        </is>
      </c>
      <c r="B2026" s="1" t="n">
        <v>44755</v>
      </c>
      <c r="C2026" s="1" t="n">
        <v>45224</v>
      </c>
      <c r="D2026" t="inlineStr">
        <is>
          <t>STOCKHOLMS LÄN</t>
        </is>
      </c>
      <c r="E2026" t="inlineStr">
        <is>
          <t>UPPLANDS-BRO</t>
        </is>
      </c>
      <c r="G2026" t="n">
        <v>1.5</v>
      </c>
      <c r="H2026" t="n">
        <v>0</v>
      </c>
      <c r="I2026" t="n">
        <v>0</v>
      </c>
      <c r="J2026" t="n">
        <v>0</v>
      </c>
      <c r="K2026" t="n">
        <v>0</v>
      </c>
      <c r="L2026" t="n">
        <v>0</v>
      </c>
      <c r="M2026" t="n">
        <v>0</v>
      </c>
      <c r="N2026" t="n">
        <v>0</v>
      </c>
      <c r="O2026" t="n">
        <v>0</v>
      </c>
      <c r="P2026" t="n">
        <v>0</v>
      </c>
      <c r="Q2026" t="n">
        <v>0</v>
      </c>
      <c r="R2026" s="2" t="inlineStr"/>
    </row>
    <row r="2027" ht="15" customHeight="1">
      <c r="A2027" t="inlineStr">
        <is>
          <t>A 30283-2022</t>
        </is>
      </c>
      <c r="B2027" s="1" t="n">
        <v>44760</v>
      </c>
      <c r="C2027" s="1" t="n">
        <v>45224</v>
      </c>
      <c r="D2027" t="inlineStr">
        <is>
          <t>STOCKHOLMS LÄN</t>
        </is>
      </c>
      <c r="E2027" t="inlineStr">
        <is>
          <t>NORRTÄLJE</t>
        </is>
      </c>
      <c r="G2027" t="n">
        <v>6.2</v>
      </c>
      <c r="H2027" t="n">
        <v>0</v>
      </c>
      <c r="I2027" t="n">
        <v>0</v>
      </c>
      <c r="J2027" t="n">
        <v>0</v>
      </c>
      <c r="K2027" t="n">
        <v>0</v>
      </c>
      <c r="L2027" t="n">
        <v>0</v>
      </c>
      <c r="M2027" t="n">
        <v>0</v>
      </c>
      <c r="N2027" t="n">
        <v>0</v>
      </c>
      <c r="O2027" t="n">
        <v>0</v>
      </c>
      <c r="P2027" t="n">
        <v>0</v>
      </c>
      <c r="Q2027" t="n">
        <v>0</v>
      </c>
      <c r="R2027" s="2" t="inlineStr"/>
    </row>
    <row r="2028" ht="15" customHeight="1">
      <c r="A2028" t="inlineStr">
        <is>
          <t>A 30338-2022</t>
        </is>
      </c>
      <c r="B2028" s="1" t="n">
        <v>44760</v>
      </c>
      <c r="C2028" s="1" t="n">
        <v>45224</v>
      </c>
      <c r="D2028" t="inlineStr">
        <is>
          <t>STOCKHOLMS LÄN</t>
        </is>
      </c>
      <c r="E2028" t="inlineStr">
        <is>
          <t>NORRTÄLJE</t>
        </is>
      </c>
      <c r="G2028" t="n">
        <v>0.3</v>
      </c>
      <c r="H2028" t="n">
        <v>0</v>
      </c>
      <c r="I2028" t="n">
        <v>0</v>
      </c>
      <c r="J2028" t="n">
        <v>0</v>
      </c>
      <c r="K2028" t="n">
        <v>0</v>
      </c>
      <c r="L2028" t="n">
        <v>0</v>
      </c>
      <c r="M2028" t="n">
        <v>0</v>
      </c>
      <c r="N2028" t="n">
        <v>0</v>
      </c>
      <c r="O2028" t="n">
        <v>0</v>
      </c>
      <c r="P2028" t="n">
        <v>0</v>
      </c>
      <c r="Q2028" t="n">
        <v>0</v>
      </c>
      <c r="R2028" s="2" t="inlineStr"/>
    </row>
    <row r="2029" ht="15" customHeight="1">
      <c r="A2029" t="inlineStr">
        <is>
          <t>A 30290-2022</t>
        </is>
      </c>
      <c r="B2029" s="1" t="n">
        <v>44760</v>
      </c>
      <c r="C2029" s="1" t="n">
        <v>45224</v>
      </c>
      <c r="D2029" t="inlineStr">
        <is>
          <t>STOCKHOLMS LÄN</t>
        </is>
      </c>
      <c r="E2029" t="inlineStr">
        <is>
          <t>NORRTÄLJE</t>
        </is>
      </c>
      <c r="G2029" t="n">
        <v>4.8</v>
      </c>
      <c r="H2029" t="n">
        <v>0</v>
      </c>
      <c r="I2029" t="n">
        <v>0</v>
      </c>
      <c r="J2029" t="n">
        <v>0</v>
      </c>
      <c r="K2029" t="n">
        <v>0</v>
      </c>
      <c r="L2029" t="n">
        <v>0</v>
      </c>
      <c r="M2029" t="n">
        <v>0</v>
      </c>
      <c r="N2029" t="n">
        <v>0</v>
      </c>
      <c r="O2029" t="n">
        <v>0</v>
      </c>
      <c r="P2029" t="n">
        <v>0</v>
      </c>
      <c r="Q2029" t="n">
        <v>0</v>
      </c>
      <c r="R2029" s="2" t="inlineStr"/>
    </row>
    <row r="2030" ht="15" customHeight="1">
      <c r="A2030" t="inlineStr">
        <is>
          <t>A 30286-2022</t>
        </is>
      </c>
      <c r="B2030" s="1" t="n">
        <v>44760</v>
      </c>
      <c r="C2030" s="1" t="n">
        <v>45224</v>
      </c>
      <c r="D2030" t="inlineStr">
        <is>
          <t>STOCKHOLMS LÄN</t>
        </is>
      </c>
      <c r="E2030" t="inlineStr">
        <is>
          <t>NORRTÄLJE</t>
        </is>
      </c>
      <c r="G2030" t="n">
        <v>0.3</v>
      </c>
      <c r="H2030" t="n">
        <v>0</v>
      </c>
      <c r="I2030" t="n">
        <v>0</v>
      </c>
      <c r="J2030" t="n">
        <v>0</v>
      </c>
      <c r="K2030" t="n">
        <v>0</v>
      </c>
      <c r="L2030" t="n">
        <v>0</v>
      </c>
      <c r="M2030" t="n">
        <v>0</v>
      </c>
      <c r="N2030" t="n">
        <v>0</v>
      </c>
      <c r="O2030" t="n">
        <v>0</v>
      </c>
      <c r="P2030" t="n">
        <v>0</v>
      </c>
      <c r="Q2030" t="n">
        <v>0</v>
      </c>
      <c r="R2030" s="2" t="inlineStr"/>
    </row>
    <row r="2031" ht="15" customHeight="1">
      <c r="A2031" t="inlineStr">
        <is>
          <t>A 30419-2022</t>
        </is>
      </c>
      <c r="B2031" s="1" t="n">
        <v>44761</v>
      </c>
      <c r="C2031" s="1" t="n">
        <v>45224</v>
      </c>
      <c r="D2031" t="inlineStr">
        <is>
          <t>STOCKHOLMS LÄN</t>
        </is>
      </c>
      <c r="E2031" t="inlineStr">
        <is>
          <t>HANINGE</t>
        </is>
      </c>
      <c r="G2031" t="n">
        <v>7.4</v>
      </c>
      <c r="H2031" t="n">
        <v>0</v>
      </c>
      <c r="I2031" t="n">
        <v>0</v>
      </c>
      <c r="J2031" t="n">
        <v>0</v>
      </c>
      <c r="K2031" t="n">
        <v>0</v>
      </c>
      <c r="L2031" t="n">
        <v>0</v>
      </c>
      <c r="M2031" t="n">
        <v>0</v>
      </c>
      <c r="N2031" t="n">
        <v>0</v>
      </c>
      <c r="O2031" t="n">
        <v>0</v>
      </c>
      <c r="P2031" t="n">
        <v>0</v>
      </c>
      <c r="Q2031" t="n">
        <v>0</v>
      </c>
      <c r="R2031" s="2" t="inlineStr"/>
    </row>
    <row r="2032" ht="15" customHeight="1">
      <c r="A2032" t="inlineStr">
        <is>
          <t>A 30802-2022</t>
        </is>
      </c>
      <c r="B2032" s="1" t="n">
        <v>44764</v>
      </c>
      <c r="C2032" s="1" t="n">
        <v>45224</v>
      </c>
      <c r="D2032" t="inlineStr">
        <is>
          <t>STOCKHOLMS LÄN</t>
        </is>
      </c>
      <c r="E2032" t="inlineStr">
        <is>
          <t>NORRTÄLJE</t>
        </is>
      </c>
      <c r="G2032" t="n">
        <v>1.7</v>
      </c>
      <c r="H2032" t="n">
        <v>0</v>
      </c>
      <c r="I2032" t="n">
        <v>0</v>
      </c>
      <c r="J2032" t="n">
        <v>0</v>
      </c>
      <c r="K2032" t="n">
        <v>0</v>
      </c>
      <c r="L2032" t="n">
        <v>0</v>
      </c>
      <c r="M2032" t="n">
        <v>0</v>
      </c>
      <c r="N2032" t="n">
        <v>0</v>
      </c>
      <c r="O2032" t="n">
        <v>0</v>
      </c>
      <c r="P2032" t="n">
        <v>0</v>
      </c>
      <c r="Q2032" t="n">
        <v>0</v>
      </c>
      <c r="R2032" s="2" t="inlineStr"/>
    </row>
    <row r="2033" ht="15" customHeight="1">
      <c r="A2033" t="inlineStr">
        <is>
          <t>A 30750-2022</t>
        </is>
      </c>
      <c r="B2033" s="1" t="n">
        <v>44764</v>
      </c>
      <c r="C2033" s="1" t="n">
        <v>45224</v>
      </c>
      <c r="D2033" t="inlineStr">
        <is>
          <t>STOCKHOLMS LÄN</t>
        </is>
      </c>
      <c r="E2033" t="inlineStr">
        <is>
          <t>NORRTÄLJE</t>
        </is>
      </c>
      <c r="G2033" t="n">
        <v>3.7</v>
      </c>
      <c r="H2033" t="n">
        <v>0</v>
      </c>
      <c r="I2033" t="n">
        <v>0</v>
      </c>
      <c r="J2033" t="n">
        <v>0</v>
      </c>
      <c r="K2033" t="n">
        <v>0</v>
      </c>
      <c r="L2033" t="n">
        <v>0</v>
      </c>
      <c r="M2033" t="n">
        <v>0</v>
      </c>
      <c r="N2033" t="n">
        <v>0</v>
      </c>
      <c r="O2033" t="n">
        <v>0</v>
      </c>
      <c r="P2033" t="n">
        <v>0</v>
      </c>
      <c r="Q2033" t="n">
        <v>0</v>
      </c>
      <c r="R2033" s="2" t="inlineStr"/>
    </row>
    <row r="2034" ht="15" customHeight="1">
      <c r="A2034" t="inlineStr">
        <is>
          <t>A 31052-2022</t>
        </is>
      </c>
      <c r="B2034" s="1" t="n">
        <v>44769</v>
      </c>
      <c r="C2034" s="1" t="n">
        <v>45224</v>
      </c>
      <c r="D2034" t="inlineStr">
        <is>
          <t>STOCKHOLMS LÄN</t>
        </is>
      </c>
      <c r="E2034" t="inlineStr">
        <is>
          <t>NORRTÄLJE</t>
        </is>
      </c>
      <c r="G2034" t="n">
        <v>6</v>
      </c>
      <c r="H2034" t="n">
        <v>0</v>
      </c>
      <c r="I2034" t="n">
        <v>0</v>
      </c>
      <c r="J2034" t="n">
        <v>0</v>
      </c>
      <c r="K2034" t="n">
        <v>0</v>
      </c>
      <c r="L2034" t="n">
        <v>0</v>
      </c>
      <c r="M2034" t="n">
        <v>0</v>
      </c>
      <c r="N2034" t="n">
        <v>0</v>
      </c>
      <c r="O2034" t="n">
        <v>0</v>
      </c>
      <c r="P2034" t="n">
        <v>0</v>
      </c>
      <c r="Q2034" t="n">
        <v>0</v>
      </c>
      <c r="R2034" s="2" t="inlineStr"/>
    </row>
    <row r="2035" ht="15" customHeight="1">
      <c r="A2035" t="inlineStr">
        <is>
          <t>A 31057-2022</t>
        </is>
      </c>
      <c r="B2035" s="1" t="n">
        <v>44769</v>
      </c>
      <c r="C2035" s="1" t="n">
        <v>45224</v>
      </c>
      <c r="D2035" t="inlineStr">
        <is>
          <t>STOCKHOLMS LÄN</t>
        </is>
      </c>
      <c r="E2035" t="inlineStr">
        <is>
          <t>NORRTÄLJE</t>
        </is>
      </c>
      <c r="G2035" t="n">
        <v>6.5</v>
      </c>
      <c r="H2035" t="n">
        <v>0</v>
      </c>
      <c r="I2035" t="n">
        <v>0</v>
      </c>
      <c r="J2035" t="n">
        <v>0</v>
      </c>
      <c r="K2035" t="n">
        <v>0</v>
      </c>
      <c r="L2035" t="n">
        <v>0</v>
      </c>
      <c r="M2035" t="n">
        <v>0</v>
      </c>
      <c r="N2035" t="n">
        <v>0</v>
      </c>
      <c r="O2035" t="n">
        <v>0</v>
      </c>
      <c r="P2035" t="n">
        <v>0</v>
      </c>
      <c r="Q2035" t="n">
        <v>0</v>
      </c>
      <c r="R2035" s="2" t="inlineStr"/>
    </row>
    <row r="2036" ht="15" customHeight="1">
      <c r="A2036" t="inlineStr">
        <is>
          <t>A 31155-2022</t>
        </is>
      </c>
      <c r="B2036" s="1" t="n">
        <v>44770</v>
      </c>
      <c r="C2036" s="1" t="n">
        <v>45224</v>
      </c>
      <c r="D2036" t="inlineStr">
        <is>
          <t>STOCKHOLMS LÄN</t>
        </is>
      </c>
      <c r="E2036" t="inlineStr">
        <is>
          <t>UPPLANDS-BRO</t>
        </is>
      </c>
      <c r="G2036" t="n">
        <v>5.3</v>
      </c>
      <c r="H2036" t="n">
        <v>0</v>
      </c>
      <c r="I2036" t="n">
        <v>0</v>
      </c>
      <c r="J2036" t="n">
        <v>0</v>
      </c>
      <c r="K2036" t="n">
        <v>0</v>
      </c>
      <c r="L2036" t="n">
        <v>0</v>
      </c>
      <c r="M2036" t="n">
        <v>0</v>
      </c>
      <c r="N2036" t="n">
        <v>0</v>
      </c>
      <c r="O2036" t="n">
        <v>0</v>
      </c>
      <c r="P2036" t="n">
        <v>0</v>
      </c>
      <c r="Q2036" t="n">
        <v>0</v>
      </c>
      <c r="R2036" s="2" t="inlineStr"/>
    </row>
    <row r="2037" ht="15" customHeight="1">
      <c r="A2037" t="inlineStr">
        <is>
          <t>A 31160-2022</t>
        </is>
      </c>
      <c r="B2037" s="1" t="n">
        <v>44770</v>
      </c>
      <c r="C2037" s="1" t="n">
        <v>45224</v>
      </c>
      <c r="D2037" t="inlineStr">
        <is>
          <t>STOCKHOLMS LÄN</t>
        </is>
      </c>
      <c r="E2037" t="inlineStr">
        <is>
          <t>UPPLANDS-BRO</t>
        </is>
      </c>
      <c r="G2037" t="n">
        <v>3.7</v>
      </c>
      <c r="H2037" t="n">
        <v>0</v>
      </c>
      <c r="I2037" t="n">
        <v>0</v>
      </c>
      <c r="J2037" t="n">
        <v>0</v>
      </c>
      <c r="K2037" t="n">
        <v>0</v>
      </c>
      <c r="L2037" t="n">
        <v>0</v>
      </c>
      <c r="M2037" t="n">
        <v>0</v>
      </c>
      <c r="N2037" t="n">
        <v>0</v>
      </c>
      <c r="O2037" t="n">
        <v>0</v>
      </c>
      <c r="P2037" t="n">
        <v>0</v>
      </c>
      <c r="Q2037" t="n">
        <v>0</v>
      </c>
      <c r="R2037" s="2" t="inlineStr"/>
    </row>
    <row r="2038" ht="15" customHeight="1">
      <c r="A2038" t="inlineStr">
        <is>
          <t>A 31283-2022</t>
        </is>
      </c>
      <c r="B2038" s="1" t="n">
        <v>44771</v>
      </c>
      <c r="C2038" s="1" t="n">
        <v>45224</v>
      </c>
      <c r="D2038" t="inlineStr">
        <is>
          <t>STOCKHOLMS LÄN</t>
        </is>
      </c>
      <c r="E2038" t="inlineStr">
        <is>
          <t>NORRTÄLJE</t>
        </is>
      </c>
      <c r="G2038" t="n">
        <v>0.5</v>
      </c>
      <c r="H2038" t="n">
        <v>0</v>
      </c>
      <c r="I2038" t="n">
        <v>0</v>
      </c>
      <c r="J2038" t="n">
        <v>0</v>
      </c>
      <c r="K2038" t="n">
        <v>0</v>
      </c>
      <c r="L2038" t="n">
        <v>0</v>
      </c>
      <c r="M2038" t="n">
        <v>0</v>
      </c>
      <c r="N2038" t="n">
        <v>0</v>
      </c>
      <c r="O2038" t="n">
        <v>0</v>
      </c>
      <c r="P2038" t="n">
        <v>0</v>
      </c>
      <c r="Q2038" t="n">
        <v>0</v>
      </c>
      <c r="R2038" s="2" t="inlineStr"/>
    </row>
    <row r="2039" ht="15" customHeight="1">
      <c r="A2039" t="inlineStr">
        <is>
          <t>A 31236-2022</t>
        </is>
      </c>
      <c r="B2039" s="1" t="n">
        <v>44771</v>
      </c>
      <c r="C2039" s="1" t="n">
        <v>45224</v>
      </c>
      <c r="D2039" t="inlineStr">
        <is>
          <t>STOCKHOLMS LÄN</t>
        </is>
      </c>
      <c r="E2039" t="inlineStr">
        <is>
          <t>NORRTÄLJE</t>
        </is>
      </c>
      <c r="G2039" t="n">
        <v>1.7</v>
      </c>
      <c r="H2039" t="n">
        <v>0</v>
      </c>
      <c r="I2039" t="n">
        <v>0</v>
      </c>
      <c r="J2039" t="n">
        <v>0</v>
      </c>
      <c r="K2039" t="n">
        <v>0</v>
      </c>
      <c r="L2039" t="n">
        <v>0</v>
      </c>
      <c r="M2039" t="n">
        <v>0</v>
      </c>
      <c r="N2039" t="n">
        <v>0</v>
      </c>
      <c r="O2039" t="n">
        <v>0</v>
      </c>
      <c r="P2039" t="n">
        <v>0</v>
      </c>
      <c r="Q2039" t="n">
        <v>0</v>
      </c>
      <c r="R2039" s="2" t="inlineStr"/>
    </row>
    <row r="2040" ht="15" customHeight="1">
      <c r="A2040" t="inlineStr">
        <is>
          <t>A 31246-2022</t>
        </is>
      </c>
      <c r="B2040" s="1" t="n">
        <v>44771</v>
      </c>
      <c r="C2040" s="1" t="n">
        <v>45224</v>
      </c>
      <c r="D2040" t="inlineStr">
        <is>
          <t>STOCKHOLMS LÄN</t>
        </is>
      </c>
      <c r="E2040" t="inlineStr">
        <is>
          <t>HUDDINGE</t>
        </is>
      </c>
      <c r="G2040" t="n">
        <v>4.3</v>
      </c>
      <c r="H2040" t="n">
        <v>0</v>
      </c>
      <c r="I2040" t="n">
        <v>0</v>
      </c>
      <c r="J2040" t="n">
        <v>0</v>
      </c>
      <c r="K2040" t="n">
        <v>0</v>
      </c>
      <c r="L2040" t="n">
        <v>0</v>
      </c>
      <c r="M2040" t="n">
        <v>0</v>
      </c>
      <c r="N2040" t="n">
        <v>0</v>
      </c>
      <c r="O2040" t="n">
        <v>0</v>
      </c>
      <c r="P2040" t="n">
        <v>0</v>
      </c>
      <c r="Q2040" t="n">
        <v>0</v>
      </c>
      <c r="R2040" s="2" t="inlineStr"/>
    </row>
    <row r="2041" ht="15" customHeight="1">
      <c r="A2041" t="inlineStr">
        <is>
          <t>A 31281-2022</t>
        </is>
      </c>
      <c r="B2041" s="1" t="n">
        <v>44771</v>
      </c>
      <c r="C2041" s="1" t="n">
        <v>45224</v>
      </c>
      <c r="D2041" t="inlineStr">
        <is>
          <t>STOCKHOLMS LÄN</t>
        </is>
      </c>
      <c r="E2041" t="inlineStr">
        <is>
          <t>NORRTÄLJE</t>
        </is>
      </c>
      <c r="F2041" t="inlineStr">
        <is>
          <t>Holmen skog AB</t>
        </is>
      </c>
      <c r="G2041" t="n">
        <v>5.2</v>
      </c>
      <c r="H2041" t="n">
        <v>0</v>
      </c>
      <c r="I2041" t="n">
        <v>0</v>
      </c>
      <c r="J2041" t="n">
        <v>0</v>
      </c>
      <c r="K2041" t="n">
        <v>0</v>
      </c>
      <c r="L2041" t="n">
        <v>0</v>
      </c>
      <c r="M2041" t="n">
        <v>0</v>
      </c>
      <c r="N2041" t="n">
        <v>0</v>
      </c>
      <c r="O2041" t="n">
        <v>0</v>
      </c>
      <c r="P2041" t="n">
        <v>0</v>
      </c>
      <c r="Q2041" t="n">
        <v>0</v>
      </c>
      <c r="R2041" s="2" t="inlineStr"/>
    </row>
    <row r="2042" ht="15" customHeight="1">
      <c r="A2042" t="inlineStr">
        <is>
          <t>A 31559-2022</t>
        </is>
      </c>
      <c r="B2042" s="1" t="n">
        <v>44775</v>
      </c>
      <c r="C2042" s="1" t="n">
        <v>45224</v>
      </c>
      <c r="D2042" t="inlineStr">
        <is>
          <t>STOCKHOLMS LÄN</t>
        </is>
      </c>
      <c r="E2042" t="inlineStr">
        <is>
          <t>NORRTÄLJE</t>
        </is>
      </c>
      <c r="G2042" t="n">
        <v>5.6</v>
      </c>
      <c r="H2042" t="n">
        <v>0</v>
      </c>
      <c r="I2042" t="n">
        <v>0</v>
      </c>
      <c r="J2042" t="n">
        <v>0</v>
      </c>
      <c r="K2042" t="n">
        <v>0</v>
      </c>
      <c r="L2042" t="n">
        <v>0</v>
      </c>
      <c r="M2042" t="n">
        <v>0</v>
      </c>
      <c r="N2042" t="n">
        <v>0</v>
      </c>
      <c r="O2042" t="n">
        <v>0</v>
      </c>
      <c r="P2042" t="n">
        <v>0</v>
      </c>
      <c r="Q2042" t="n">
        <v>0</v>
      </c>
      <c r="R2042" s="2" t="inlineStr"/>
    </row>
    <row r="2043" ht="15" customHeight="1">
      <c r="A2043" t="inlineStr">
        <is>
          <t>A 31695-2022</t>
        </is>
      </c>
      <c r="B2043" s="1" t="n">
        <v>44776</v>
      </c>
      <c r="C2043" s="1" t="n">
        <v>45224</v>
      </c>
      <c r="D2043" t="inlineStr">
        <is>
          <t>STOCKHOLMS LÄN</t>
        </is>
      </c>
      <c r="E2043" t="inlineStr">
        <is>
          <t>SIGTUNA</t>
        </is>
      </c>
      <c r="F2043" t="inlineStr">
        <is>
          <t>Kommuner</t>
        </is>
      </c>
      <c r="G2043" t="n">
        <v>1.1</v>
      </c>
      <c r="H2043" t="n">
        <v>0</v>
      </c>
      <c r="I2043" t="n">
        <v>0</v>
      </c>
      <c r="J2043" t="n">
        <v>0</v>
      </c>
      <c r="K2043" t="n">
        <v>0</v>
      </c>
      <c r="L2043" t="n">
        <v>0</v>
      </c>
      <c r="M2043" t="n">
        <v>0</v>
      </c>
      <c r="N2043" t="n">
        <v>0</v>
      </c>
      <c r="O2043" t="n">
        <v>0</v>
      </c>
      <c r="P2043" t="n">
        <v>0</v>
      </c>
      <c r="Q2043" t="n">
        <v>0</v>
      </c>
      <c r="R2043" s="2" t="inlineStr"/>
    </row>
    <row r="2044" ht="15" customHeight="1">
      <c r="A2044" t="inlineStr">
        <is>
          <t>A 31807-2022</t>
        </is>
      </c>
      <c r="B2044" s="1" t="n">
        <v>44776</v>
      </c>
      <c r="C2044" s="1" t="n">
        <v>45224</v>
      </c>
      <c r="D2044" t="inlineStr">
        <is>
          <t>STOCKHOLMS LÄN</t>
        </is>
      </c>
      <c r="E2044" t="inlineStr">
        <is>
          <t>NORRTÄLJE</t>
        </is>
      </c>
      <c r="G2044" t="n">
        <v>2.5</v>
      </c>
      <c r="H2044" t="n">
        <v>0</v>
      </c>
      <c r="I2044" t="n">
        <v>0</v>
      </c>
      <c r="J2044" t="n">
        <v>0</v>
      </c>
      <c r="K2044" t="n">
        <v>0</v>
      </c>
      <c r="L2044" t="n">
        <v>0</v>
      </c>
      <c r="M2044" t="n">
        <v>0</v>
      </c>
      <c r="N2044" t="n">
        <v>0</v>
      </c>
      <c r="O2044" t="n">
        <v>0</v>
      </c>
      <c r="P2044" t="n">
        <v>0</v>
      </c>
      <c r="Q2044" t="n">
        <v>0</v>
      </c>
      <c r="R2044" s="2" t="inlineStr"/>
    </row>
    <row r="2045" ht="15" customHeight="1">
      <c r="A2045" t="inlineStr">
        <is>
          <t>A 31684-2022</t>
        </is>
      </c>
      <c r="B2045" s="1" t="n">
        <v>44776</v>
      </c>
      <c r="C2045" s="1" t="n">
        <v>45224</v>
      </c>
      <c r="D2045" t="inlineStr">
        <is>
          <t>STOCKHOLMS LÄN</t>
        </is>
      </c>
      <c r="E2045" t="inlineStr">
        <is>
          <t>SIGTUNA</t>
        </is>
      </c>
      <c r="F2045" t="inlineStr">
        <is>
          <t>Kommuner</t>
        </is>
      </c>
      <c r="G2045" t="n">
        <v>2.5</v>
      </c>
      <c r="H2045" t="n">
        <v>0</v>
      </c>
      <c r="I2045" t="n">
        <v>0</v>
      </c>
      <c r="J2045" t="n">
        <v>0</v>
      </c>
      <c r="K2045" t="n">
        <v>0</v>
      </c>
      <c r="L2045" t="n">
        <v>0</v>
      </c>
      <c r="M2045" t="n">
        <v>0</v>
      </c>
      <c r="N2045" t="n">
        <v>0</v>
      </c>
      <c r="O2045" t="n">
        <v>0</v>
      </c>
      <c r="P2045" t="n">
        <v>0</v>
      </c>
      <c r="Q2045" t="n">
        <v>0</v>
      </c>
      <c r="R2045" s="2" t="inlineStr"/>
    </row>
    <row r="2046" ht="15" customHeight="1">
      <c r="A2046" t="inlineStr">
        <is>
          <t>A 31697-2022</t>
        </is>
      </c>
      <c r="B2046" s="1" t="n">
        <v>44776</v>
      </c>
      <c r="C2046" s="1" t="n">
        <v>45224</v>
      </c>
      <c r="D2046" t="inlineStr">
        <is>
          <t>STOCKHOLMS LÄN</t>
        </is>
      </c>
      <c r="E2046" t="inlineStr">
        <is>
          <t>SIGTUNA</t>
        </is>
      </c>
      <c r="F2046" t="inlineStr">
        <is>
          <t>Kommuner</t>
        </is>
      </c>
      <c r="G2046" t="n">
        <v>1.1</v>
      </c>
      <c r="H2046" t="n">
        <v>0</v>
      </c>
      <c r="I2046" t="n">
        <v>0</v>
      </c>
      <c r="J2046" t="n">
        <v>0</v>
      </c>
      <c r="K2046" t="n">
        <v>0</v>
      </c>
      <c r="L2046" t="n">
        <v>0</v>
      </c>
      <c r="M2046" t="n">
        <v>0</v>
      </c>
      <c r="N2046" t="n">
        <v>0</v>
      </c>
      <c r="O2046" t="n">
        <v>0</v>
      </c>
      <c r="P2046" t="n">
        <v>0</v>
      </c>
      <c r="Q2046" t="n">
        <v>0</v>
      </c>
      <c r="R2046" s="2" t="inlineStr"/>
    </row>
    <row r="2047" ht="15" customHeight="1">
      <c r="A2047" t="inlineStr">
        <is>
          <t>A 31924-2022</t>
        </is>
      </c>
      <c r="B2047" s="1" t="n">
        <v>44777</v>
      </c>
      <c r="C2047" s="1" t="n">
        <v>45224</v>
      </c>
      <c r="D2047" t="inlineStr">
        <is>
          <t>STOCKHOLMS LÄN</t>
        </is>
      </c>
      <c r="E2047" t="inlineStr">
        <is>
          <t>NORRTÄLJE</t>
        </is>
      </c>
      <c r="G2047" t="n">
        <v>0.7</v>
      </c>
      <c r="H2047" t="n">
        <v>0</v>
      </c>
      <c r="I2047" t="n">
        <v>0</v>
      </c>
      <c r="J2047" t="n">
        <v>0</v>
      </c>
      <c r="K2047" t="n">
        <v>0</v>
      </c>
      <c r="L2047" t="n">
        <v>0</v>
      </c>
      <c r="M2047" t="n">
        <v>0</v>
      </c>
      <c r="N2047" t="n">
        <v>0</v>
      </c>
      <c r="O2047" t="n">
        <v>0</v>
      </c>
      <c r="P2047" t="n">
        <v>0</v>
      </c>
      <c r="Q2047" t="n">
        <v>0</v>
      </c>
      <c r="R2047" s="2" t="inlineStr"/>
    </row>
    <row r="2048" ht="15" customHeight="1">
      <c r="A2048" t="inlineStr">
        <is>
          <t>A 31936-2022</t>
        </is>
      </c>
      <c r="B2048" s="1" t="n">
        <v>44777</v>
      </c>
      <c r="C2048" s="1" t="n">
        <v>45224</v>
      </c>
      <c r="D2048" t="inlineStr">
        <is>
          <t>STOCKHOLMS LÄN</t>
        </is>
      </c>
      <c r="E2048" t="inlineStr">
        <is>
          <t>NORRTÄLJE</t>
        </is>
      </c>
      <c r="G2048" t="n">
        <v>5.2</v>
      </c>
      <c r="H2048" t="n">
        <v>0</v>
      </c>
      <c r="I2048" t="n">
        <v>0</v>
      </c>
      <c r="J2048" t="n">
        <v>0</v>
      </c>
      <c r="K2048" t="n">
        <v>0</v>
      </c>
      <c r="L2048" t="n">
        <v>0</v>
      </c>
      <c r="M2048" t="n">
        <v>0</v>
      </c>
      <c r="N2048" t="n">
        <v>0</v>
      </c>
      <c r="O2048" t="n">
        <v>0</v>
      </c>
      <c r="P2048" t="n">
        <v>0</v>
      </c>
      <c r="Q2048" t="n">
        <v>0</v>
      </c>
      <c r="R2048" s="2" t="inlineStr"/>
    </row>
    <row r="2049" ht="15" customHeight="1">
      <c r="A2049" t="inlineStr">
        <is>
          <t>A 31934-2022</t>
        </is>
      </c>
      <c r="B2049" s="1" t="n">
        <v>44777</v>
      </c>
      <c r="C2049" s="1" t="n">
        <v>45224</v>
      </c>
      <c r="D2049" t="inlineStr">
        <is>
          <t>STOCKHOLMS LÄN</t>
        </is>
      </c>
      <c r="E2049" t="inlineStr">
        <is>
          <t>NORRTÄLJE</t>
        </is>
      </c>
      <c r="G2049" t="n">
        <v>1.2</v>
      </c>
      <c r="H2049" t="n">
        <v>0</v>
      </c>
      <c r="I2049" t="n">
        <v>0</v>
      </c>
      <c r="J2049" t="n">
        <v>0</v>
      </c>
      <c r="K2049" t="n">
        <v>0</v>
      </c>
      <c r="L2049" t="n">
        <v>0</v>
      </c>
      <c r="M2049" t="n">
        <v>0</v>
      </c>
      <c r="N2049" t="n">
        <v>0</v>
      </c>
      <c r="O2049" t="n">
        <v>0</v>
      </c>
      <c r="P2049" t="n">
        <v>0</v>
      </c>
      <c r="Q2049" t="n">
        <v>0</v>
      </c>
      <c r="R2049" s="2" t="inlineStr"/>
    </row>
    <row r="2050" ht="15" customHeight="1">
      <c r="A2050" t="inlineStr">
        <is>
          <t>A 31939-2022</t>
        </is>
      </c>
      <c r="B2050" s="1" t="n">
        <v>44777</v>
      </c>
      <c r="C2050" s="1" t="n">
        <v>45224</v>
      </c>
      <c r="D2050" t="inlineStr">
        <is>
          <t>STOCKHOLMS LÄN</t>
        </is>
      </c>
      <c r="E2050" t="inlineStr">
        <is>
          <t>NORRTÄLJE</t>
        </is>
      </c>
      <c r="G2050" t="n">
        <v>13.5</v>
      </c>
      <c r="H2050" t="n">
        <v>0</v>
      </c>
      <c r="I2050" t="n">
        <v>0</v>
      </c>
      <c r="J2050" t="n">
        <v>0</v>
      </c>
      <c r="K2050" t="n">
        <v>0</v>
      </c>
      <c r="L2050" t="n">
        <v>0</v>
      </c>
      <c r="M2050" t="n">
        <v>0</v>
      </c>
      <c r="N2050" t="n">
        <v>0</v>
      </c>
      <c r="O2050" t="n">
        <v>0</v>
      </c>
      <c r="P2050" t="n">
        <v>0</v>
      </c>
      <c r="Q2050" t="n">
        <v>0</v>
      </c>
      <c r="R2050" s="2" t="inlineStr"/>
    </row>
    <row r="2051" ht="15" customHeight="1">
      <c r="A2051" t="inlineStr">
        <is>
          <t>A 31926-2022</t>
        </is>
      </c>
      <c r="B2051" s="1" t="n">
        <v>44777</v>
      </c>
      <c r="C2051" s="1" t="n">
        <v>45224</v>
      </c>
      <c r="D2051" t="inlineStr">
        <is>
          <t>STOCKHOLMS LÄN</t>
        </is>
      </c>
      <c r="E2051" t="inlineStr">
        <is>
          <t>NORRTÄLJE</t>
        </is>
      </c>
      <c r="G2051" t="n">
        <v>5.2</v>
      </c>
      <c r="H2051" t="n">
        <v>0</v>
      </c>
      <c r="I2051" t="n">
        <v>0</v>
      </c>
      <c r="J2051" t="n">
        <v>0</v>
      </c>
      <c r="K2051" t="n">
        <v>0</v>
      </c>
      <c r="L2051" t="n">
        <v>0</v>
      </c>
      <c r="M2051" t="n">
        <v>0</v>
      </c>
      <c r="N2051" t="n">
        <v>0</v>
      </c>
      <c r="O2051" t="n">
        <v>0</v>
      </c>
      <c r="P2051" t="n">
        <v>0</v>
      </c>
      <c r="Q2051" t="n">
        <v>0</v>
      </c>
      <c r="R2051" s="2" t="inlineStr"/>
    </row>
    <row r="2052" ht="15" customHeight="1">
      <c r="A2052" t="inlineStr">
        <is>
          <t>A 31938-2022</t>
        </is>
      </c>
      <c r="B2052" s="1" t="n">
        <v>44777</v>
      </c>
      <c r="C2052" s="1" t="n">
        <v>45224</v>
      </c>
      <c r="D2052" t="inlineStr">
        <is>
          <t>STOCKHOLMS LÄN</t>
        </is>
      </c>
      <c r="E2052" t="inlineStr">
        <is>
          <t>NORRTÄLJE</t>
        </is>
      </c>
      <c r="G2052" t="n">
        <v>7.8</v>
      </c>
      <c r="H2052" t="n">
        <v>0</v>
      </c>
      <c r="I2052" t="n">
        <v>0</v>
      </c>
      <c r="J2052" t="n">
        <v>0</v>
      </c>
      <c r="K2052" t="n">
        <v>0</v>
      </c>
      <c r="L2052" t="n">
        <v>0</v>
      </c>
      <c r="M2052" t="n">
        <v>0</v>
      </c>
      <c r="N2052" t="n">
        <v>0</v>
      </c>
      <c r="O2052" t="n">
        <v>0</v>
      </c>
      <c r="P2052" t="n">
        <v>0</v>
      </c>
      <c r="Q2052" t="n">
        <v>0</v>
      </c>
      <c r="R2052" s="2" t="inlineStr"/>
    </row>
    <row r="2053" ht="15" customHeight="1">
      <c r="A2053" t="inlineStr">
        <is>
          <t>A 32100-2022</t>
        </is>
      </c>
      <c r="B2053" s="1" t="n">
        <v>44778</v>
      </c>
      <c r="C2053" s="1" t="n">
        <v>45224</v>
      </c>
      <c r="D2053" t="inlineStr">
        <is>
          <t>STOCKHOLMS LÄN</t>
        </is>
      </c>
      <c r="E2053" t="inlineStr">
        <is>
          <t>NORRTÄLJE</t>
        </is>
      </c>
      <c r="G2053" t="n">
        <v>3.3</v>
      </c>
      <c r="H2053" t="n">
        <v>0</v>
      </c>
      <c r="I2053" t="n">
        <v>0</v>
      </c>
      <c r="J2053" t="n">
        <v>0</v>
      </c>
      <c r="K2053" t="n">
        <v>0</v>
      </c>
      <c r="L2053" t="n">
        <v>0</v>
      </c>
      <c r="M2053" t="n">
        <v>0</v>
      </c>
      <c r="N2053" t="n">
        <v>0</v>
      </c>
      <c r="O2053" t="n">
        <v>0</v>
      </c>
      <c r="P2053" t="n">
        <v>0</v>
      </c>
      <c r="Q2053" t="n">
        <v>0</v>
      </c>
      <c r="R2053" s="2" t="inlineStr"/>
    </row>
    <row r="2054" ht="15" customHeight="1">
      <c r="A2054" t="inlineStr">
        <is>
          <t>A 32103-2022</t>
        </is>
      </c>
      <c r="B2054" s="1" t="n">
        <v>44778</v>
      </c>
      <c r="C2054" s="1" t="n">
        <v>45224</v>
      </c>
      <c r="D2054" t="inlineStr">
        <is>
          <t>STOCKHOLMS LÄN</t>
        </is>
      </c>
      <c r="E2054" t="inlineStr">
        <is>
          <t>NORRTÄLJE</t>
        </is>
      </c>
      <c r="G2054" t="n">
        <v>3.4</v>
      </c>
      <c r="H2054" t="n">
        <v>0</v>
      </c>
      <c r="I2054" t="n">
        <v>0</v>
      </c>
      <c r="J2054" t="n">
        <v>0</v>
      </c>
      <c r="K2054" t="n">
        <v>0</v>
      </c>
      <c r="L2054" t="n">
        <v>0</v>
      </c>
      <c r="M2054" t="n">
        <v>0</v>
      </c>
      <c r="N2054" t="n">
        <v>0</v>
      </c>
      <c r="O2054" t="n">
        <v>0</v>
      </c>
      <c r="P2054" t="n">
        <v>0</v>
      </c>
      <c r="Q2054" t="n">
        <v>0</v>
      </c>
      <c r="R2054" s="2" t="inlineStr"/>
    </row>
    <row r="2055" ht="15" customHeight="1">
      <c r="A2055" t="inlineStr">
        <is>
          <t>A 32508-2022</t>
        </is>
      </c>
      <c r="B2055" s="1" t="n">
        <v>44782</v>
      </c>
      <c r="C2055" s="1" t="n">
        <v>45224</v>
      </c>
      <c r="D2055" t="inlineStr">
        <is>
          <t>STOCKHOLMS LÄN</t>
        </is>
      </c>
      <c r="E2055" t="inlineStr">
        <is>
          <t>HUDDINGE</t>
        </is>
      </c>
      <c r="F2055" t="inlineStr">
        <is>
          <t>Kommuner</t>
        </is>
      </c>
      <c r="G2055" t="n">
        <v>4.7</v>
      </c>
      <c r="H2055" t="n">
        <v>0</v>
      </c>
      <c r="I2055" t="n">
        <v>0</v>
      </c>
      <c r="J2055" t="n">
        <v>0</v>
      </c>
      <c r="K2055" t="n">
        <v>0</v>
      </c>
      <c r="L2055" t="n">
        <v>0</v>
      </c>
      <c r="M2055" t="n">
        <v>0</v>
      </c>
      <c r="N2055" t="n">
        <v>0</v>
      </c>
      <c r="O2055" t="n">
        <v>0</v>
      </c>
      <c r="P2055" t="n">
        <v>0</v>
      </c>
      <c r="Q2055" t="n">
        <v>0</v>
      </c>
      <c r="R2055" s="2" t="inlineStr"/>
    </row>
    <row r="2056" ht="15" customHeight="1">
      <c r="A2056" t="inlineStr">
        <is>
          <t>A 32514-2022</t>
        </is>
      </c>
      <c r="B2056" s="1" t="n">
        <v>44782</v>
      </c>
      <c r="C2056" s="1" t="n">
        <v>45224</v>
      </c>
      <c r="D2056" t="inlineStr">
        <is>
          <t>STOCKHOLMS LÄN</t>
        </is>
      </c>
      <c r="E2056" t="inlineStr">
        <is>
          <t>NORRTÄLJE</t>
        </is>
      </c>
      <c r="G2056" t="n">
        <v>5.1</v>
      </c>
      <c r="H2056" t="n">
        <v>0</v>
      </c>
      <c r="I2056" t="n">
        <v>0</v>
      </c>
      <c r="J2056" t="n">
        <v>0</v>
      </c>
      <c r="K2056" t="n">
        <v>0</v>
      </c>
      <c r="L2056" t="n">
        <v>0</v>
      </c>
      <c r="M2056" t="n">
        <v>0</v>
      </c>
      <c r="N2056" t="n">
        <v>0</v>
      </c>
      <c r="O2056" t="n">
        <v>0</v>
      </c>
      <c r="P2056" t="n">
        <v>0</v>
      </c>
      <c r="Q2056" t="n">
        <v>0</v>
      </c>
      <c r="R2056" s="2" t="inlineStr"/>
    </row>
    <row r="2057" ht="15" customHeight="1">
      <c r="A2057" t="inlineStr">
        <is>
          <t>A 32705-2022</t>
        </is>
      </c>
      <c r="B2057" s="1" t="n">
        <v>44783</v>
      </c>
      <c r="C2057" s="1" t="n">
        <v>45224</v>
      </c>
      <c r="D2057" t="inlineStr">
        <is>
          <t>STOCKHOLMS LÄN</t>
        </is>
      </c>
      <c r="E2057" t="inlineStr">
        <is>
          <t>NORRTÄLJE</t>
        </is>
      </c>
      <c r="G2057" t="n">
        <v>0.6</v>
      </c>
      <c r="H2057" t="n">
        <v>0</v>
      </c>
      <c r="I2057" t="n">
        <v>0</v>
      </c>
      <c r="J2057" t="n">
        <v>0</v>
      </c>
      <c r="K2057" t="n">
        <v>0</v>
      </c>
      <c r="L2057" t="n">
        <v>0</v>
      </c>
      <c r="M2057" t="n">
        <v>0</v>
      </c>
      <c r="N2057" t="n">
        <v>0</v>
      </c>
      <c r="O2057" t="n">
        <v>0</v>
      </c>
      <c r="P2057" t="n">
        <v>0</v>
      </c>
      <c r="Q2057" t="n">
        <v>0</v>
      </c>
      <c r="R2057" s="2" t="inlineStr"/>
    </row>
    <row r="2058" ht="15" customHeight="1">
      <c r="A2058" t="inlineStr">
        <is>
          <t>A 32828-2022</t>
        </is>
      </c>
      <c r="B2058" s="1" t="n">
        <v>44784</v>
      </c>
      <c r="C2058" s="1" t="n">
        <v>45224</v>
      </c>
      <c r="D2058" t="inlineStr">
        <is>
          <t>STOCKHOLMS LÄN</t>
        </is>
      </c>
      <c r="E2058" t="inlineStr">
        <is>
          <t>BOTKYRKA</t>
        </is>
      </c>
      <c r="F2058" t="inlineStr">
        <is>
          <t>Övriga Aktiebolag</t>
        </is>
      </c>
      <c r="G2058" t="n">
        <v>0.9</v>
      </c>
      <c r="H2058" t="n">
        <v>0</v>
      </c>
      <c r="I2058" t="n">
        <v>0</v>
      </c>
      <c r="J2058" t="n">
        <v>0</v>
      </c>
      <c r="K2058" t="n">
        <v>0</v>
      </c>
      <c r="L2058" t="n">
        <v>0</v>
      </c>
      <c r="M2058" t="n">
        <v>0</v>
      </c>
      <c r="N2058" t="n">
        <v>0</v>
      </c>
      <c r="O2058" t="n">
        <v>0</v>
      </c>
      <c r="P2058" t="n">
        <v>0</v>
      </c>
      <c r="Q2058" t="n">
        <v>0</v>
      </c>
      <c r="R2058" s="2" t="inlineStr"/>
    </row>
    <row r="2059" ht="15" customHeight="1">
      <c r="A2059" t="inlineStr">
        <is>
          <t>A 33149-2022</t>
        </is>
      </c>
      <c r="B2059" s="1" t="n">
        <v>44785</v>
      </c>
      <c r="C2059" s="1" t="n">
        <v>45224</v>
      </c>
      <c r="D2059" t="inlineStr">
        <is>
          <t>STOCKHOLMS LÄN</t>
        </is>
      </c>
      <c r="E2059" t="inlineStr">
        <is>
          <t>NORRTÄLJE</t>
        </is>
      </c>
      <c r="F2059" t="inlineStr">
        <is>
          <t>Holmen skog AB</t>
        </is>
      </c>
      <c r="G2059" t="n">
        <v>4.4</v>
      </c>
      <c r="H2059" t="n">
        <v>0</v>
      </c>
      <c r="I2059" t="n">
        <v>0</v>
      </c>
      <c r="J2059" t="n">
        <v>0</v>
      </c>
      <c r="K2059" t="n">
        <v>0</v>
      </c>
      <c r="L2059" t="n">
        <v>0</v>
      </c>
      <c r="M2059" t="n">
        <v>0</v>
      </c>
      <c r="N2059" t="n">
        <v>0</v>
      </c>
      <c r="O2059" t="n">
        <v>0</v>
      </c>
      <c r="P2059" t="n">
        <v>0</v>
      </c>
      <c r="Q2059" t="n">
        <v>0</v>
      </c>
      <c r="R2059" s="2" t="inlineStr"/>
    </row>
    <row r="2060" ht="15" customHeight="1">
      <c r="A2060" t="inlineStr">
        <is>
          <t>A 33046-2022</t>
        </is>
      </c>
      <c r="B2060" s="1" t="n">
        <v>44785</v>
      </c>
      <c r="C2060" s="1" t="n">
        <v>45224</v>
      </c>
      <c r="D2060" t="inlineStr">
        <is>
          <t>STOCKHOLMS LÄN</t>
        </is>
      </c>
      <c r="E2060" t="inlineStr">
        <is>
          <t>VÄRMDÖ</t>
        </is>
      </c>
      <c r="G2060" t="n">
        <v>1</v>
      </c>
      <c r="H2060" t="n">
        <v>0</v>
      </c>
      <c r="I2060" t="n">
        <v>0</v>
      </c>
      <c r="J2060" t="n">
        <v>0</v>
      </c>
      <c r="K2060" t="n">
        <v>0</v>
      </c>
      <c r="L2060" t="n">
        <v>0</v>
      </c>
      <c r="M2060" t="n">
        <v>0</v>
      </c>
      <c r="N2060" t="n">
        <v>0</v>
      </c>
      <c r="O2060" t="n">
        <v>0</v>
      </c>
      <c r="P2060" t="n">
        <v>0</v>
      </c>
      <c r="Q2060" t="n">
        <v>0</v>
      </c>
      <c r="R2060" s="2" t="inlineStr"/>
    </row>
    <row r="2061" ht="15" customHeight="1">
      <c r="A2061" t="inlineStr">
        <is>
          <t>A 33667-2022</t>
        </is>
      </c>
      <c r="B2061" s="1" t="n">
        <v>44789</v>
      </c>
      <c r="C2061" s="1" t="n">
        <v>45224</v>
      </c>
      <c r="D2061" t="inlineStr">
        <is>
          <t>STOCKHOLMS LÄN</t>
        </is>
      </c>
      <c r="E2061" t="inlineStr">
        <is>
          <t>NYNÄSHAMN</t>
        </is>
      </c>
      <c r="G2061" t="n">
        <v>3.3</v>
      </c>
      <c r="H2061" t="n">
        <v>0</v>
      </c>
      <c r="I2061" t="n">
        <v>0</v>
      </c>
      <c r="J2061" t="n">
        <v>0</v>
      </c>
      <c r="K2061" t="n">
        <v>0</v>
      </c>
      <c r="L2061" t="n">
        <v>0</v>
      </c>
      <c r="M2061" t="n">
        <v>0</v>
      </c>
      <c r="N2061" t="n">
        <v>0</v>
      </c>
      <c r="O2061" t="n">
        <v>0</v>
      </c>
      <c r="P2061" t="n">
        <v>0</v>
      </c>
      <c r="Q2061" t="n">
        <v>0</v>
      </c>
      <c r="R2061" s="2" t="inlineStr"/>
    </row>
    <row r="2062" ht="15" customHeight="1">
      <c r="A2062" t="inlineStr">
        <is>
          <t>A 33793-2022</t>
        </is>
      </c>
      <c r="B2062" s="1" t="n">
        <v>44790</v>
      </c>
      <c r="C2062" s="1" t="n">
        <v>45224</v>
      </c>
      <c r="D2062" t="inlineStr">
        <is>
          <t>STOCKHOLMS LÄN</t>
        </is>
      </c>
      <c r="E2062" t="inlineStr">
        <is>
          <t>NORRTÄLJE</t>
        </is>
      </c>
      <c r="G2062" t="n">
        <v>1.5</v>
      </c>
      <c r="H2062" t="n">
        <v>0</v>
      </c>
      <c r="I2062" t="n">
        <v>0</v>
      </c>
      <c r="J2062" t="n">
        <v>0</v>
      </c>
      <c r="K2062" t="n">
        <v>0</v>
      </c>
      <c r="L2062" t="n">
        <v>0</v>
      </c>
      <c r="M2062" t="n">
        <v>0</v>
      </c>
      <c r="N2062" t="n">
        <v>0</v>
      </c>
      <c r="O2062" t="n">
        <v>0</v>
      </c>
      <c r="P2062" t="n">
        <v>0</v>
      </c>
      <c r="Q2062" t="n">
        <v>0</v>
      </c>
      <c r="R2062" s="2" t="inlineStr"/>
    </row>
    <row r="2063" ht="15" customHeight="1">
      <c r="A2063" t="inlineStr">
        <is>
          <t>A 33902-2022</t>
        </is>
      </c>
      <c r="B2063" s="1" t="n">
        <v>44790</v>
      </c>
      <c r="C2063" s="1" t="n">
        <v>45224</v>
      </c>
      <c r="D2063" t="inlineStr">
        <is>
          <t>STOCKHOLMS LÄN</t>
        </is>
      </c>
      <c r="E2063" t="inlineStr">
        <is>
          <t>SÖDERTÄLJE</t>
        </is>
      </c>
      <c r="G2063" t="n">
        <v>1.9</v>
      </c>
      <c r="H2063" t="n">
        <v>0</v>
      </c>
      <c r="I2063" t="n">
        <v>0</v>
      </c>
      <c r="J2063" t="n">
        <v>0</v>
      </c>
      <c r="K2063" t="n">
        <v>0</v>
      </c>
      <c r="L2063" t="n">
        <v>0</v>
      </c>
      <c r="M2063" t="n">
        <v>0</v>
      </c>
      <c r="N2063" t="n">
        <v>0</v>
      </c>
      <c r="O2063" t="n">
        <v>0</v>
      </c>
      <c r="P2063" t="n">
        <v>0</v>
      </c>
      <c r="Q2063" t="n">
        <v>0</v>
      </c>
      <c r="R2063" s="2" t="inlineStr"/>
    </row>
    <row r="2064" ht="15" customHeight="1">
      <c r="A2064" t="inlineStr">
        <is>
          <t>A 33895-2022</t>
        </is>
      </c>
      <c r="B2064" s="1" t="n">
        <v>44790</v>
      </c>
      <c r="C2064" s="1" t="n">
        <v>45224</v>
      </c>
      <c r="D2064" t="inlineStr">
        <is>
          <t>STOCKHOLMS LÄN</t>
        </is>
      </c>
      <c r="E2064" t="inlineStr">
        <is>
          <t>NORRTÄLJE</t>
        </is>
      </c>
      <c r="G2064" t="n">
        <v>1.4</v>
      </c>
      <c r="H2064" t="n">
        <v>0</v>
      </c>
      <c r="I2064" t="n">
        <v>0</v>
      </c>
      <c r="J2064" t="n">
        <v>0</v>
      </c>
      <c r="K2064" t="n">
        <v>0</v>
      </c>
      <c r="L2064" t="n">
        <v>0</v>
      </c>
      <c r="M2064" t="n">
        <v>0</v>
      </c>
      <c r="N2064" t="n">
        <v>0</v>
      </c>
      <c r="O2064" t="n">
        <v>0</v>
      </c>
      <c r="P2064" t="n">
        <v>0</v>
      </c>
      <c r="Q2064" t="n">
        <v>0</v>
      </c>
      <c r="R2064" s="2" t="inlineStr"/>
    </row>
    <row r="2065" ht="15" customHeight="1">
      <c r="A2065" t="inlineStr">
        <is>
          <t>A 34773-2022</t>
        </is>
      </c>
      <c r="B2065" s="1" t="n">
        <v>44795</v>
      </c>
      <c r="C2065" s="1" t="n">
        <v>45224</v>
      </c>
      <c r="D2065" t="inlineStr">
        <is>
          <t>STOCKHOLMS LÄN</t>
        </is>
      </c>
      <c r="E2065" t="inlineStr">
        <is>
          <t>NORRTÄLJE</t>
        </is>
      </c>
      <c r="G2065" t="n">
        <v>3.9</v>
      </c>
      <c r="H2065" t="n">
        <v>0</v>
      </c>
      <c r="I2065" t="n">
        <v>0</v>
      </c>
      <c r="J2065" t="n">
        <v>0</v>
      </c>
      <c r="K2065" t="n">
        <v>0</v>
      </c>
      <c r="L2065" t="n">
        <v>0</v>
      </c>
      <c r="M2065" t="n">
        <v>0</v>
      </c>
      <c r="N2065" t="n">
        <v>0</v>
      </c>
      <c r="O2065" t="n">
        <v>0</v>
      </c>
      <c r="P2065" t="n">
        <v>0</v>
      </c>
      <c r="Q2065" t="n">
        <v>0</v>
      </c>
      <c r="R2065" s="2" t="inlineStr"/>
    </row>
    <row r="2066" ht="15" customHeight="1">
      <c r="A2066" t="inlineStr">
        <is>
          <t>A 34926-2022</t>
        </is>
      </c>
      <c r="B2066" s="1" t="n">
        <v>44796</v>
      </c>
      <c r="C2066" s="1" t="n">
        <v>45224</v>
      </c>
      <c r="D2066" t="inlineStr">
        <is>
          <t>STOCKHOLMS LÄN</t>
        </is>
      </c>
      <c r="E2066" t="inlineStr">
        <is>
          <t>VAXHOLM</t>
        </is>
      </c>
      <c r="F2066" t="inlineStr">
        <is>
          <t>Övriga statliga verk och myndigheter</t>
        </is>
      </c>
      <c r="G2066" t="n">
        <v>1.3</v>
      </c>
      <c r="H2066" t="n">
        <v>0</v>
      </c>
      <c r="I2066" t="n">
        <v>0</v>
      </c>
      <c r="J2066" t="n">
        <v>0</v>
      </c>
      <c r="K2066" t="n">
        <v>0</v>
      </c>
      <c r="L2066" t="n">
        <v>0</v>
      </c>
      <c r="M2066" t="n">
        <v>0</v>
      </c>
      <c r="N2066" t="n">
        <v>0</v>
      </c>
      <c r="O2066" t="n">
        <v>0</v>
      </c>
      <c r="P2066" t="n">
        <v>0</v>
      </c>
      <c r="Q2066" t="n">
        <v>0</v>
      </c>
      <c r="R2066" s="2" t="inlineStr"/>
    </row>
    <row r="2067" ht="15" customHeight="1">
      <c r="A2067" t="inlineStr">
        <is>
          <t>A 35161-2022</t>
        </is>
      </c>
      <c r="B2067" s="1" t="n">
        <v>44797</v>
      </c>
      <c r="C2067" s="1" t="n">
        <v>45224</v>
      </c>
      <c r="D2067" t="inlineStr">
        <is>
          <t>STOCKHOLMS LÄN</t>
        </is>
      </c>
      <c r="E2067" t="inlineStr">
        <is>
          <t>NORRTÄLJE</t>
        </is>
      </c>
      <c r="G2067" t="n">
        <v>6</v>
      </c>
      <c r="H2067" t="n">
        <v>0</v>
      </c>
      <c r="I2067" t="n">
        <v>0</v>
      </c>
      <c r="J2067" t="n">
        <v>0</v>
      </c>
      <c r="K2067" t="n">
        <v>0</v>
      </c>
      <c r="L2067" t="n">
        <v>0</v>
      </c>
      <c r="M2067" t="n">
        <v>0</v>
      </c>
      <c r="N2067" t="n">
        <v>0</v>
      </c>
      <c r="O2067" t="n">
        <v>0</v>
      </c>
      <c r="P2067" t="n">
        <v>0</v>
      </c>
      <c r="Q2067" t="n">
        <v>0</v>
      </c>
      <c r="R2067" s="2" t="inlineStr"/>
    </row>
    <row r="2068" ht="15" customHeight="1">
      <c r="A2068" t="inlineStr">
        <is>
          <t>A 35121-2022</t>
        </is>
      </c>
      <c r="B2068" s="1" t="n">
        <v>44797</v>
      </c>
      <c r="C2068" s="1" t="n">
        <v>45224</v>
      </c>
      <c r="D2068" t="inlineStr">
        <is>
          <t>STOCKHOLMS LÄN</t>
        </is>
      </c>
      <c r="E2068" t="inlineStr">
        <is>
          <t>NORRTÄLJE</t>
        </is>
      </c>
      <c r="G2068" t="n">
        <v>3.4</v>
      </c>
      <c r="H2068" t="n">
        <v>0</v>
      </c>
      <c r="I2068" t="n">
        <v>0</v>
      </c>
      <c r="J2068" t="n">
        <v>0</v>
      </c>
      <c r="K2068" t="n">
        <v>0</v>
      </c>
      <c r="L2068" t="n">
        <v>0</v>
      </c>
      <c r="M2068" t="n">
        <v>0</v>
      </c>
      <c r="N2068" t="n">
        <v>0</v>
      </c>
      <c r="O2068" t="n">
        <v>0</v>
      </c>
      <c r="P2068" t="n">
        <v>0</v>
      </c>
      <c r="Q2068" t="n">
        <v>0</v>
      </c>
      <c r="R2068" s="2" t="inlineStr"/>
    </row>
    <row r="2069" ht="15" customHeight="1">
      <c r="A2069" t="inlineStr">
        <is>
          <t>A 35404-2022</t>
        </is>
      </c>
      <c r="B2069" s="1" t="n">
        <v>44798</v>
      </c>
      <c r="C2069" s="1" t="n">
        <v>45224</v>
      </c>
      <c r="D2069" t="inlineStr">
        <is>
          <t>STOCKHOLMS LÄN</t>
        </is>
      </c>
      <c r="E2069" t="inlineStr">
        <is>
          <t>HUDDINGE</t>
        </is>
      </c>
      <c r="F2069" t="inlineStr">
        <is>
          <t>Kommuner</t>
        </is>
      </c>
      <c r="G2069" t="n">
        <v>1.4</v>
      </c>
      <c r="H2069" t="n">
        <v>0</v>
      </c>
      <c r="I2069" t="n">
        <v>0</v>
      </c>
      <c r="J2069" t="n">
        <v>0</v>
      </c>
      <c r="K2069" t="n">
        <v>0</v>
      </c>
      <c r="L2069" t="n">
        <v>0</v>
      </c>
      <c r="M2069" t="n">
        <v>0</v>
      </c>
      <c r="N2069" t="n">
        <v>0</v>
      </c>
      <c r="O2069" t="n">
        <v>0</v>
      </c>
      <c r="P2069" t="n">
        <v>0</v>
      </c>
      <c r="Q2069" t="n">
        <v>0</v>
      </c>
      <c r="R2069" s="2" t="inlineStr"/>
    </row>
    <row r="2070" ht="15" customHeight="1">
      <c r="A2070" t="inlineStr">
        <is>
          <t>A 36063-2022</t>
        </is>
      </c>
      <c r="B2070" s="1" t="n">
        <v>44802</v>
      </c>
      <c r="C2070" s="1" t="n">
        <v>45224</v>
      </c>
      <c r="D2070" t="inlineStr">
        <is>
          <t>STOCKHOLMS LÄN</t>
        </is>
      </c>
      <c r="E2070" t="inlineStr">
        <is>
          <t>EKERÖ</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35882-2022</t>
        </is>
      </c>
      <c r="B2071" s="1" t="n">
        <v>44802</v>
      </c>
      <c r="C2071" s="1" t="n">
        <v>45224</v>
      </c>
      <c r="D2071" t="inlineStr">
        <is>
          <t>STOCKHOLMS LÄN</t>
        </is>
      </c>
      <c r="E2071" t="inlineStr">
        <is>
          <t>SÖDERTÄLJE</t>
        </is>
      </c>
      <c r="G2071" t="n">
        <v>10.8</v>
      </c>
      <c r="H2071" t="n">
        <v>0</v>
      </c>
      <c r="I2071" t="n">
        <v>0</v>
      </c>
      <c r="J2071" t="n">
        <v>0</v>
      </c>
      <c r="K2071" t="n">
        <v>0</v>
      </c>
      <c r="L2071" t="n">
        <v>0</v>
      </c>
      <c r="M2071" t="n">
        <v>0</v>
      </c>
      <c r="N2071" t="n">
        <v>0</v>
      </c>
      <c r="O2071" t="n">
        <v>0</v>
      </c>
      <c r="P2071" t="n">
        <v>0</v>
      </c>
      <c r="Q2071" t="n">
        <v>0</v>
      </c>
      <c r="R2071" s="2" t="inlineStr"/>
    </row>
    <row r="2072" ht="15" customHeight="1">
      <c r="A2072" t="inlineStr">
        <is>
          <t>A 35918-2022</t>
        </is>
      </c>
      <c r="B2072" s="1" t="n">
        <v>44802</v>
      </c>
      <c r="C2072" s="1" t="n">
        <v>45224</v>
      </c>
      <c r="D2072" t="inlineStr">
        <is>
          <t>STOCKHOLMS LÄN</t>
        </is>
      </c>
      <c r="E2072" t="inlineStr">
        <is>
          <t>SÖDERTÄLJE</t>
        </is>
      </c>
      <c r="G2072" t="n">
        <v>1.1</v>
      </c>
      <c r="H2072" t="n">
        <v>0</v>
      </c>
      <c r="I2072" t="n">
        <v>0</v>
      </c>
      <c r="J2072" t="n">
        <v>0</v>
      </c>
      <c r="K2072" t="n">
        <v>0</v>
      </c>
      <c r="L2072" t="n">
        <v>0</v>
      </c>
      <c r="M2072" t="n">
        <v>0</v>
      </c>
      <c r="N2072" t="n">
        <v>0</v>
      </c>
      <c r="O2072" t="n">
        <v>0</v>
      </c>
      <c r="P2072" t="n">
        <v>0</v>
      </c>
      <c r="Q2072" t="n">
        <v>0</v>
      </c>
      <c r="R2072" s="2" t="inlineStr"/>
    </row>
    <row r="2073" ht="15" customHeight="1">
      <c r="A2073" t="inlineStr">
        <is>
          <t>A 36113-2022</t>
        </is>
      </c>
      <c r="B2073" s="1" t="n">
        <v>44802</v>
      </c>
      <c r="C2073" s="1" t="n">
        <v>45224</v>
      </c>
      <c r="D2073" t="inlineStr">
        <is>
          <t>STOCKHOLMS LÄN</t>
        </is>
      </c>
      <c r="E2073" t="inlineStr">
        <is>
          <t>SÖDERTÄLJE</t>
        </is>
      </c>
      <c r="G2073" t="n">
        <v>0.9</v>
      </c>
      <c r="H2073" t="n">
        <v>0</v>
      </c>
      <c r="I2073" t="n">
        <v>0</v>
      </c>
      <c r="J2073" t="n">
        <v>0</v>
      </c>
      <c r="K2073" t="n">
        <v>0</v>
      </c>
      <c r="L2073" t="n">
        <v>0</v>
      </c>
      <c r="M2073" t="n">
        <v>0</v>
      </c>
      <c r="N2073" t="n">
        <v>0</v>
      </c>
      <c r="O2073" t="n">
        <v>0</v>
      </c>
      <c r="P2073" t="n">
        <v>0</v>
      </c>
      <c r="Q2073" t="n">
        <v>0</v>
      </c>
      <c r="R2073" s="2" t="inlineStr"/>
    </row>
    <row r="2074" ht="15" customHeight="1">
      <c r="A2074" t="inlineStr">
        <is>
          <t>A 35942-2022</t>
        </is>
      </c>
      <c r="B2074" s="1" t="n">
        <v>44802</v>
      </c>
      <c r="C2074" s="1" t="n">
        <v>45224</v>
      </c>
      <c r="D2074" t="inlineStr">
        <is>
          <t>STOCKHOLMS LÄN</t>
        </is>
      </c>
      <c r="E2074" t="inlineStr">
        <is>
          <t>SÖDERTÄLJE</t>
        </is>
      </c>
      <c r="G2074" t="n">
        <v>0.1</v>
      </c>
      <c r="H2074" t="n">
        <v>0</v>
      </c>
      <c r="I2074" t="n">
        <v>0</v>
      </c>
      <c r="J2074" t="n">
        <v>0</v>
      </c>
      <c r="K2074" t="n">
        <v>0</v>
      </c>
      <c r="L2074" t="n">
        <v>0</v>
      </c>
      <c r="M2074" t="n">
        <v>0</v>
      </c>
      <c r="N2074" t="n">
        <v>0</v>
      </c>
      <c r="O2074" t="n">
        <v>0</v>
      </c>
      <c r="P2074" t="n">
        <v>0</v>
      </c>
      <c r="Q2074" t="n">
        <v>0</v>
      </c>
      <c r="R2074" s="2" t="inlineStr"/>
    </row>
    <row r="2075" ht="15" customHeight="1">
      <c r="A2075" t="inlineStr">
        <is>
          <t>A 36112-2022</t>
        </is>
      </c>
      <c r="B2075" s="1" t="n">
        <v>44802</v>
      </c>
      <c r="C2075" s="1" t="n">
        <v>45224</v>
      </c>
      <c r="D2075" t="inlineStr">
        <is>
          <t>STOCKHOLMS LÄN</t>
        </is>
      </c>
      <c r="E2075" t="inlineStr">
        <is>
          <t>SÖDERTÄLJE</t>
        </is>
      </c>
      <c r="G2075" t="n">
        <v>7.3</v>
      </c>
      <c r="H2075" t="n">
        <v>0</v>
      </c>
      <c r="I2075" t="n">
        <v>0</v>
      </c>
      <c r="J2075" t="n">
        <v>0</v>
      </c>
      <c r="K2075" t="n">
        <v>0</v>
      </c>
      <c r="L2075" t="n">
        <v>0</v>
      </c>
      <c r="M2075" t="n">
        <v>0</v>
      </c>
      <c r="N2075" t="n">
        <v>0</v>
      </c>
      <c r="O2075" t="n">
        <v>0</v>
      </c>
      <c r="P2075" t="n">
        <v>0</v>
      </c>
      <c r="Q2075" t="n">
        <v>0</v>
      </c>
      <c r="R2075" s="2" t="inlineStr"/>
    </row>
    <row r="2076" ht="15" customHeight="1">
      <c r="A2076" t="inlineStr">
        <is>
          <t>A 35906-2022</t>
        </is>
      </c>
      <c r="B2076" s="1" t="n">
        <v>44802</v>
      </c>
      <c r="C2076" s="1" t="n">
        <v>45224</v>
      </c>
      <c r="D2076" t="inlineStr">
        <is>
          <t>STOCKHOLMS LÄN</t>
        </is>
      </c>
      <c r="E2076" t="inlineStr">
        <is>
          <t>SÖDERTÄLJE</t>
        </is>
      </c>
      <c r="G2076" t="n">
        <v>3.9</v>
      </c>
      <c r="H2076" t="n">
        <v>0</v>
      </c>
      <c r="I2076" t="n">
        <v>0</v>
      </c>
      <c r="J2076" t="n">
        <v>0</v>
      </c>
      <c r="K2076" t="n">
        <v>0</v>
      </c>
      <c r="L2076" t="n">
        <v>0</v>
      </c>
      <c r="M2076" t="n">
        <v>0</v>
      </c>
      <c r="N2076" t="n">
        <v>0</v>
      </c>
      <c r="O2076" t="n">
        <v>0</v>
      </c>
      <c r="P2076" t="n">
        <v>0</v>
      </c>
      <c r="Q2076" t="n">
        <v>0</v>
      </c>
      <c r="R2076" s="2" t="inlineStr"/>
    </row>
    <row r="2077" ht="15" customHeight="1">
      <c r="A2077" t="inlineStr">
        <is>
          <t>A 36181-2022</t>
        </is>
      </c>
      <c r="B2077" s="1" t="n">
        <v>44803</v>
      </c>
      <c r="C2077" s="1" t="n">
        <v>45224</v>
      </c>
      <c r="D2077" t="inlineStr">
        <is>
          <t>STOCKHOLMS LÄN</t>
        </is>
      </c>
      <c r="E2077" t="inlineStr">
        <is>
          <t>SIGTUNA</t>
        </is>
      </c>
      <c r="G2077" t="n">
        <v>1.7</v>
      </c>
      <c r="H2077" t="n">
        <v>0</v>
      </c>
      <c r="I2077" t="n">
        <v>0</v>
      </c>
      <c r="J2077" t="n">
        <v>0</v>
      </c>
      <c r="K2077" t="n">
        <v>0</v>
      </c>
      <c r="L2077" t="n">
        <v>0</v>
      </c>
      <c r="M2077" t="n">
        <v>0</v>
      </c>
      <c r="N2077" t="n">
        <v>0</v>
      </c>
      <c r="O2077" t="n">
        <v>0</v>
      </c>
      <c r="P2077" t="n">
        <v>0</v>
      </c>
      <c r="Q2077" t="n">
        <v>0</v>
      </c>
      <c r="R2077" s="2" t="inlineStr"/>
    </row>
    <row r="2078" ht="15" customHeight="1">
      <c r="A2078" t="inlineStr">
        <is>
          <t>A 36269-2022</t>
        </is>
      </c>
      <c r="B2078" s="1" t="n">
        <v>44803</v>
      </c>
      <c r="C2078" s="1" t="n">
        <v>45224</v>
      </c>
      <c r="D2078" t="inlineStr">
        <is>
          <t>STOCKHOLMS LÄN</t>
        </is>
      </c>
      <c r="E2078" t="inlineStr">
        <is>
          <t>NORRTÄLJE</t>
        </is>
      </c>
      <c r="G2078" t="n">
        <v>2.3</v>
      </c>
      <c r="H2078" t="n">
        <v>0</v>
      </c>
      <c r="I2078" t="n">
        <v>0</v>
      </c>
      <c r="J2078" t="n">
        <v>0</v>
      </c>
      <c r="K2078" t="n">
        <v>0</v>
      </c>
      <c r="L2078" t="n">
        <v>0</v>
      </c>
      <c r="M2078" t="n">
        <v>0</v>
      </c>
      <c r="N2078" t="n">
        <v>0</v>
      </c>
      <c r="O2078" t="n">
        <v>0</v>
      </c>
      <c r="P2078" t="n">
        <v>0</v>
      </c>
      <c r="Q2078" t="n">
        <v>0</v>
      </c>
      <c r="R2078" s="2" t="inlineStr"/>
    </row>
    <row r="2079" ht="15" customHeight="1">
      <c r="A2079" t="inlineStr">
        <is>
          <t>A 36179-2022</t>
        </is>
      </c>
      <c r="B2079" s="1" t="n">
        <v>44803</v>
      </c>
      <c r="C2079" s="1" t="n">
        <v>45224</v>
      </c>
      <c r="D2079" t="inlineStr">
        <is>
          <t>STOCKHOLMS LÄN</t>
        </is>
      </c>
      <c r="E2079" t="inlineStr">
        <is>
          <t>SIGTUNA</t>
        </is>
      </c>
      <c r="G2079" t="n">
        <v>6.1</v>
      </c>
      <c r="H2079" t="n">
        <v>0</v>
      </c>
      <c r="I2079" t="n">
        <v>0</v>
      </c>
      <c r="J2079" t="n">
        <v>0</v>
      </c>
      <c r="K2079" t="n">
        <v>0</v>
      </c>
      <c r="L2079" t="n">
        <v>0</v>
      </c>
      <c r="M2079" t="n">
        <v>0</v>
      </c>
      <c r="N2079" t="n">
        <v>0</v>
      </c>
      <c r="O2079" t="n">
        <v>0</v>
      </c>
      <c r="P2079" t="n">
        <v>0</v>
      </c>
      <c r="Q2079" t="n">
        <v>0</v>
      </c>
      <c r="R2079" s="2" t="inlineStr"/>
    </row>
    <row r="2080" ht="15" customHeight="1">
      <c r="A2080" t="inlineStr">
        <is>
          <t>A 36308-2022</t>
        </is>
      </c>
      <c r="B2080" s="1" t="n">
        <v>44803</v>
      </c>
      <c r="C2080" s="1" t="n">
        <v>45224</v>
      </c>
      <c r="D2080" t="inlineStr">
        <is>
          <t>STOCKHOLMS LÄN</t>
        </is>
      </c>
      <c r="E2080" t="inlineStr">
        <is>
          <t>NORRTÄLJE</t>
        </is>
      </c>
      <c r="G2080" t="n">
        <v>0.6</v>
      </c>
      <c r="H2080" t="n">
        <v>0</v>
      </c>
      <c r="I2080" t="n">
        <v>0</v>
      </c>
      <c r="J2080" t="n">
        <v>0</v>
      </c>
      <c r="K2080" t="n">
        <v>0</v>
      </c>
      <c r="L2080" t="n">
        <v>0</v>
      </c>
      <c r="M2080" t="n">
        <v>0</v>
      </c>
      <c r="N2080" t="n">
        <v>0</v>
      </c>
      <c r="O2080" t="n">
        <v>0</v>
      </c>
      <c r="P2080" t="n">
        <v>0</v>
      </c>
      <c r="Q2080" t="n">
        <v>0</v>
      </c>
      <c r="R2080" s="2" t="inlineStr"/>
    </row>
    <row r="2081" ht="15" customHeight="1">
      <c r="A2081" t="inlineStr">
        <is>
          <t>A 37000-2022</t>
        </is>
      </c>
      <c r="B2081" s="1" t="n">
        <v>44806</v>
      </c>
      <c r="C2081" s="1" t="n">
        <v>45224</v>
      </c>
      <c r="D2081" t="inlineStr">
        <is>
          <t>STOCKHOLMS LÄN</t>
        </is>
      </c>
      <c r="E2081" t="inlineStr">
        <is>
          <t>HANINGE</t>
        </is>
      </c>
      <c r="F2081" t="inlineStr">
        <is>
          <t>Övriga statliga verk och myndigheter</t>
        </is>
      </c>
      <c r="G2081" t="n">
        <v>2</v>
      </c>
      <c r="H2081" t="n">
        <v>0</v>
      </c>
      <c r="I2081" t="n">
        <v>0</v>
      </c>
      <c r="J2081" t="n">
        <v>0</v>
      </c>
      <c r="K2081" t="n">
        <v>0</v>
      </c>
      <c r="L2081" t="n">
        <v>0</v>
      </c>
      <c r="M2081" t="n">
        <v>0</v>
      </c>
      <c r="N2081" t="n">
        <v>0</v>
      </c>
      <c r="O2081" t="n">
        <v>0</v>
      </c>
      <c r="P2081" t="n">
        <v>0</v>
      </c>
      <c r="Q2081" t="n">
        <v>0</v>
      </c>
      <c r="R2081" s="2" t="inlineStr"/>
    </row>
    <row r="2082" ht="15" customHeight="1">
      <c r="A2082" t="inlineStr">
        <is>
          <t>A 37444-2022</t>
        </is>
      </c>
      <c r="B2082" s="1" t="n">
        <v>44809</v>
      </c>
      <c r="C2082" s="1" t="n">
        <v>45224</v>
      </c>
      <c r="D2082" t="inlineStr">
        <is>
          <t>STOCKHOLMS LÄN</t>
        </is>
      </c>
      <c r="E2082" t="inlineStr">
        <is>
          <t>SIGTUNA</t>
        </is>
      </c>
      <c r="G2082" t="n">
        <v>0.7</v>
      </c>
      <c r="H2082" t="n">
        <v>0</v>
      </c>
      <c r="I2082" t="n">
        <v>0</v>
      </c>
      <c r="J2082" t="n">
        <v>0</v>
      </c>
      <c r="K2082" t="n">
        <v>0</v>
      </c>
      <c r="L2082" t="n">
        <v>0</v>
      </c>
      <c r="M2082" t="n">
        <v>0</v>
      </c>
      <c r="N2082" t="n">
        <v>0</v>
      </c>
      <c r="O2082" t="n">
        <v>0</v>
      </c>
      <c r="P2082" t="n">
        <v>0</v>
      </c>
      <c r="Q2082" t="n">
        <v>0</v>
      </c>
      <c r="R2082" s="2" t="inlineStr"/>
    </row>
    <row r="2083" ht="15" customHeight="1">
      <c r="A2083" t="inlineStr">
        <is>
          <t>A 37491-2022</t>
        </is>
      </c>
      <c r="B2083" s="1" t="n">
        <v>44809</v>
      </c>
      <c r="C2083" s="1" t="n">
        <v>45224</v>
      </c>
      <c r="D2083" t="inlineStr">
        <is>
          <t>STOCKHOLMS LÄN</t>
        </is>
      </c>
      <c r="E2083" t="inlineStr">
        <is>
          <t>NYNÄSHAMN</t>
        </is>
      </c>
      <c r="G2083" t="n">
        <v>4.3</v>
      </c>
      <c r="H2083" t="n">
        <v>0</v>
      </c>
      <c r="I2083" t="n">
        <v>0</v>
      </c>
      <c r="J2083" t="n">
        <v>0</v>
      </c>
      <c r="K2083" t="n">
        <v>0</v>
      </c>
      <c r="L2083" t="n">
        <v>0</v>
      </c>
      <c r="M2083" t="n">
        <v>0</v>
      </c>
      <c r="N2083" t="n">
        <v>0</v>
      </c>
      <c r="O2083" t="n">
        <v>0</v>
      </c>
      <c r="P2083" t="n">
        <v>0</v>
      </c>
      <c r="Q2083" t="n">
        <v>0</v>
      </c>
      <c r="R2083" s="2" t="inlineStr"/>
    </row>
    <row r="2084" ht="15" customHeight="1">
      <c r="A2084" t="inlineStr">
        <is>
          <t>A 37442-2022</t>
        </is>
      </c>
      <c r="B2084" s="1" t="n">
        <v>44809</v>
      </c>
      <c r="C2084" s="1" t="n">
        <v>45224</v>
      </c>
      <c r="D2084" t="inlineStr">
        <is>
          <t>STOCKHOLMS LÄN</t>
        </is>
      </c>
      <c r="E2084" t="inlineStr">
        <is>
          <t>SIGTUNA</t>
        </is>
      </c>
      <c r="G2084" t="n">
        <v>0.7</v>
      </c>
      <c r="H2084" t="n">
        <v>0</v>
      </c>
      <c r="I2084" t="n">
        <v>0</v>
      </c>
      <c r="J2084" t="n">
        <v>0</v>
      </c>
      <c r="K2084" t="n">
        <v>0</v>
      </c>
      <c r="L2084" t="n">
        <v>0</v>
      </c>
      <c r="M2084" t="n">
        <v>0</v>
      </c>
      <c r="N2084" t="n">
        <v>0</v>
      </c>
      <c r="O2084" t="n">
        <v>0</v>
      </c>
      <c r="P2084" t="n">
        <v>0</v>
      </c>
      <c r="Q2084" t="n">
        <v>0</v>
      </c>
      <c r="R2084" s="2" t="inlineStr"/>
    </row>
    <row r="2085" ht="15" customHeight="1">
      <c r="A2085" t="inlineStr">
        <is>
          <t>A 37550-2022</t>
        </is>
      </c>
      <c r="B2085" s="1" t="n">
        <v>44809</v>
      </c>
      <c r="C2085" s="1" t="n">
        <v>45224</v>
      </c>
      <c r="D2085" t="inlineStr">
        <is>
          <t>STOCKHOLMS LÄN</t>
        </is>
      </c>
      <c r="E2085" t="inlineStr">
        <is>
          <t>NORRTÄLJE</t>
        </is>
      </c>
      <c r="G2085" t="n">
        <v>1</v>
      </c>
      <c r="H2085" t="n">
        <v>0</v>
      </c>
      <c r="I2085" t="n">
        <v>0</v>
      </c>
      <c r="J2085" t="n">
        <v>0</v>
      </c>
      <c r="K2085" t="n">
        <v>0</v>
      </c>
      <c r="L2085" t="n">
        <v>0</v>
      </c>
      <c r="M2085" t="n">
        <v>0</v>
      </c>
      <c r="N2085" t="n">
        <v>0</v>
      </c>
      <c r="O2085" t="n">
        <v>0</v>
      </c>
      <c r="P2085" t="n">
        <v>0</v>
      </c>
      <c r="Q2085" t="n">
        <v>0</v>
      </c>
      <c r="R2085" s="2" t="inlineStr"/>
    </row>
    <row r="2086" ht="15" customHeight="1">
      <c r="A2086" t="inlineStr">
        <is>
          <t>A 37842-2022</t>
        </is>
      </c>
      <c r="B2086" s="1" t="n">
        <v>44810</v>
      </c>
      <c r="C2086" s="1" t="n">
        <v>45224</v>
      </c>
      <c r="D2086" t="inlineStr">
        <is>
          <t>STOCKHOLMS LÄN</t>
        </is>
      </c>
      <c r="E2086" t="inlineStr">
        <is>
          <t>SÖDERTÄLJE</t>
        </is>
      </c>
      <c r="G2086" t="n">
        <v>0.3</v>
      </c>
      <c r="H2086" t="n">
        <v>0</v>
      </c>
      <c r="I2086" t="n">
        <v>0</v>
      </c>
      <c r="J2086" t="n">
        <v>0</v>
      </c>
      <c r="K2086" t="n">
        <v>0</v>
      </c>
      <c r="L2086" t="n">
        <v>0</v>
      </c>
      <c r="M2086" t="n">
        <v>0</v>
      </c>
      <c r="N2086" t="n">
        <v>0</v>
      </c>
      <c r="O2086" t="n">
        <v>0</v>
      </c>
      <c r="P2086" t="n">
        <v>0</v>
      </c>
      <c r="Q2086" t="n">
        <v>0</v>
      </c>
      <c r="R2086" s="2" t="inlineStr"/>
    </row>
    <row r="2087" ht="15" customHeight="1">
      <c r="A2087" t="inlineStr">
        <is>
          <t>A 37843-2022</t>
        </is>
      </c>
      <c r="B2087" s="1" t="n">
        <v>44810</v>
      </c>
      <c r="C2087" s="1" t="n">
        <v>45224</v>
      </c>
      <c r="D2087" t="inlineStr">
        <is>
          <t>STOCKHOLMS LÄN</t>
        </is>
      </c>
      <c r="E2087" t="inlineStr">
        <is>
          <t>SÖDERTÄLJE</t>
        </is>
      </c>
      <c r="G2087" t="n">
        <v>5.5</v>
      </c>
      <c r="H2087" t="n">
        <v>0</v>
      </c>
      <c r="I2087" t="n">
        <v>0</v>
      </c>
      <c r="J2087" t="n">
        <v>0</v>
      </c>
      <c r="K2087" t="n">
        <v>0</v>
      </c>
      <c r="L2087" t="n">
        <v>0</v>
      </c>
      <c r="M2087" t="n">
        <v>0</v>
      </c>
      <c r="N2087" t="n">
        <v>0</v>
      </c>
      <c r="O2087" t="n">
        <v>0</v>
      </c>
      <c r="P2087" t="n">
        <v>0</v>
      </c>
      <c r="Q2087" t="n">
        <v>0</v>
      </c>
      <c r="R2087" s="2" t="inlineStr"/>
    </row>
    <row r="2088" ht="15" customHeight="1">
      <c r="A2088" t="inlineStr">
        <is>
          <t>A 37679-2022</t>
        </is>
      </c>
      <c r="B2088" s="1" t="n">
        <v>44810</v>
      </c>
      <c r="C2088" s="1" t="n">
        <v>45224</v>
      </c>
      <c r="D2088" t="inlineStr">
        <is>
          <t>STOCKHOLMS LÄN</t>
        </is>
      </c>
      <c r="E2088" t="inlineStr">
        <is>
          <t>NORRTÄLJE</t>
        </is>
      </c>
      <c r="G2088" t="n">
        <v>3.1</v>
      </c>
      <c r="H2088" t="n">
        <v>0</v>
      </c>
      <c r="I2088" t="n">
        <v>0</v>
      </c>
      <c r="J2088" t="n">
        <v>0</v>
      </c>
      <c r="K2088" t="n">
        <v>0</v>
      </c>
      <c r="L2088" t="n">
        <v>0</v>
      </c>
      <c r="M2088" t="n">
        <v>0</v>
      </c>
      <c r="N2088" t="n">
        <v>0</v>
      </c>
      <c r="O2088" t="n">
        <v>0</v>
      </c>
      <c r="P2088" t="n">
        <v>0</v>
      </c>
      <c r="Q2088" t="n">
        <v>0</v>
      </c>
      <c r="R2088" s="2" t="inlineStr"/>
    </row>
    <row r="2089" ht="15" customHeight="1">
      <c r="A2089" t="inlineStr">
        <is>
          <t>A 37844-2022</t>
        </is>
      </c>
      <c r="B2089" s="1" t="n">
        <v>44810</v>
      </c>
      <c r="C2089" s="1" t="n">
        <v>45224</v>
      </c>
      <c r="D2089" t="inlineStr">
        <is>
          <t>STOCKHOLMS LÄN</t>
        </is>
      </c>
      <c r="E2089" t="inlineStr">
        <is>
          <t>SÖDERTÄLJE</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38079-2022</t>
        </is>
      </c>
      <c r="B2090" s="1" t="n">
        <v>44811</v>
      </c>
      <c r="C2090" s="1" t="n">
        <v>45224</v>
      </c>
      <c r="D2090" t="inlineStr">
        <is>
          <t>STOCKHOLMS LÄN</t>
        </is>
      </c>
      <c r="E2090" t="inlineStr">
        <is>
          <t>SÖDERTÄLJE</t>
        </is>
      </c>
      <c r="G2090" t="n">
        <v>1.9</v>
      </c>
      <c r="H2090" t="n">
        <v>0</v>
      </c>
      <c r="I2090" t="n">
        <v>0</v>
      </c>
      <c r="J2090" t="n">
        <v>0</v>
      </c>
      <c r="K2090" t="n">
        <v>0</v>
      </c>
      <c r="L2090" t="n">
        <v>0</v>
      </c>
      <c r="M2090" t="n">
        <v>0</v>
      </c>
      <c r="N2090" t="n">
        <v>0</v>
      </c>
      <c r="O2090" t="n">
        <v>0</v>
      </c>
      <c r="P2090" t="n">
        <v>0</v>
      </c>
      <c r="Q2090" t="n">
        <v>0</v>
      </c>
      <c r="R2090" s="2" t="inlineStr"/>
    </row>
    <row r="2091" ht="15" customHeight="1">
      <c r="A2091" t="inlineStr">
        <is>
          <t>A 38194-2022</t>
        </is>
      </c>
      <c r="B2091" s="1" t="n">
        <v>44812</v>
      </c>
      <c r="C2091" s="1" t="n">
        <v>45224</v>
      </c>
      <c r="D2091" t="inlineStr">
        <is>
          <t>STOCKHOLMS LÄN</t>
        </is>
      </c>
      <c r="E2091" t="inlineStr">
        <is>
          <t>BOTKYRKA</t>
        </is>
      </c>
      <c r="G2091" t="n">
        <v>1.6</v>
      </c>
      <c r="H2091" t="n">
        <v>0</v>
      </c>
      <c r="I2091" t="n">
        <v>0</v>
      </c>
      <c r="J2091" t="n">
        <v>0</v>
      </c>
      <c r="K2091" t="n">
        <v>0</v>
      </c>
      <c r="L2091" t="n">
        <v>0</v>
      </c>
      <c r="M2091" t="n">
        <v>0</v>
      </c>
      <c r="N2091" t="n">
        <v>0</v>
      </c>
      <c r="O2091" t="n">
        <v>0</v>
      </c>
      <c r="P2091" t="n">
        <v>0</v>
      </c>
      <c r="Q2091" t="n">
        <v>0</v>
      </c>
      <c r="R2091" s="2" t="inlineStr"/>
    </row>
    <row r="2092" ht="15" customHeight="1">
      <c r="A2092" t="inlineStr">
        <is>
          <t>A 38202-2022</t>
        </is>
      </c>
      <c r="B2092" s="1" t="n">
        <v>44812</v>
      </c>
      <c r="C2092" s="1" t="n">
        <v>45224</v>
      </c>
      <c r="D2092" t="inlineStr">
        <is>
          <t>STOCKHOLMS LÄN</t>
        </is>
      </c>
      <c r="E2092" t="inlineStr">
        <is>
          <t>BOTKYRKA</t>
        </is>
      </c>
      <c r="G2092" t="n">
        <v>5.3</v>
      </c>
      <c r="H2092" t="n">
        <v>0</v>
      </c>
      <c r="I2092" t="n">
        <v>0</v>
      </c>
      <c r="J2092" t="n">
        <v>0</v>
      </c>
      <c r="K2092" t="n">
        <v>0</v>
      </c>
      <c r="L2092" t="n">
        <v>0</v>
      </c>
      <c r="M2092" t="n">
        <v>0</v>
      </c>
      <c r="N2092" t="n">
        <v>0</v>
      </c>
      <c r="O2092" t="n">
        <v>0</v>
      </c>
      <c r="P2092" t="n">
        <v>0</v>
      </c>
      <c r="Q2092" t="n">
        <v>0</v>
      </c>
      <c r="R2092" s="2" t="inlineStr"/>
    </row>
    <row r="2093" ht="15" customHeight="1">
      <c r="A2093" t="inlineStr">
        <is>
          <t>A 38250-2022</t>
        </is>
      </c>
      <c r="B2093" s="1" t="n">
        <v>44812</v>
      </c>
      <c r="C2093" s="1" t="n">
        <v>45224</v>
      </c>
      <c r="D2093" t="inlineStr">
        <is>
          <t>STOCKHOLMS LÄN</t>
        </is>
      </c>
      <c r="E2093" t="inlineStr">
        <is>
          <t>SÖDERTÄLJE</t>
        </is>
      </c>
      <c r="G2093" t="n">
        <v>1.1</v>
      </c>
      <c r="H2093" t="n">
        <v>0</v>
      </c>
      <c r="I2093" t="n">
        <v>0</v>
      </c>
      <c r="J2093" t="n">
        <v>0</v>
      </c>
      <c r="K2093" t="n">
        <v>0</v>
      </c>
      <c r="L2093" t="n">
        <v>0</v>
      </c>
      <c r="M2093" t="n">
        <v>0</v>
      </c>
      <c r="N2093" t="n">
        <v>0</v>
      </c>
      <c r="O2093" t="n">
        <v>0</v>
      </c>
      <c r="P2093" t="n">
        <v>0</v>
      </c>
      <c r="Q2093" t="n">
        <v>0</v>
      </c>
      <c r="R2093" s="2" t="inlineStr"/>
    </row>
    <row r="2094" ht="15" customHeight="1">
      <c r="A2094" t="inlineStr">
        <is>
          <t>A 38196-2022</t>
        </is>
      </c>
      <c r="B2094" s="1" t="n">
        <v>44812</v>
      </c>
      <c r="C2094" s="1" t="n">
        <v>45224</v>
      </c>
      <c r="D2094" t="inlineStr">
        <is>
          <t>STOCKHOLMS LÄN</t>
        </is>
      </c>
      <c r="E2094" t="inlineStr">
        <is>
          <t>BOTKYRKA</t>
        </is>
      </c>
      <c r="G2094" t="n">
        <v>4.2</v>
      </c>
      <c r="H2094" t="n">
        <v>0</v>
      </c>
      <c r="I2094" t="n">
        <v>0</v>
      </c>
      <c r="J2094" t="n">
        <v>0</v>
      </c>
      <c r="K2094" t="n">
        <v>0</v>
      </c>
      <c r="L2094" t="n">
        <v>0</v>
      </c>
      <c r="M2094" t="n">
        <v>0</v>
      </c>
      <c r="N2094" t="n">
        <v>0</v>
      </c>
      <c r="O2094" t="n">
        <v>0</v>
      </c>
      <c r="P2094" t="n">
        <v>0</v>
      </c>
      <c r="Q2094" t="n">
        <v>0</v>
      </c>
      <c r="R2094" s="2" t="inlineStr"/>
    </row>
    <row r="2095" ht="15" customHeight="1">
      <c r="A2095" t="inlineStr">
        <is>
          <t>A 38590-2022</t>
        </is>
      </c>
      <c r="B2095" s="1" t="n">
        <v>44813</v>
      </c>
      <c r="C2095" s="1" t="n">
        <v>45224</v>
      </c>
      <c r="D2095" t="inlineStr">
        <is>
          <t>STOCKHOLMS LÄN</t>
        </is>
      </c>
      <c r="E2095" t="inlineStr">
        <is>
          <t>NORRTÄLJE</t>
        </is>
      </c>
      <c r="G2095" t="n">
        <v>5.9</v>
      </c>
      <c r="H2095" t="n">
        <v>0</v>
      </c>
      <c r="I2095" t="n">
        <v>0</v>
      </c>
      <c r="J2095" t="n">
        <v>0</v>
      </c>
      <c r="K2095" t="n">
        <v>0</v>
      </c>
      <c r="L2095" t="n">
        <v>0</v>
      </c>
      <c r="M2095" t="n">
        <v>0</v>
      </c>
      <c r="N2095" t="n">
        <v>0</v>
      </c>
      <c r="O2095" t="n">
        <v>0</v>
      </c>
      <c r="P2095" t="n">
        <v>0</v>
      </c>
      <c r="Q2095" t="n">
        <v>0</v>
      </c>
      <c r="R2095" s="2" t="inlineStr"/>
    </row>
    <row r="2096" ht="15" customHeight="1">
      <c r="A2096" t="inlineStr">
        <is>
          <t>A 38612-2022</t>
        </is>
      </c>
      <c r="B2096" s="1" t="n">
        <v>44813</v>
      </c>
      <c r="C2096" s="1" t="n">
        <v>45224</v>
      </c>
      <c r="D2096" t="inlineStr">
        <is>
          <t>STOCKHOLMS LÄN</t>
        </is>
      </c>
      <c r="E2096" t="inlineStr">
        <is>
          <t>NORRTÄLJE</t>
        </is>
      </c>
      <c r="G2096" t="n">
        <v>1.7</v>
      </c>
      <c r="H2096" t="n">
        <v>0</v>
      </c>
      <c r="I2096" t="n">
        <v>0</v>
      </c>
      <c r="J2096" t="n">
        <v>0</v>
      </c>
      <c r="K2096" t="n">
        <v>0</v>
      </c>
      <c r="L2096" t="n">
        <v>0</v>
      </c>
      <c r="M2096" t="n">
        <v>0</v>
      </c>
      <c r="N2096" t="n">
        <v>0</v>
      </c>
      <c r="O2096" t="n">
        <v>0</v>
      </c>
      <c r="P2096" t="n">
        <v>0</v>
      </c>
      <c r="Q2096" t="n">
        <v>0</v>
      </c>
      <c r="R2096" s="2" t="inlineStr"/>
    </row>
    <row r="2097" ht="15" customHeight="1">
      <c r="A2097" t="inlineStr">
        <is>
          <t>A 38449-2022</t>
        </is>
      </c>
      <c r="B2097" s="1" t="n">
        <v>44813</v>
      </c>
      <c r="C2097" s="1" t="n">
        <v>45224</v>
      </c>
      <c r="D2097" t="inlineStr">
        <is>
          <t>STOCKHOLMS LÄN</t>
        </is>
      </c>
      <c r="E2097" t="inlineStr">
        <is>
          <t>NORRTÄLJE</t>
        </is>
      </c>
      <c r="G2097" t="n">
        <v>4.2</v>
      </c>
      <c r="H2097" t="n">
        <v>0</v>
      </c>
      <c r="I2097" t="n">
        <v>0</v>
      </c>
      <c r="J2097" t="n">
        <v>0</v>
      </c>
      <c r="K2097" t="n">
        <v>0</v>
      </c>
      <c r="L2097" t="n">
        <v>0</v>
      </c>
      <c r="M2097" t="n">
        <v>0</v>
      </c>
      <c r="N2097" t="n">
        <v>0</v>
      </c>
      <c r="O2097" t="n">
        <v>0</v>
      </c>
      <c r="P2097" t="n">
        <v>0</v>
      </c>
      <c r="Q2097" t="n">
        <v>0</v>
      </c>
      <c r="R2097" s="2" t="inlineStr"/>
    </row>
    <row r="2098" ht="15" customHeight="1">
      <c r="A2098" t="inlineStr">
        <is>
          <t>A 38721-2022</t>
        </is>
      </c>
      <c r="B2098" s="1" t="n">
        <v>44815</v>
      </c>
      <c r="C2098" s="1" t="n">
        <v>45224</v>
      </c>
      <c r="D2098" t="inlineStr">
        <is>
          <t>STOCKHOLMS LÄN</t>
        </is>
      </c>
      <c r="E2098" t="inlineStr">
        <is>
          <t>NORRTÄLJE</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38985-2022</t>
        </is>
      </c>
      <c r="B2099" s="1" t="n">
        <v>44816</v>
      </c>
      <c r="C2099" s="1" t="n">
        <v>45224</v>
      </c>
      <c r="D2099" t="inlineStr">
        <is>
          <t>STOCKHOLMS LÄN</t>
        </is>
      </c>
      <c r="E2099" t="inlineStr">
        <is>
          <t>NORRTÄLJE</t>
        </is>
      </c>
      <c r="G2099" t="n">
        <v>10.1</v>
      </c>
      <c r="H2099" t="n">
        <v>0</v>
      </c>
      <c r="I2099" t="n">
        <v>0</v>
      </c>
      <c r="J2099" t="n">
        <v>0</v>
      </c>
      <c r="K2099" t="n">
        <v>0</v>
      </c>
      <c r="L2099" t="n">
        <v>0</v>
      </c>
      <c r="M2099" t="n">
        <v>0</v>
      </c>
      <c r="N2099" t="n">
        <v>0</v>
      </c>
      <c r="O2099" t="n">
        <v>0</v>
      </c>
      <c r="P2099" t="n">
        <v>0</v>
      </c>
      <c r="Q2099" t="n">
        <v>0</v>
      </c>
      <c r="R2099" s="2" t="inlineStr"/>
    </row>
    <row r="2100" ht="15" customHeight="1">
      <c r="A2100" t="inlineStr">
        <is>
          <t>A 38759-2022</t>
        </is>
      </c>
      <c r="B2100" s="1" t="n">
        <v>44816</v>
      </c>
      <c r="C2100" s="1" t="n">
        <v>45224</v>
      </c>
      <c r="D2100" t="inlineStr">
        <is>
          <t>STOCKHOLMS LÄN</t>
        </is>
      </c>
      <c r="E2100" t="inlineStr">
        <is>
          <t>NORRTÄLJE</t>
        </is>
      </c>
      <c r="G2100" t="n">
        <v>2.8</v>
      </c>
      <c r="H2100" t="n">
        <v>0</v>
      </c>
      <c r="I2100" t="n">
        <v>0</v>
      </c>
      <c r="J2100" t="n">
        <v>0</v>
      </c>
      <c r="K2100" t="n">
        <v>0</v>
      </c>
      <c r="L2100" t="n">
        <v>0</v>
      </c>
      <c r="M2100" t="n">
        <v>0</v>
      </c>
      <c r="N2100" t="n">
        <v>0</v>
      </c>
      <c r="O2100" t="n">
        <v>0</v>
      </c>
      <c r="P2100" t="n">
        <v>0</v>
      </c>
      <c r="Q2100" t="n">
        <v>0</v>
      </c>
      <c r="R2100" s="2" t="inlineStr"/>
    </row>
    <row r="2101" ht="15" customHeight="1">
      <c r="A2101" t="inlineStr">
        <is>
          <t>A 38927-2022</t>
        </is>
      </c>
      <c r="B2101" s="1" t="n">
        <v>44816</v>
      </c>
      <c r="C2101" s="1" t="n">
        <v>45224</v>
      </c>
      <c r="D2101" t="inlineStr">
        <is>
          <t>STOCKHOLMS LÄN</t>
        </is>
      </c>
      <c r="E2101" t="inlineStr">
        <is>
          <t>NORRTÄLJE</t>
        </is>
      </c>
      <c r="G2101" t="n">
        <v>2.6</v>
      </c>
      <c r="H2101" t="n">
        <v>0</v>
      </c>
      <c r="I2101" t="n">
        <v>0</v>
      </c>
      <c r="J2101" t="n">
        <v>0</v>
      </c>
      <c r="K2101" t="n">
        <v>0</v>
      </c>
      <c r="L2101" t="n">
        <v>0</v>
      </c>
      <c r="M2101" t="n">
        <v>0</v>
      </c>
      <c r="N2101" t="n">
        <v>0</v>
      </c>
      <c r="O2101" t="n">
        <v>0</v>
      </c>
      <c r="P2101" t="n">
        <v>0</v>
      </c>
      <c r="Q2101" t="n">
        <v>0</v>
      </c>
      <c r="R2101" s="2" t="inlineStr"/>
    </row>
    <row r="2102" ht="15" customHeight="1">
      <c r="A2102" t="inlineStr">
        <is>
          <t>A 38990-2022</t>
        </is>
      </c>
      <c r="B2102" s="1" t="n">
        <v>44816</v>
      </c>
      <c r="C2102" s="1" t="n">
        <v>45224</v>
      </c>
      <c r="D2102" t="inlineStr">
        <is>
          <t>STOCKHOLMS LÄN</t>
        </is>
      </c>
      <c r="E2102" t="inlineStr">
        <is>
          <t>NORRTÄLJE</t>
        </is>
      </c>
      <c r="G2102" t="n">
        <v>5.7</v>
      </c>
      <c r="H2102" t="n">
        <v>0</v>
      </c>
      <c r="I2102" t="n">
        <v>0</v>
      </c>
      <c r="J2102" t="n">
        <v>0</v>
      </c>
      <c r="K2102" t="n">
        <v>0</v>
      </c>
      <c r="L2102" t="n">
        <v>0</v>
      </c>
      <c r="M2102" t="n">
        <v>0</v>
      </c>
      <c r="N2102" t="n">
        <v>0</v>
      </c>
      <c r="O2102" t="n">
        <v>0</v>
      </c>
      <c r="P2102" t="n">
        <v>0</v>
      </c>
      <c r="Q2102" t="n">
        <v>0</v>
      </c>
      <c r="R2102" s="2" t="inlineStr"/>
    </row>
    <row r="2103" ht="15" customHeight="1">
      <c r="A2103" t="inlineStr">
        <is>
          <t>A 39869-2022</t>
        </is>
      </c>
      <c r="B2103" s="1" t="n">
        <v>44819</v>
      </c>
      <c r="C2103" s="1" t="n">
        <v>45224</v>
      </c>
      <c r="D2103" t="inlineStr">
        <is>
          <t>STOCKHOLMS LÄN</t>
        </is>
      </c>
      <c r="E2103" t="inlineStr">
        <is>
          <t>NORRTÄLJE</t>
        </is>
      </c>
      <c r="G2103" t="n">
        <v>1.1</v>
      </c>
      <c r="H2103" t="n">
        <v>0</v>
      </c>
      <c r="I2103" t="n">
        <v>0</v>
      </c>
      <c r="J2103" t="n">
        <v>0</v>
      </c>
      <c r="K2103" t="n">
        <v>0</v>
      </c>
      <c r="L2103" t="n">
        <v>0</v>
      </c>
      <c r="M2103" t="n">
        <v>0</v>
      </c>
      <c r="N2103" t="n">
        <v>0</v>
      </c>
      <c r="O2103" t="n">
        <v>0</v>
      </c>
      <c r="P2103" t="n">
        <v>0</v>
      </c>
      <c r="Q2103" t="n">
        <v>0</v>
      </c>
      <c r="R2103" s="2" t="inlineStr"/>
    </row>
    <row r="2104" ht="15" customHeight="1">
      <c r="A2104" t="inlineStr">
        <is>
          <t>A 39854-2022</t>
        </is>
      </c>
      <c r="B2104" s="1" t="n">
        <v>44819</v>
      </c>
      <c r="C2104" s="1" t="n">
        <v>45224</v>
      </c>
      <c r="D2104" t="inlineStr">
        <is>
          <t>STOCKHOLMS LÄN</t>
        </is>
      </c>
      <c r="E2104" t="inlineStr">
        <is>
          <t>NORRTÄLJE</t>
        </is>
      </c>
      <c r="G2104" t="n">
        <v>4.4</v>
      </c>
      <c r="H2104" t="n">
        <v>0</v>
      </c>
      <c r="I2104" t="n">
        <v>0</v>
      </c>
      <c r="J2104" t="n">
        <v>0</v>
      </c>
      <c r="K2104" t="n">
        <v>0</v>
      </c>
      <c r="L2104" t="n">
        <v>0</v>
      </c>
      <c r="M2104" t="n">
        <v>0</v>
      </c>
      <c r="N2104" t="n">
        <v>0</v>
      </c>
      <c r="O2104" t="n">
        <v>0</v>
      </c>
      <c r="P2104" t="n">
        <v>0</v>
      </c>
      <c r="Q2104" t="n">
        <v>0</v>
      </c>
      <c r="R2104" s="2" t="inlineStr"/>
    </row>
    <row r="2105" ht="15" customHeight="1">
      <c r="A2105" t="inlineStr">
        <is>
          <t>A 39867-2022</t>
        </is>
      </c>
      <c r="B2105" s="1" t="n">
        <v>44819</v>
      </c>
      <c r="C2105" s="1" t="n">
        <v>45224</v>
      </c>
      <c r="D2105" t="inlineStr">
        <is>
          <t>STOCKHOLMS LÄN</t>
        </is>
      </c>
      <c r="E2105" t="inlineStr">
        <is>
          <t>NORRTÄLJE</t>
        </is>
      </c>
      <c r="G2105" t="n">
        <v>1.4</v>
      </c>
      <c r="H2105" t="n">
        <v>0</v>
      </c>
      <c r="I2105" t="n">
        <v>0</v>
      </c>
      <c r="J2105" t="n">
        <v>0</v>
      </c>
      <c r="K2105" t="n">
        <v>0</v>
      </c>
      <c r="L2105" t="n">
        <v>0</v>
      </c>
      <c r="M2105" t="n">
        <v>0</v>
      </c>
      <c r="N2105" t="n">
        <v>0</v>
      </c>
      <c r="O2105" t="n">
        <v>0</v>
      </c>
      <c r="P2105" t="n">
        <v>0</v>
      </c>
      <c r="Q2105" t="n">
        <v>0</v>
      </c>
      <c r="R2105" s="2" t="inlineStr"/>
    </row>
    <row r="2106" ht="15" customHeight="1">
      <c r="A2106" t="inlineStr">
        <is>
          <t>A 40504-2022</t>
        </is>
      </c>
      <c r="B2106" s="1" t="n">
        <v>44823</v>
      </c>
      <c r="C2106" s="1" t="n">
        <v>45224</v>
      </c>
      <c r="D2106" t="inlineStr">
        <is>
          <t>STOCKHOLMS LÄN</t>
        </is>
      </c>
      <c r="E2106" t="inlineStr">
        <is>
          <t>NORRTÄLJE</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40419-2022</t>
        </is>
      </c>
      <c r="B2107" s="1" t="n">
        <v>44823</v>
      </c>
      <c r="C2107" s="1" t="n">
        <v>45224</v>
      </c>
      <c r="D2107" t="inlineStr">
        <is>
          <t>STOCKHOLMS LÄN</t>
        </is>
      </c>
      <c r="E2107" t="inlineStr">
        <is>
          <t>NORRTÄLJE</t>
        </is>
      </c>
      <c r="F2107" t="inlineStr">
        <is>
          <t>Holmen skog AB</t>
        </is>
      </c>
      <c r="G2107" t="n">
        <v>6.1</v>
      </c>
      <c r="H2107" t="n">
        <v>0</v>
      </c>
      <c r="I2107" t="n">
        <v>0</v>
      </c>
      <c r="J2107" t="n">
        <v>0</v>
      </c>
      <c r="K2107" t="n">
        <v>0</v>
      </c>
      <c r="L2107" t="n">
        <v>0</v>
      </c>
      <c r="M2107" t="n">
        <v>0</v>
      </c>
      <c r="N2107" t="n">
        <v>0</v>
      </c>
      <c r="O2107" t="n">
        <v>0</v>
      </c>
      <c r="P2107" t="n">
        <v>0</v>
      </c>
      <c r="Q2107" t="n">
        <v>0</v>
      </c>
      <c r="R2107" s="2" t="inlineStr"/>
    </row>
    <row r="2108" ht="15" customHeight="1">
      <c r="A2108" t="inlineStr">
        <is>
          <t>A 40503-2022</t>
        </is>
      </c>
      <c r="B2108" s="1" t="n">
        <v>44823</v>
      </c>
      <c r="C2108" s="1" t="n">
        <v>45224</v>
      </c>
      <c r="D2108" t="inlineStr">
        <is>
          <t>STOCKHOLMS LÄN</t>
        </is>
      </c>
      <c r="E2108" t="inlineStr">
        <is>
          <t>NORRTÄLJE</t>
        </is>
      </c>
      <c r="G2108" t="n">
        <v>5.1</v>
      </c>
      <c r="H2108" t="n">
        <v>0</v>
      </c>
      <c r="I2108" t="n">
        <v>0</v>
      </c>
      <c r="J2108" t="n">
        <v>0</v>
      </c>
      <c r="K2108" t="n">
        <v>0</v>
      </c>
      <c r="L2108" t="n">
        <v>0</v>
      </c>
      <c r="M2108" t="n">
        <v>0</v>
      </c>
      <c r="N2108" t="n">
        <v>0</v>
      </c>
      <c r="O2108" t="n">
        <v>0</v>
      </c>
      <c r="P2108" t="n">
        <v>0</v>
      </c>
      <c r="Q2108" t="n">
        <v>0</v>
      </c>
      <c r="R2108" s="2" t="inlineStr"/>
    </row>
    <row r="2109" ht="15" customHeight="1">
      <c r="A2109" t="inlineStr">
        <is>
          <t>A 40816-2022</t>
        </is>
      </c>
      <c r="B2109" s="1" t="n">
        <v>44824</v>
      </c>
      <c r="C2109" s="1" t="n">
        <v>45224</v>
      </c>
      <c r="D2109" t="inlineStr">
        <is>
          <t>STOCKHOLMS LÄN</t>
        </is>
      </c>
      <c r="E2109" t="inlineStr">
        <is>
          <t>SÖDERTÄLJE</t>
        </is>
      </c>
      <c r="G2109" t="n">
        <v>10.2</v>
      </c>
      <c r="H2109" t="n">
        <v>0</v>
      </c>
      <c r="I2109" t="n">
        <v>0</v>
      </c>
      <c r="J2109" t="n">
        <v>0</v>
      </c>
      <c r="K2109" t="n">
        <v>0</v>
      </c>
      <c r="L2109" t="n">
        <v>0</v>
      </c>
      <c r="M2109" t="n">
        <v>0</v>
      </c>
      <c r="N2109" t="n">
        <v>0</v>
      </c>
      <c r="O2109" t="n">
        <v>0</v>
      </c>
      <c r="P2109" t="n">
        <v>0</v>
      </c>
      <c r="Q2109" t="n">
        <v>0</v>
      </c>
      <c r="R2109" s="2" t="inlineStr"/>
    </row>
    <row r="2110" ht="15" customHeight="1">
      <c r="A2110" t="inlineStr">
        <is>
          <t>A 41034-2022</t>
        </is>
      </c>
      <c r="B2110" s="1" t="n">
        <v>44824</v>
      </c>
      <c r="C2110" s="1" t="n">
        <v>45224</v>
      </c>
      <c r="D2110" t="inlineStr">
        <is>
          <t>STOCKHOLMS LÄN</t>
        </is>
      </c>
      <c r="E2110" t="inlineStr">
        <is>
          <t>BOTKYRKA</t>
        </is>
      </c>
      <c r="G2110" t="n">
        <v>1.6</v>
      </c>
      <c r="H2110" t="n">
        <v>0</v>
      </c>
      <c r="I2110" t="n">
        <v>0</v>
      </c>
      <c r="J2110" t="n">
        <v>0</v>
      </c>
      <c r="K2110" t="n">
        <v>0</v>
      </c>
      <c r="L2110" t="n">
        <v>0</v>
      </c>
      <c r="M2110" t="n">
        <v>0</v>
      </c>
      <c r="N2110" t="n">
        <v>0</v>
      </c>
      <c r="O2110" t="n">
        <v>0</v>
      </c>
      <c r="P2110" t="n">
        <v>0</v>
      </c>
      <c r="Q2110" t="n">
        <v>0</v>
      </c>
      <c r="R2110" s="2" t="inlineStr"/>
    </row>
    <row r="2111" ht="15" customHeight="1">
      <c r="A2111" t="inlineStr">
        <is>
          <t>A 40801-2022</t>
        </is>
      </c>
      <c r="B2111" s="1" t="n">
        <v>44824</v>
      </c>
      <c r="C2111" s="1" t="n">
        <v>45224</v>
      </c>
      <c r="D2111" t="inlineStr">
        <is>
          <t>STOCKHOLMS LÄN</t>
        </is>
      </c>
      <c r="E2111" t="inlineStr">
        <is>
          <t>SÖDERTÄLJE</t>
        </is>
      </c>
      <c r="G2111" t="n">
        <v>5.6</v>
      </c>
      <c r="H2111" t="n">
        <v>0</v>
      </c>
      <c r="I2111" t="n">
        <v>0</v>
      </c>
      <c r="J2111" t="n">
        <v>0</v>
      </c>
      <c r="K2111" t="n">
        <v>0</v>
      </c>
      <c r="L2111" t="n">
        <v>0</v>
      </c>
      <c r="M2111" t="n">
        <v>0</v>
      </c>
      <c r="N2111" t="n">
        <v>0</v>
      </c>
      <c r="O2111" t="n">
        <v>0</v>
      </c>
      <c r="P2111" t="n">
        <v>0</v>
      </c>
      <c r="Q2111" t="n">
        <v>0</v>
      </c>
      <c r="R2111" s="2" t="inlineStr"/>
    </row>
    <row r="2112" ht="15" customHeight="1">
      <c r="A2112" t="inlineStr">
        <is>
          <t>A 41266-2022</t>
        </is>
      </c>
      <c r="B2112" s="1" t="n">
        <v>44825</v>
      </c>
      <c r="C2112" s="1" t="n">
        <v>45224</v>
      </c>
      <c r="D2112" t="inlineStr">
        <is>
          <t>STOCKHOLMS LÄN</t>
        </is>
      </c>
      <c r="E2112" t="inlineStr">
        <is>
          <t>HANINGE</t>
        </is>
      </c>
      <c r="F2112" t="inlineStr">
        <is>
          <t>Övriga statliga verk och myndigheter</t>
        </is>
      </c>
      <c r="G2112" t="n">
        <v>1.6</v>
      </c>
      <c r="H2112" t="n">
        <v>0</v>
      </c>
      <c r="I2112" t="n">
        <v>0</v>
      </c>
      <c r="J2112" t="n">
        <v>0</v>
      </c>
      <c r="K2112" t="n">
        <v>0</v>
      </c>
      <c r="L2112" t="n">
        <v>0</v>
      </c>
      <c r="M2112" t="n">
        <v>0</v>
      </c>
      <c r="N2112" t="n">
        <v>0</v>
      </c>
      <c r="O2112" t="n">
        <v>0</v>
      </c>
      <c r="P2112" t="n">
        <v>0</v>
      </c>
      <c r="Q2112" t="n">
        <v>0</v>
      </c>
      <c r="R2112" s="2" t="inlineStr"/>
    </row>
    <row r="2113" ht="15" customHeight="1">
      <c r="A2113" t="inlineStr">
        <is>
          <t>A 41259-2022</t>
        </is>
      </c>
      <c r="B2113" s="1" t="n">
        <v>44825</v>
      </c>
      <c r="C2113" s="1" t="n">
        <v>45224</v>
      </c>
      <c r="D2113" t="inlineStr">
        <is>
          <t>STOCKHOLMS LÄN</t>
        </is>
      </c>
      <c r="E2113" t="inlineStr">
        <is>
          <t>HANINGE</t>
        </is>
      </c>
      <c r="F2113" t="inlineStr">
        <is>
          <t>Övriga statliga verk och myndigheter</t>
        </is>
      </c>
      <c r="G2113" t="n">
        <v>2.9</v>
      </c>
      <c r="H2113" t="n">
        <v>0</v>
      </c>
      <c r="I2113" t="n">
        <v>0</v>
      </c>
      <c r="J2113" t="n">
        <v>0</v>
      </c>
      <c r="K2113" t="n">
        <v>0</v>
      </c>
      <c r="L2113" t="n">
        <v>0</v>
      </c>
      <c r="M2113" t="n">
        <v>0</v>
      </c>
      <c r="N2113" t="n">
        <v>0</v>
      </c>
      <c r="O2113" t="n">
        <v>0</v>
      </c>
      <c r="P2113" t="n">
        <v>0</v>
      </c>
      <c r="Q2113" t="n">
        <v>0</v>
      </c>
      <c r="R2113" s="2" t="inlineStr"/>
    </row>
    <row r="2114" ht="15" customHeight="1">
      <c r="A2114" t="inlineStr">
        <is>
          <t>A 41263-2022</t>
        </is>
      </c>
      <c r="B2114" s="1" t="n">
        <v>44825</v>
      </c>
      <c r="C2114" s="1" t="n">
        <v>45224</v>
      </c>
      <c r="D2114" t="inlineStr">
        <is>
          <t>STOCKHOLMS LÄN</t>
        </is>
      </c>
      <c r="E2114" t="inlineStr">
        <is>
          <t>HANINGE</t>
        </is>
      </c>
      <c r="F2114" t="inlineStr">
        <is>
          <t>Övriga statliga verk och myndigheter</t>
        </is>
      </c>
      <c r="G2114" t="n">
        <v>1.9</v>
      </c>
      <c r="H2114" t="n">
        <v>0</v>
      </c>
      <c r="I2114" t="n">
        <v>0</v>
      </c>
      <c r="J2114" t="n">
        <v>0</v>
      </c>
      <c r="K2114" t="n">
        <v>0</v>
      </c>
      <c r="L2114" t="n">
        <v>0</v>
      </c>
      <c r="M2114" t="n">
        <v>0</v>
      </c>
      <c r="N2114" t="n">
        <v>0</v>
      </c>
      <c r="O2114" t="n">
        <v>0</v>
      </c>
      <c r="P2114" t="n">
        <v>0</v>
      </c>
      <c r="Q2114" t="n">
        <v>0</v>
      </c>
      <c r="R2114" s="2" t="inlineStr"/>
    </row>
    <row r="2115" ht="15" customHeight="1">
      <c r="A2115" t="inlineStr">
        <is>
          <t>A 41398-2022</t>
        </is>
      </c>
      <c r="B2115" s="1" t="n">
        <v>44826</v>
      </c>
      <c r="C2115" s="1" t="n">
        <v>45224</v>
      </c>
      <c r="D2115" t="inlineStr">
        <is>
          <t>STOCKHOLMS LÄN</t>
        </is>
      </c>
      <c r="E2115" t="inlineStr">
        <is>
          <t>NORRTÄLJE</t>
        </is>
      </c>
      <c r="G2115" t="n">
        <v>1.4</v>
      </c>
      <c r="H2115" t="n">
        <v>0</v>
      </c>
      <c r="I2115" t="n">
        <v>0</v>
      </c>
      <c r="J2115" t="n">
        <v>0</v>
      </c>
      <c r="K2115" t="n">
        <v>0</v>
      </c>
      <c r="L2115" t="n">
        <v>0</v>
      </c>
      <c r="M2115" t="n">
        <v>0</v>
      </c>
      <c r="N2115" t="n">
        <v>0</v>
      </c>
      <c r="O2115" t="n">
        <v>0</v>
      </c>
      <c r="P2115" t="n">
        <v>0</v>
      </c>
      <c r="Q2115" t="n">
        <v>0</v>
      </c>
      <c r="R2115" s="2" t="inlineStr"/>
    </row>
    <row r="2116" ht="15" customHeight="1">
      <c r="A2116" t="inlineStr">
        <is>
          <t>A 41693-2022</t>
        </is>
      </c>
      <c r="B2116" s="1" t="n">
        <v>44827</v>
      </c>
      <c r="C2116" s="1" t="n">
        <v>45224</v>
      </c>
      <c r="D2116" t="inlineStr">
        <is>
          <t>STOCKHOLMS LÄN</t>
        </is>
      </c>
      <c r="E2116" t="inlineStr">
        <is>
          <t>SIGTUNA</t>
        </is>
      </c>
      <c r="F2116" t="inlineStr">
        <is>
          <t>Allmännings- och besparingsskogar</t>
        </is>
      </c>
      <c r="G2116" t="n">
        <v>0.8</v>
      </c>
      <c r="H2116" t="n">
        <v>0</v>
      </c>
      <c r="I2116" t="n">
        <v>0</v>
      </c>
      <c r="J2116" t="n">
        <v>0</v>
      </c>
      <c r="K2116" t="n">
        <v>0</v>
      </c>
      <c r="L2116" t="n">
        <v>0</v>
      </c>
      <c r="M2116" t="n">
        <v>0</v>
      </c>
      <c r="N2116" t="n">
        <v>0</v>
      </c>
      <c r="O2116" t="n">
        <v>0</v>
      </c>
      <c r="P2116" t="n">
        <v>0</v>
      </c>
      <c r="Q2116" t="n">
        <v>0</v>
      </c>
      <c r="R2116" s="2" t="inlineStr"/>
    </row>
    <row r="2117" ht="15" customHeight="1">
      <c r="A2117" t="inlineStr">
        <is>
          <t>A 42126-2022</t>
        </is>
      </c>
      <c r="B2117" s="1" t="n">
        <v>44830</v>
      </c>
      <c r="C2117" s="1" t="n">
        <v>45224</v>
      </c>
      <c r="D2117" t="inlineStr">
        <is>
          <t>STOCKHOLMS LÄN</t>
        </is>
      </c>
      <c r="E2117" t="inlineStr">
        <is>
          <t>NORRTÄLJE</t>
        </is>
      </c>
      <c r="F2117" t="inlineStr">
        <is>
          <t>Holmen skog AB</t>
        </is>
      </c>
      <c r="G2117" t="n">
        <v>2</v>
      </c>
      <c r="H2117" t="n">
        <v>0</v>
      </c>
      <c r="I2117" t="n">
        <v>0</v>
      </c>
      <c r="J2117" t="n">
        <v>0</v>
      </c>
      <c r="K2117" t="n">
        <v>0</v>
      </c>
      <c r="L2117" t="n">
        <v>0</v>
      </c>
      <c r="M2117" t="n">
        <v>0</v>
      </c>
      <c r="N2117" t="n">
        <v>0</v>
      </c>
      <c r="O2117" t="n">
        <v>0</v>
      </c>
      <c r="P2117" t="n">
        <v>0</v>
      </c>
      <c r="Q2117" t="n">
        <v>0</v>
      </c>
      <c r="R2117" s="2" t="inlineStr"/>
    </row>
    <row r="2118" ht="15" customHeight="1">
      <c r="A2118" t="inlineStr">
        <is>
          <t>A 42162-2022</t>
        </is>
      </c>
      <c r="B2118" s="1" t="n">
        <v>44830</v>
      </c>
      <c r="C2118" s="1" t="n">
        <v>45224</v>
      </c>
      <c r="D2118" t="inlineStr">
        <is>
          <t>STOCKHOLMS LÄN</t>
        </is>
      </c>
      <c r="E2118" t="inlineStr">
        <is>
          <t>SIGTUNA</t>
        </is>
      </c>
      <c r="F2118" t="inlineStr">
        <is>
          <t>Övriga statliga verk och myndigheter</t>
        </is>
      </c>
      <c r="G2118" t="n">
        <v>1.8</v>
      </c>
      <c r="H2118" t="n">
        <v>0</v>
      </c>
      <c r="I2118" t="n">
        <v>0</v>
      </c>
      <c r="J2118" t="n">
        <v>0</v>
      </c>
      <c r="K2118" t="n">
        <v>0</v>
      </c>
      <c r="L2118" t="n">
        <v>0</v>
      </c>
      <c r="M2118" t="n">
        <v>0</v>
      </c>
      <c r="N2118" t="n">
        <v>0</v>
      </c>
      <c r="O2118" t="n">
        <v>0</v>
      </c>
      <c r="P2118" t="n">
        <v>0</v>
      </c>
      <c r="Q2118" t="n">
        <v>0</v>
      </c>
      <c r="R2118" s="2" t="inlineStr"/>
    </row>
    <row r="2119" ht="15" customHeight="1">
      <c r="A2119" t="inlineStr">
        <is>
          <t>A 42867-2022</t>
        </is>
      </c>
      <c r="B2119" s="1" t="n">
        <v>44832</v>
      </c>
      <c r="C2119" s="1" t="n">
        <v>45224</v>
      </c>
      <c r="D2119" t="inlineStr">
        <is>
          <t>STOCKHOLMS LÄN</t>
        </is>
      </c>
      <c r="E2119" t="inlineStr">
        <is>
          <t>NORRTÄLJE</t>
        </is>
      </c>
      <c r="G2119" t="n">
        <v>6.4</v>
      </c>
      <c r="H2119" t="n">
        <v>0</v>
      </c>
      <c r="I2119" t="n">
        <v>0</v>
      </c>
      <c r="J2119" t="n">
        <v>0</v>
      </c>
      <c r="K2119" t="n">
        <v>0</v>
      </c>
      <c r="L2119" t="n">
        <v>0</v>
      </c>
      <c r="M2119" t="n">
        <v>0</v>
      </c>
      <c r="N2119" t="n">
        <v>0</v>
      </c>
      <c r="O2119" t="n">
        <v>0</v>
      </c>
      <c r="P2119" t="n">
        <v>0</v>
      </c>
      <c r="Q2119" t="n">
        <v>0</v>
      </c>
      <c r="R2119" s="2" t="inlineStr"/>
    </row>
    <row r="2120" ht="15" customHeight="1">
      <c r="A2120" t="inlineStr">
        <is>
          <t>A 43036-2022</t>
        </is>
      </c>
      <c r="B2120" s="1" t="n">
        <v>44833</v>
      </c>
      <c r="C2120" s="1" t="n">
        <v>45224</v>
      </c>
      <c r="D2120" t="inlineStr">
        <is>
          <t>STOCKHOLMS LÄN</t>
        </is>
      </c>
      <c r="E2120" t="inlineStr">
        <is>
          <t>NORRTÄLJE</t>
        </is>
      </c>
      <c r="F2120" t="inlineStr">
        <is>
          <t>Kyrkan</t>
        </is>
      </c>
      <c r="G2120" t="n">
        <v>1.7</v>
      </c>
      <c r="H2120" t="n">
        <v>0</v>
      </c>
      <c r="I2120" t="n">
        <v>0</v>
      </c>
      <c r="J2120" t="n">
        <v>0</v>
      </c>
      <c r="K2120" t="n">
        <v>0</v>
      </c>
      <c r="L2120" t="n">
        <v>0</v>
      </c>
      <c r="M2120" t="n">
        <v>0</v>
      </c>
      <c r="N2120" t="n">
        <v>0</v>
      </c>
      <c r="O2120" t="n">
        <v>0</v>
      </c>
      <c r="P2120" t="n">
        <v>0</v>
      </c>
      <c r="Q2120" t="n">
        <v>0</v>
      </c>
      <c r="R2120" s="2" t="inlineStr"/>
    </row>
    <row r="2121" ht="15" customHeight="1">
      <c r="A2121" t="inlineStr">
        <is>
          <t>A 43230-2022</t>
        </is>
      </c>
      <c r="B2121" s="1" t="n">
        <v>44834</v>
      </c>
      <c r="C2121" s="1" t="n">
        <v>45224</v>
      </c>
      <c r="D2121" t="inlineStr">
        <is>
          <t>STOCKHOLMS LÄN</t>
        </is>
      </c>
      <c r="E2121" t="inlineStr">
        <is>
          <t>NYKVARN</t>
        </is>
      </c>
      <c r="F2121" t="inlineStr">
        <is>
          <t>Allmännings- och besparingsskogar</t>
        </is>
      </c>
      <c r="G2121" t="n">
        <v>4</v>
      </c>
      <c r="H2121" t="n">
        <v>0</v>
      </c>
      <c r="I2121" t="n">
        <v>0</v>
      </c>
      <c r="J2121" t="n">
        <v>0</v>
      </c>
      <c r="K2121" t="n">
        <v>0</v>
      </c>
      <c r="L2121" t="n">
        <v>0</v>
      </c>
      <c r="M2121" t="n">
        <v>0</v>
      </c>
      <c r="N2121" t="n">
        <v>0</v>
      </c>
      <c r="O2121" t="n">
        <v>0</v>
      </c>
      <c r="P2121" t="n">
        <v>0</v>
      </c>
      <c r="Q2121" t="n">
        <v>0</v>
      </c>
      <c r="R2121" s="2" t="inlineStr"/>
    </row>
    <row r="2122" ht="15" customHeight="1">
      <c r="A2122" t="inlineStr">
        <is>
          <t>A 43374-2022</t>
        </is>
      </c>
      <c r="B2122" s="1" t="n">
        <v>44834</v>
      </c>
      <c r="C2122" s="1" t="n">
        <v>45224</v>
      </c>
      <c r="D2122" t="inlineStr">
        <is>
          <t>STOCKHOLMS LÄN</t>
        </is>
      </c>
      <c r="E2122" t="inlineStr">
        <is>
          <t>NORRTÄLJE</t>
        </is>
      </c>
      <c r="G2122" t="n">
        <v>0.7</v>
      </c>
      <c r="H2122" t="n">
        <v>0</v>
      </c>
      <c r="I2122" t="n">
        <v>0</v>
      </c>
      <c r="J2122" t="n">
        <v>0</v>
      </c>
      <c r="K2122" t="n">
        <v>0</v>
      </c>
      <c r="L2122" t="n">
        <v>0</v>
      </c>
      <c r="M2122" t="n">
        <v>0</v>
      </c>
      <c r="N2122" t="n">
        <v>0</v>
      </c>
      <c r="O2122" t="n">
        <v>0</v>
      </c>
      <c r="P2122" t="n">
        <v>0</v>
      </c>
      <c r="Q2122" t="n">
        <v>0</v>
      </c>
      <c r="R2122" s="2" t="inlineStr"/>
    </row>
    <row r="2123" ht="15" customHeight="1">
      <c r="A2123" t="inlineStr">
        <is>
          <t>A 43873-2022</t>
        </is>
      </c>
      <c r="B2123" s="1" t="n">
        <v>44838</v>
      </c>
      <c r="C2123" s="1" t="n">
        <v>45224</v>
      </c>
      <c r="D2123" t="inlineStr">
        <is>
          <t>STOCKHOLMS LÄN</t>
        </is>
      </c>
      <c r="E2123" t="inlineStr">
        <is>
          <t>UPPLANDS VÄSBY</t>
        </is>
      </c>
      <c r="G2123" t="n">
        <v>8.6</v>
      </c>
      <c r="H2123" t="n">
        <v>0</v>
      </c>
      <c r="I2123" t="n">
        <v>0</v>
      </c>
      <c r="J2123" t="n">
        <v>0</v>
      </c>
      <c r="K2123" t="n">
        <v>0</v>
      </c>
      <c r="L2123" t="n">
        <v>0</v>
      </c>
      <c r="M2123" t="n">
        <v>0</v>
      </c>
      <c r="N2123" t="n">
        <v>0</v>
      </c>
      <c r="O2123" t="n">
        <v>0</v>
      </c>
      <c r="P2123" t="n">
        <v>0</v>
      </c>
      <c r="Q2123" t="n">
        <v>0</v>
      </c>
      <c r="R2123" s="2" t="inlineStr"/>
    </row>
    <row r="2124" ht="15" customHeight="1">
      <c r="A2124" t="inlineStr">
        <is>
          <t>A 43972-2022</t>
        </is>
      </c>
      <c r="B2124" s="1" t="n">
        <v>44838</v>
      </c>
      <c r="C2124" s="1" t="n">
        <v>45224</v>
      </c>
      <c r="D2124" t="inlineStr">
        <is>
          <t>STOCKHOLMS LÄN</t>
        </is>
      </c>
      <c r="E2124" t="inlineStr">
        <is>
          <t>NORRTÄLJE</t>
        </is>
      </c>
      <c r="F2124" t="inlineStr">
        <is>
          <t>Holmen skog AB</t>
        </is>
      </c>
      <c r="G2124" t="n">
        <v>8.6</v>
      </c>
      <c r="H2124" t="n">
        <v>0</v>
      </c>
      <c r="I2124" t="n">
        <v>0</v>
      </c>
      <c r="J2124" t="n">
        <v>0</v>
      </c>
      <c r="K2124" t="n">
        <v>0</v>
      </c>
      <c r="L2124" t="n">
        <v>0</v>
      </c>
      <c r="M2124" t="n">
        <v>0</v>
      </c>
      <c r="N2124" t="n">
        <v>0</v>
      </c>
      <c r="O2124" t="n">
        <v>0</v>
      </c>
      <c r="P2124" t="n">
        <v>0</v>
      </c>
      <c r="Q2124" t="n">
        <v>0</v>
      </c>
      <c r="R2124" s="2" t="inlineStr"/>
    </row>
    <row r="2125" ht="15" customHeight="1">
      <c r="A2125" t="inlineStr">
        <is>
          <t>A 44526-2022</t>
        </is>
      </c>
      <c r="B2125" s="1" t="n">
        <v>44838</v>
      </c>
      <c r="C2125" s="1" t="n">
        <v>45224</v>
      </c>
      <c r="D2125" t="inlineStr">
        <is>
          <t>STOCKHOLMS LÄN</t>
        </is>
      </c>
      <c r="E2125" t="inlineStr">
        <is>
          <t>UPPLANDS-BRO</t>
        </is>
      </c>
      <c r="G2125" t="n">
        <v>0.9</v>
      </c>
      <c r="H2125" t="n">
        <v>0</v>
      </c>
      <c r="I2125" t="n">
        <v>0</v>
      </c>
      <c r="J2125" t="n">
        <v>0</v>
      </c>
      <c r="K2125" t="n">
        <v>0</v>
      </c>
      <c r="L2125" t="n">
        <v>0</v>
      </c>
      <c r="M2125" t="n">
        <v>0</v>
      </c>
      <c r="N2125" t="n">
        <v>0</v>
      </c>
      <c r="O2125" t="n">
        <v>0</v>
      </c>
      <c r="P2125" t="n">
        <v>0</v>
      </c>
      <c r="Q2125" t="n">
        <v>0</v>
      </c>
      <c r="R2125" s="2" t="inlineStr"/>
    </row>
    <row r="2126" ht="15" customHeight="1">
      <c r="A2126" t="inlineStr">
        <is>
          <t>A 44349-2022</t>
        </is>
      </c>
      <c r="B2126" s="1" t="n">
        <v>44839</v>
      </c>
      <c r="C2126" s="1" t="n">
        <v>45224</v>
      </c>
      <c r="D2126" t="inlineStr">
        <is>
          <t>STOCKHOLMS LÄN</t>
        </is>
      </c>
      <c r="E2126" t="inlineStr">
        <is>
          <t>NORRTÄLJE</t>
        </is>
      </c>
      <c r="G2126" t="n">
        <v>0.8</v>
      </c>
      <c r="H2126" t="n">
        <v>0</v>
      </c>
      <c r="I2126" t="n">
        <v>0</v>
      </c>
      <c r="J2126" t="n">
        <v>0</v>
      </c>
      <c r="K2126" t="n">
        <v>0</v>
      </c>
      <c r="L2126" t="n">
        <v>0</v>
      </c>
      <c r="M2126" t="n">
        <v>0</v>
      </c>
      <c r="N2126" t="n">
        <v>0</v>
      </c>
      <c r="O2126" t="n">
        <v>0</v>
      </c>
      <c r="P2126" t="n">
        <v>0</v>
      </c>
      <c r="Q2126" t="n">
        <v>0</v>
      </c>
      <c r="R2126" s="2" t="inlineStr"/>
    </row>
    <row r="2127" ht="15" customHeight="1">
      <c r="A2127" t="inlineStr">
        <is>
          <t>A 45261-2022</t>
        </is>
      </c>
      <c r="B2127" s="1" t="n">
        <v>44840</v>
      </c>
      <c r="C2127" s="1" t="n">
        <v>45224</v>
      </c>
      <c r="D2127" t="inlineStr">
        <is>
          <t>STOCKHOLMS LÄN</t>
        </is>
      </c>
      <c r="E2127" t="inlineStr">
        <is>
          <t>NORRTÄLJE</t>
        </is>
      </c>
      <c r="G2127" t="n">
        <v>3.5</v>
      </c>
      <c r="H2127" t="n">
        <v>0</v>
      </c>
      <c r="I2127" t="n">
        <v>0</v>
      </c>
      <c r="J2127" t="n">
        <v>0</v>
      </c>
      <c r="K2127" t="n">
        <v>0</v>
      </c>
      <c r="L2127" t="n">
        <v>0</v>
      </c>
      <c r="M2127" t="n">
        <v>0</v>
      </c>
      <c r="N2127" t="n">
        <v>0</v>
      </c>
      <c r="O2127" t="n">
        <v>0</v>
      </c>
      <c r="P2127" t="n">
        <v>0</v>
      </c>
      <c r="Q2127" t="n">
        <v>0</v>
      </c>
      <c r="R2127" s="2" t="inlineStr"/>
    </row>
    <row r="2128" ht="15" customHeight="1">
      <c r="A2128" t="inlineStr">
        <is>
          <t>A 44531-2022</t>
        </is>
      </c>
      <c r="B2128" s="1" t="n">
        <v>44840</v>
      </c>
      <c r="C2128" s="1" t="n">
        <v>45224</v>
      </c>
      <c r="D2128" t="inlineStr">
        <is>
          <t>STOCKHOLMS LÄN</t>
        </is>
      </c>
      <c r="E2128" t="inlineStr">
        <is>
          <t>NYKVARN</t>
        </is>
      </c>
      <c r="G2128" t="n">
        <v>0.6</v>
      </c>
      <c r="H2128" t="n">
        <v>0</v>
      </c>
      <c r="I2128" t="n">
        <v>0</v>
      </c>
      <c r="J2128" t="n">
        <v>0</v>
      </c>
      <c r="K2128" t="n">
        <v>0</v>
      </c>
      <c r="L2128" t="n">
        <v>0</v>
      </c>
      <c r="M2128" t="n">
        <v>0</v>
      </c>
      <c r="N2128" t="n">
        <v>0</v>
      </c>
      <c r="O2128" t="n">
        <v>0</v>
      </c>
      <c r="P2128" t="n">
        <v>0</v>
      </c>
      <c r="Q2128" t="n">
        <v>0</v>
      </c>
      <c r="R2128" s="2" t="inlineStr"/>
    </row>
    <row r="2129" ht="15" customHeight="1">
      <c r="A2129" t="inlineStr">
        <is>
          <t>A 45255-2022</t>
        </is>
      </c>
      <c r="B2129" s="1" t="n">
        <v>44840</v>
      </c>
      <c r="C2129" s="1" t="n">
        <v>45224</v>
      </c>
      <c r="D2129" t="inlineStr">
        <is>
          <t>STOCKHOLMS LÄN</t>
        </is>
      </c>
      <c r="E2129" t="inlineStr">
        <is>
          <t>NORRTÄLJE</t>
        </is>
      </c>
      <c r="G2129" t="n">
        <v>4.1</v>
      </c>
      <c r="H2129" t="n">
        <v>0</v>
      </c>
      <c r="I2129" t="n">
        <v>0</v>
      </c>
      <c r="J2129" t="n">
        <v>0</v>
      </c>
      <c r="K2129" t="n">
        <v>0</v>
      </c>
      <c r="L2129" t="n">
        <v>0</v>
      </c>
      <c r="M2129" t="n">
        <v>0</v>
      </c>
      <c r="N2129" t="n">
        <v>0</v>
      </c>
      <c r="O2129" t="n">
        <v>0</v>
      </c>
      <c r="P2129" t="n">
        <v>0</v>
      </c>
      <c r="Q2129" t="n">
        <v>0</v>
      </c>
      <c r="R2129" s="2" t="inlineStr"/>
    </row>
    <row r="2130" ht="15" customHeight="1">
      <c r="A2130" t="inlineStr">
        <is>
          <t>A 44960-2022</t>
        </is>
      </c>
      <c r="B2130" s="1" t="n">
        <v>44841</v>
      </c>
      <c r="C2130" s="1" t="n">
        <v>45224</v>
      </c>
      <c r="D2130" t="inlineStr">
        <is>
          <t>STOCKHOLMS LÄN</t>
        </is>
      </c>
      <c r="E2130" t="inlineStr">
        <is>
          <t>SÖDERTÄLJE</t>
        </is>
      </c>
      <c r="F2130" t="inlineStr">
        <is>
          <t>Sveaskog</t>
        </is>
      </c>
      <c r="G2130" t="n">
        <v>5.1</v>
      </c>
      <c r="H2130" t="n">
        <v>0</v>
      </c>
      <c r="I2130" t="n">
        <v>0</v>
      </c>
      <c r="J2130" t="n">
        <v>0</v>
      </c>
      <c r="K2130" t="n">
        <v>0</v>
      </c>
      <c r="L2130" t="n">
        <v>0</v>
      </c>
      <c r="M2130" t="n">
        <v>0</v>
      </c>
      <c r="N2130" t="n">
        <v>0</v>
      </c>
      <c r="O2130" t="n">
        <v>0</v>
      </c>
      <c r="P2130" t="n">
        <v>0</v>
      </c>
      <c r="Q2130" t="n">
        <v>0</v>
      </c>
      <c r="R2130" s="2" t="inlineStr"/>
    </row>
    <row r="2131" ht="15" customHeight="1">
      <c r="A2131" t="inlineStr">
        <is>
          <t>A 44950-2022</t>
        </is>
      </c>
      <c r="B2131" s="1" t="n">
        <v>44841</v>
      </c>
      <c r="C2131" s="1" t="n">
        <v>45224</v>
      </c>
      <c r="D2131" t="inlineStr">
        <is>
          <t>STOCKHOLMS LÄN</t>
        </is>
      </c>
      <c r="E2131" t="inlineStr">
        <is>
          <t>SÖDERTÄLJE</t>
        </is>
      </c>
      <c r="F2131" t="inlineStr">
        <is>
          <t>Sveaskog</t>
        </is>
      </c>
      <c r="G2131" t="n">
        <v>3.9</v>
      </c>
      <c r="H2131" t="n">
        <v>0</v>
      </c>
      <c r="I2131" t="n">
        <v>0</v>
      </c>
      <c r="J2131" t="n">
        <v>0</v>
      </c>
      <c r="K2131" t="n">
        <v>0</v>
      </c>
      <c r="L2131" t="n">
        <v>0</v>
      </c>
      <c r="M2131" t="n">
        <v>0</v>
      </c>
      <c r="N2131" t="n">
        <v>0</v>
      </c>
      <c r="O2131" t="n">
        <v>0</v>
      </c>
      <c r="P2131" t="n">
        <v>0</v>
      </c>
      <c r="Q2131" t="n">
        <v>0</v>
      </c>
      <c r="R2131" s="2" t="inlineStr"/>
    </row>
    <row r="2132" ht="15" customHeight="1">
      <c r="A2132" t="inlineStr">
        <is>
          <t>A 44962-2022</t>
        </is>
      </c>
      <c r="B2132" s="1" t="n">
        <v>44841</v>
      </c>
      <c r="C2132" s="1" t="n">
        <v>45224</v>
      </c>
      <c r="D2132" t="inlineStr">
        <is>
          <t>STOCKHOLMS LÄN</t>
        </is>
      </c>
      <c r="E2132" t="inlineStr">
        <is>
          <t>SÖDERTÄLJE</t>
        </is>
      </c>
      <c r="F2132" t="inlineStr">
        <is>
          <t>Sveaskog</t>
        </is>
      </c>
      <c r="G2132" t="n">
        <v>2.2</v>
      </c>
      <c r="H2132" t="n">
        <v>0</v>
      </c>
      <c r="I2132" t="n">
        <v>0</v>
      </c>
      <c r="J2132" t="n">
        <v>0</v>
      </c>
      <c r="K2132" t="n">
        <v>0</v>
      </c>
      <c r="L2132" t="n">
        <v>0</v>
      </c>
      <c r="M2132" t="n">
        <v>0</v>
      </c>
      <c r="N2132" t="n">
        <v>0</v>
      </c>
      <c r="O2132" t="n">
        <v>0</v>
      </c>
      <c r="P2132" t="n">
        <v>0</v>
      </c>
      <c r="Q2132" t="n">
        <v>0</v>
      </c>
      <c r="R2132" s="2" t="inlineStr"/>
    </row>
    <row r="2133" ht="15" customHeight="1">
      <c r="A2133" t="inlineStr">
        <is>
          <t>A 44954-2022</t>
        </is>
      </c>
      <c r="B2133" s="1" t="n">
        <v>44841</v>
      </c>
      <c r="C2133" s="1" t="n">
        <v>45224</v>
      </c>
      <c r="D2133" t="inlineStr">
        <is>
          <t>STOCKHOLMS LÄN</t>
        </is>
      </c>
      <c r="E2133" t="inlineStr">
        <is>
          <t>SÖDERTÄLJE</t>
        </is>
      </c>
      <c r="F2133" t="inlineStr">
        <is>
          <t>Sveaskog</t>
        </is>
      </c>
      <c r="G2133" t="n">
        <v>22.5</v>
      </c>
      <c r="H2133" t="n">
        <v>0</v>
      </c>
      <c r="I2133" t="n">
        <v>0</v>
      </c>
      <c r="J2133" t="n">
        <v>0</v>
      </c>
      <c r="K2133" t="n">
        <v>0</v>
      </c>
      <c r="L2133" t="n">
        <v>0</v>
      </c>
      <c r="M2133" t="n">
        <v>0</v>
      </c>
      <c r="N2133" t="n">
        <v>0</v>
      </c>
      <c r="O2133" t="n">
        <v>0</v>
      </c>
      <c r="P2133" t="n">
        <v>0</v>
      </c>
      <c r="Q2133" t="n">
        <v>0</v>
      </c>
      <c r="R2133" s="2" t="inlineStr"/>
    </row>
    <row r="2134" ht="15" customHeight="1">
      <c r="A2134" t="inlineStr">
        <is>
          <t>A 44964-2022</t>
        </is>
      </c>
      <c r="B2134" s="1" t="n">
        <v>44841</v>
      </c>
      <c r="C2134" s="1" t="n">
        <v>45224</v>
      </c>
      <c r="D2134" t="inlineStr">
        <is>
          <t>STOCKHOLMS LÄN</t>
        </is>
      </c>
      <c r="E2134" t="inlineStr">
        <is>
          <t>SÖDERTÄLJE</t>
        </is>
      </c>
      <c r="F2134" t="inlineStr">
        <is>
          <t>Sveaskog</t>
        </is>
      </c>
      <c r="G2134" t="n">
        <v>3.7</v>
      </c>
      <c r="H2134" t="n">
        <v>0</v>
      </c>
      <c r="I2134" t="n">
        <v>0</v>
      </c>
      <c r="J2134" t="n">
        <v>0</v>
      </c>
      <c r="K2134" t="n">
        <v>0</v>
      </c>
      <c r="L2134" t="n">
        <v>0</v>
      </c>
      <c r="M2134" t="n">
        <v>0</v>
      </c>
      <c r="N2134" t="n">
        <v>0</v>
      </c>
      <c r="O2134" t="n">
        <v>0</v>
      </c>
      <c r="P2134" t="n">
        <v>0</v>
      </c>
      <c r="Q2134" t="n">
        <v>0</v>
      </c>
      <c r="R2134" s="2" t="inlineStr"/>
    </row>
    <row r="2135" ht="15" customHeight="1">
      <c r="A2135" t="inlineStr">
        <is>
          <t>A 45869-2022</t>
        </is>
      </c>
      <c r="B2135" s="1" t="n">
        <v>44844</v>
      </c>
      <c r="C2135" s="1" t="n">
        <v>45224</v>
      </c>
      <c r="D2135" t="inlineStr">
        <is>
          <t>STOCKHOLMS LÄN</t>
        </is>
      </c>
      <c r="E2135" t="inlineStr">
        <is>
          <t>BOTKYRKA</t>
        </is>
      </c>
      <c r="G2135" t="n">
        <v>3.4</v>
      </c>
      <c r="H2135" t="n">
        <v>0</v>
      </c>
      <c r="I2135" t="n">
        <v>0</v>
      </c>
      <c r="J2135" t="n">
        <v>0</v>
      </c>
      <c r="K2135" t="n">
        <v>0</v>
      </c>
      <c r="L2135" t="n">
        <v>0</v>
      </c>
      <c r="M2135" t="n">
        <v>0</v>
      </c>
      <c r="N2135" t="n">
        <v>0</v>
      </c>
      <c r="O2135" t="n">
        <v>0</v>
      </c>
      <c r="P2135" t="n">
        <v>0</v>
      </c>
      <c r="Q2135" t="n">
        <v>0</v>
      </c>
      <c r="R2135" s="2" t="inlineStr"/>
    </row>
    <row r="2136" ht="15" customHeight="1">
      <c r="A2136" t="inlineStr">
        <is>
          <t>A 45145-2022</t>
        </is>
      </c>
      <c r="B2136" s="1" t="n">
        <v>44844</v>
      </c>
      <c r="C2136" s="1" t="n">
        <v>45224</v>
      </c>
      <c r="D2136" t="inlineStr">
        <is>
          <t>STOCKHOLMS LÄN</t>
        </is>
      </c>
      <c r="E2136" t="inlineStr">
        <is>
          <t>SÖDERTÄLJE</t>
        </is>
      </c>
      <c r="G2136" t="n">
        <v>2.9</v>
      </c>
      <c r="H2136" t="n">
        <v>0</v>
      </c>
      <c r="I2136" t="n">
        <v>0</v>
      </c>
      <c r="J2136" t="n">
        <v>0</v>
      </c>
      <c r="K2136" t="n">
        <v>0</v>
      </c>
      <c r="L2136" t="n">
        <v>0</v>
      </c>
      <c r="M2136" t="n">
        <v>0</v>
      </c>
      <c r="N2136" t="n">
        <v>0</v>
      </c>
      <c r="O2136" t="n">
        <v>0</v>
      </c>
      <c r="P2136" t="n">
        <v>0</v>
      </c>
      <c r="Q2136" t="n">
        <v>0</v>
      </c>
      <c r="R2136" s="2" t="inlineStr"/>
    </row>
    <row r="2137" ht="15" customHeight="1">
      <c r="A2137" t="inlineStr">
        <is>
          <t>A 46153-2022</t>
        </is>
      </c>
      <c r="B2137" s="1" t="n">
        <v>44845</v>
      </c>
      <c r="C2137" s="1" t="n">
        <v>45224</v>
      </c>
      <c r="D2137" t="inlineStr">
        <is>
          <t>STOCKHOLMS LÄN</t>
        </is>
      </c>
      <c r="E2137" t="inlineStr">
        <is>
          <t>UPPLANDS-BRO</t>
        </is>
      </c>
      <c r="F2137" t="inlineStr">
        <is>
          <t>Övriga statliga verk och myndigheter</t>
        </is>
      </c>
      <c r="G2137" t="n">
        <v>13.4</v>
      </c>
      <c r="H2137" t="n">
        <v>0</v>
      </c>
      <c r="I2137" t="n">
        <v>0</v>
      </c>
      <c r="J2137" t="n">
        <v>0</v>
      </c>
      <c r="K2137" t="n">
        <v>0</v>
      </c>
      <c r="L2137" t="n">
        <v>0</v>
      </c>
      <c r="M2137" t="n">
        <v>0</v>
      </c>
      <c r="N2137" t="n">
        <v>0</v>
      </c>
      <c r="O2137" t="n">
        <v>0</v>
      </c>
      <c r="P2137" t="n">
        <v>0</v>
      </c>
      <c r="Q2137" t="n">
        <v>0</v>
      </c>
      <c r="R2137" s="2" t="inlineStr"/>
    </row>
    <row r="2138" ht="15" customHeight="1">
      <c r="A2138" t="inlineStr">
        <is>
          <t>A 46405-2022</t>
        </is>
      </c>
      <c r="B2138" s="1" t="n">
        <v>44846</v>
      </c>
      <c r="C2138" s="1" t="n">
        <v>45224</v>
      </c>
      <c r="D2138" t="inlineStr">
        <is>
          <t>STOCKHOLMS LÄN</t>
        </is>
      </c>
      <c r="E2138" t="inlineStr">
        <is>
          <t>BOTKYRKA</t>
        </is>
      </c>
      <c r="G2138" t="n">
        <v>3.4</v>
      </c>
      <c r="H2138" t="n">
        <v>0</v>
      </c>
      <c r="I2138" t="n">
        <v>0</v>
      </c>
      <c r="J2138" t="n">
        <v>0</v>
      </c>
      <c r="K2138" t="n">
        <v>0</v>
      </c>
      <c r="L2138" t="n">
        <v>0</v>
      </c>
      <c r="M2138" t="n">
        <v>0</v>
      </c>
      <c r="N2138" t="n">
        <v>0</v>
      </c>
      <c r="O2138" t="n">
        <v>0</v>
      </c>
      <c r="P2138" t="n">
        <v>0</v>
      </c>
      <c r="Q2138" t="n">
        <v>0</v>
      </c>
      <c r="R2138" s="2" t="inlineStr"/>
    </row>
    <row r="2139" ht="15" customHeight="1">
      <c r="A2139" t="inlineStr">
        <is>
          <t>A 46826-2022</t>
        </is>
      </c>
      <c r="B2139" s="1" t="n">
        <v>44848</v>
      </c>
      <c r="C2139" s="1" t="n">
        <v>45224</v>
      </c>
      <c r="D2139" t="inlineStr">
        <is>
          <t>STOCKHOLMS LÄN</t>
        </is>
      </c>
      <c r="E2139" t="inlineStr">
        <is>
          <t>UPPLANDS VÄSBY</t>
        </is>
      </c>
      <c r="G2139" t="n">
        <v>4.5</v>
      </c>
      <c r="H2139" t="n">
        <v>0</v>
      </c>
      <c r="I2139" t="n">
        <v>0</v>
      </c>
      <c r="J2139" t="n">
        <v>0</v>
      </c>
      <c r="K2139" t="n">
        <v>0</v>
      </c>
      <c r="L2139" t="n">
        <v>0</v>
      </c>
      <c r="M2139" t="n">
        <v>0</v>
      </c>
      <c r="N2139" t="n">
        <v>0</v>
      </c>
      <c r="O2139" t="n">
        <v>0</v>
      </c>
      <c r="P2139" t="n">
        <v>0</v>
      </c>
      <c r="Q2139" t="n">
        <v>0</v>
      </c>
      <c r="R2139" s="2" t="inlineStr"/>
    </row>
    <row r="2140" ht="15" customHeight="1">
      <c r="A2140" t="inlineStr">
        <is>
          <t>A 46914-2022</t>
        </is>
      </c>
      <c r="B2140" s="1" t="n">
        <v>44851</v>
      </c>
      <c r="C2140" s="1" t="n">
        <v>45224</v>
      </c>
      <c r="D2140" t="inlineStr">
        <is>
          <t>STOCKHOLMS LÄN</t>
        </is>
      </c>
      <c r="E2140" t="inlineStr">
        <is>
          <t>NORRTÄLJE</t>
        </is>
      </c>
      <c r="G2140" t="n">
        <v>2.4</v>
      </c>
      <c r="H2140" t="n">
        <v>0</v>
      </c>
      <c r="I2140" t="n">
        <v>0</v>
      </c>
      <c r="J2140" t="n">
        <v>0</v>
      </c>
      <c r="K2140" t="n">
        <v>0</v>
      </c>
      <c r="L2140" t="n">
        <v>0</v>
      </c>
      <c r="M2140" t="n">
        <v>0</v>
      </c>
      <c r="N2140" t="n">
        <v>0</v>
      </c>
      <c r="O2140" t="n">
        <v>0</v>
      </c>
      <c r="P2140" t="n">
        <v>0</v>
      </c>
      <c r="Q2140" t="n">
        <v>0</v>
      </c>
      <c r="R2140" s="2" t="inlineStr"/>
    </row>
    <row r="2141" ht="15" customHeight="1">
      <c r="A2141" t="inlineStr">
        <is>
          <t>A 46688-2022</t>
        </is>
      </c>
      <c r="B2141" s="1" t="n">
        <v>44851</v>
      </c>
      <c r="C2141" s="1" t="n">
        <v>45224</v>
      </c>
      <c r="D2141" t="inlineStr">
        <is>
          <t>STOCKHOLMS LÄN</t>
        </is>
      </c>
      <c r="E2141" t="inlineStr">
        <is>
          <t>ÖSTERÅKER</t>
        </is>
      </c>
      <c r="G2141" t="n">
        <v>2</v>
      </c>
      <c r="H2141" t="n">
        <v>0</v>
      </c>
      <c r="I2141" t="n">
        <v>0</v>
      </c>
      <c r="J2141" t="n">
        <v>0</v>
      </c>
      <c r="K2141" t="n">
        <v>0</v>
      </c>
      <c r="L2141" t="n">
        <v>0</v>
      </c>
      <c r="M2141" t="n">
        <v>0</v>
      </c>
      <c r="N2141" t="n">
        <v>0</v>
      </c>
      <c r="O2141" t="n">
        <v>0</v>
      </c>
      <c r="P2141" t="n">
        <v>0</v>
      </c>
      <c r="Q2141" t="n">
        <v>0</v>
      </c>
      <c r="R2141" s="2" t="inlineStr"/>
    </row>
    <row r="2142" ht="15" customHeight="1">
      <c r="A2142" t="inlineStr">
        <is>
          <t>A 47617-2022</t>
        </is>
      </c>
      <c r="B2142" s="1" t="n">
        <v>44852</v>
      </c>
      <c r="C2142" s="1" t="n">
        <v>45224</v>
      </c>
      <c r="D2142" t="inlineStr">
        <is>
          <t>STOCKHOLMS LÄN</t>
        </is>
      </c>
      <c r="E2142" t="inlineStr">
        <is>
          <t>BOTKYRKA</t>
        </is>
      </c>
      <c r="G2142" t="n">
        <v>11.6</v>
      </c>
      <c r="H2142" t="n">
        <v>0</v>
      </c>
      <c r="I2142" t="n">
        <v>0</v>
      </c>
      <c r="J2142" t="n">
        <v>0</v>
      </c>
      <c r="K2142" t="n">
        <v>0</v>
      </c>
      <c r="L2142" t="n">
        <v>0</v>
      </c>
      <c r="M2142" t="n">
        <v>0</v>
      </c>
      <c r="N2142" t="n">
        <v>0</v>
      </c>
      <c r="O2142" t="n">
        <v>0</v>
      </c>
      <c r="P2142" t="n">
        <v>0</v>
      </c>
      <c r="Q2142" t="n">
        <v>0</v>
      </c>
      <c r="R2142" s="2" t="inlineStr"/>
    </row>
    <row r="2143" ht="15" customHeight="1">
      <c r="A2143" t="inlineStr">
        <is>
          <t>A 47173-2022</t>
        </is>
      </c>
      <c r="B2143" s="1" t="n">
        <v>44852</v>
      </c>
      <c r="C2143" s="1" t="n">
        <v>45224</v>
      </c>
      <c r="D2143" t="inlineStr">
        <is>
          <t>STOCKHOLMS LÄN</t>
        </is>
      </c>
      <c r="E2143" t="inlineStr">
        <is>
          <t>HUDDINGE</t>
        </is>
      </c>
      <c r="G2143" t="n">
        <v>1.9</v>
      </c>
      <c r="H2143" t="n">
        <v>0</v>
      </c>
      <c r="I2143" t="n">
        <v>0</v>
      </c>
      <c r="J2143" t="n">
        <v>0</v>
      </c>
      <c r="K2143" t="n">
        <v>0</v>
      </c>
      <c r="L2143" t="n">
        <v>0</v>
      </c>
      <c r="M2143" t="n">
        <v>0</v>
      </c>
      <c r="N2143" t="n">
        <v>0</v>
      </c>
      <c r="O2143" t="n">
        <v>0</v>
      </c>
      <c r="P2143" t="n">
        <v>0</v>
      </c>
      <c r="Q2143" t="n">
        <v>0</v>
      </c>
      <c r="R2143" s="2" t="inlineStr"/>
    </row>
    <row r="2144" ht="15" customHeight="1">
      <c r="A2144" t="inlineStr">
        <is>
          <t>A 47626-2022</t>
        </is>
      </c>
      <c r="B2144" s="1" t="n">
        <v>44854</v>
      </c>
      <c r="C2144" s="1" t="n">
        <v>45224</v>
      </c>
      <c r="D2144" t="inlineStr">
        <is>
          <t>STOCKHOLMS LÄN</t>
        </is>
      </c>
      <c r="E2144" t="inlineStr">
        <is>
          <t>NORRTÄLJE</t>
        </is>
      </c>
      <c r="G2144" t="n">
        <v>2</v>
      </c>
      <c r="H2144" t="n">
        <v>0</v>
      </c>
      <c r="I2144" t="n">
        <v>0</v>
      </c>
      <c r="J2144" t="n">
        <v>0</v>
      </c>
      <c r="K2144" t="n">
        <v>0</v>
      </c>
      <c r="L2144" t="n">
        <v>0</v>
      </c>
      <c r="M2144" t="n">
        <v>0</v>
      </c>
      <c r="N2144" t="n">
        <v>0</v>
      </c>
      <c r="O2144" t="n">
        <v>0</v>
      </c>
      <c r="P2144" t="n">
        <v>0</v>
      </c>
      <c r="Q2144" t="n">
        <v>0</v>
      </c>
      <c r="R2144" s="2" t="inlineStr"/>
    </row>
    <row r="2145" ht="15" customHeight="1">
      <c r="A2145" t="inlineStr">
        <is>
          <t>A 48309-2022</t>
        </is>
      </c>
      <c r="B2145" s="1" t="n">
        <v>44854</v>
      </c>
      <c r="C2145" s="1" t="n">
        <v>45224</v>
      </c>
      <c r="D2145" t="inlineStr">
        <is>
          <t>STOCKHOLMS LÄN</t>
        </is>
      </c>
      <c r="E2145" t="inlineStr">
        <is>
          <t>NYNÄSHAMN</t>
        </is>
      </c>
      <c r="F2145" t="inlineStr">
        <is>
          <t>Övriga statliga verk och myndigheter</t>
        </is>
      </c>
      <c r="G2145" t="n">
        <v>7.4</v>
      </c>
      <c r="H2145" t="n">
        <v>0</v>
      </c>
      <c r="I2145" t="n">
        <v>0</v>
      </c>
      <c r="J2145" t="n">
        <v>0</v>
      </c>
      <c r="K2145" t="n">
        <v>0</v>
      </c>
      <c r="L2145" t="n">
        <v>0</v>
      </c>
      <c r="M2145" t="n">
        <v>0</v>
      </c>
      <c r="N2145" t="n">
        <v>0</v>
      </c>
      <c r="O2145" t="n">
        <v>0</v>
      </c>
      <c r="P2145" t="n">
        <v>0</v>
      </c>
      <c r="Q2145" t="n">
        <v>0</v>
      </c>
      <c r="R2145" s="2" t="inlineStr"/>
    </row>
    <row r="2146" ht="15" customHeight="1">
      <c r="A2146" t="inlineStr">
        <is>
          <t>A 48316-2022</t>
        </is>
      </c>
      <c r="B2146" s="1" t="n">
        <v>44854</v>
      </c>
      <c r="C2146" s="1" t="n">
        <v>45224</v>
      </c>
      <c r="D2146" t="inlineStr">
        <is>
          <t>STOCKHOLMS LÄN</t>
        </is>
      </c>
      <c r="E2146" t="inlineStr">
        <is>
          <t>NORRTÄLJE</t>
        </is>
      </c>
      <c r="G2146" t="n">
        <v>4.5</v>
      </c>
      <c r="H2146" t="n">
        <v>0</v>
      </c>
      <c r="I2146" t="n">
        <v>0</v>
      </c>
      <c r="J2146" t="n">
        <v>0</v>
      </c>
      <c r="K2146" t="n">
        <v>0</v>
      </c>
      <c r="L2146" t="n">
        <v>0</v>
      </c>
      <c r="M2146" t="n">
        <v>0</v>
      </c>
      <c r="N2146" t="n">
        <v>0</v>
      </c>
      <c r="O2146" t="n">
        <v>0</v>
      </c>
      <c r="P2146" t="n">
        <v>0</v>
      </c>
      <c r="Q2146" t="n">
        <v>0</v>
      </c>
      <c r="R2146" s="2" t="inlineStr"/>
    </row>
    <row r="2147" ht="15" customHeight="1">
      <c r="A2147" t="inlineStr">
        <is>
          <t>A 47929-2022</t>
        </is>
      </c>
      <c r="B2147" s="1" t="n">
        <v>44855</v>
      </c>
      <c r="C2147" s="1" t="n">
        <v>45224</v>
      </c>
      <c r="D2147" t="inlineStr">
        <is>
          <t>STOCKHOLMS LÄN</t>
        </is>
      </c>
      <c r="E2147" t="inlineStr">
        <is>
          <t>NORRTÄLJE</t>
        </is>
      </c>
      <c r="G2147" t="n">
        <v>3.5</v>
      </c>
      <c r="H2147" t="n">
        <v>0</v>
      </c>
      <c r="I2147" t="n">
        <v>0</v>
      </c>
      <c r="J2147" t="n">
        <v>0</v>
      </c>
      <c r="K2147" t="n">
        <v>0</v>
      </c>
      <c r="L2147" t="n">
        <v>0</v>
      </c>
      <c r="M2147" t="n">
        <v>0</v>
      </c>
      <c r="N2147" t="n">
        <v>0</v>
      </c>
      <c r="O2147" t="n">
        <v>0</v>
      </c>
      <c r="P2147" t="n">
        <v>0</v>
      </c>
      <c r="Q2147" t="n">
        <v>0</v>
      </c>
      <c r="R2147" s="2" t="inlineStr"/>
    </row>
    <row r="2148" ht="15" customHeight="1">
      <c r="A2148" t="inlineStr">
        <is>
          <t>A 47977-2022</t>
        </is>
      </c>
      <c r="B2148" s="1" t="n">
        <v>44855</v>
      </c>
      <c r="C2148" s="1" t="n">
        <v>45224</v>
      </c>
      <c r="D2148" t="inlineStr">
        <is>
          <t>STOCKHOLMS LÄN</t>
        </is>
      </c>
      <c r="E2148" t="inlineStr">
        <is>
          <t>SÖDERTÄLJE</t>
        </is>
      </c>
      <c r="G2148" t="n">
        <v>3.5</v>
      </c>
      <c r="H2148" t="n">
        <v>0</v>
      </c>
      <c r="I2148" t="n">
        <v>0</v>
      </c>
      <c r="J2148" t="n">
        <v>0</v>
      </c>
      <c r="K2148" t="n">
        <v>0</v>
      </c>
      <c r="L2148" t="n">
        <v>0</v>
      </c>
      <c r="M2148" t="n">
        <v>0</v>
      </c>
      <c r="N2148" t="n">
        <v>0</v>
      </c>
      <c r="O2148" t="n">
        <v>0</v>
      </c>
      <c r="P2148" t="n">
        <v>0</v>
      </c>
      <c r="Q2148" t="n">
        <v>0</v>
      </c>
      <c r="R2148" s="2" t="inlineStr"/>
    </row>
    <row r="2149" ht="15" customHeight="1">
      <c r="A2149" t="inlineStr">
        <is>
          <t>A 48161-2022</t>
        </is>
      </c>
      <c r="B2149" s="1" t="n">
        <v>44858</v>
      </c>
      <c r="C2149" s="1" t="n">
        <v>45224</v>
      </c>
      <c r="D2149" t="inlineStr">
        <is>
          <t>STOCKHOLMS LÄN</t>
        </is>
      </c>
      <c r="E2149" t="inlineStr">
        <is>
          <t>NORRTÄLJE</t>
        </is>
      </c>
      <c r="G2149" t="n">
        <v>0.9</v>
      </c>
      <c r="H2149" t="n">
        <v>0</v>
      </c>
      <c r="I2149" t="n">
        <v>0</v>
      </c>
      <c r="J2149" t="n">
        <v>0</v>
      </c>
      <c r="K2149" t="n">
        <v>0</v>
      </c>
      <c r="L2149" t="n">
        <v>0</v>
      </c>
      <c r="M2149" t="n">
        <v>0</v>
      </c>
      <c r="N2149" t="n">
        <v>0</v>
      </c>
      <c r="O2149" t="n">
        <v>0</v>
      </c>
      <c r="P2149" t="n">
        <v>0</v>
      </c>
      <c r="Q2149" t="n">
        <v>0</v>
      </c>
      <c r="R2149" s="2" t="inlineStr"/>
    </row>
    <row r="2150" ht="15" customHeight="1">
      <c r="A2150" t="inlineStr">
        <is>
          <t>A 48492-2022</t>
        </is>
      </c>
      <c r="B2150" s="1" t="n">
        <v>44858</v>
      </c>
      <c r="C2150" s="1" t="n">
        <v>45224</v>
      </c>
      <c r="D2150" t="inlineStr">
        <is>
          <t>STOCKHOLMS LÄN</t>
        </is>
      </c>
      <c r="E2150" t="inlineStr">
        <is>
          <t>NORRTÄLJE</t>
        </is>
      </c>
      <c r="G2150" t="n">
        <v>0.7</v>
      </c>
      <c r="H2150" t="n">
        <v>0</v>
      </c>
      <c r="I2150" t="n">
        <v>0</v>
      </c>
      <c r="J2150" t="n">
        <v>0</v>
      </c>
      <c r="K2150" t="n">
        <v>0</v>
      </c>
      <c r="L2150" t="n">
        <v>0</v>
      </c>
      <c r="M2150" t="n">
        <v>0</v>
      </c>
      <c r="N2150" t="n">
        <v>0</v>
      </c>
      <c r="O2150" t="n">
        <v>0</v>
      </c>
      <c r="P2150" t="n">
        <v>0</v>
      </c>
      <c r="Q2150" t="n">
        <v>0</v>
      </c>
      <c r="R2150" s="2" t="inlineStr"/>
    </row>
    <row r="2151" ht="15" customHeight="1">
      <c r="A2151" t="inlineStr">
        <is>
          <t>A 48490-2022</t>
        </is>
      </c>
      <c r="B2151" s="1" t="n">
        <v>44858</v>
      </c>
      <c r="C2151" s="1" t="n">
        <v>45224</v>
      </c>
      <c r="D2151" t="inlineStr">
        <is>
          <t>STOCKHOLMS LÄN</t>
        </is>
      </c>
      <c r="E2151" t="inlineStr">
        <is>
          <t>NORRTÄLJE</t>
        </is>
      </c>
      <c r="G2151" t="n">
        <v>15.8</v>
      </c>
      <c r="H2151" t="n">
        <v>0</v>
      </c>
      <c r="I2151" t="n">
        <v>0</v>
      </c>
      <c r="J2151" t="n">
        <v>0</v>
      </c>
      <c r="K2151" t="n">
        <v>0</v>
      </c>
      <c r="L2151" t="n">
        <v>0</v>
      </c>
      <c r="M2151" t="n">
        <v>0</v>
      </c>
      <c r="N2151" t="n">
        <v>0</v>
      </c>
      <c r="O2151" t="n">
        <v>0</v>
      </c>
      <c r="P2151" t="n">
        <v>0</v>
      </c>
      <c r="Q2151" t="n">
        <v>0</v>
      </c>
      <c r="R2151" s="2" t="inlineStr"/>
    </row>
    <row r="2152" ht="15" customHeight="1">
      <c r="A2152" t="inlineStr">
        <is>
          <t>A 48813-2022</t>
        </is>
      </c>
      <c r="B2152" s="1" t="n">
        <v>44859</v>
      </c>
      <c r="C2152" s="1" t="n">
        <v>45224</v>
      </c>
      <c r="D2152" t="inlineStr">
        <is>
          <t>STOCKHOLMS LÄN</t>
        </is>
      </c>
      <c r="E2152" t="inlineStr">
        <is>
          <t>SÖDERTÄLJE</t>
        </is>
      </c>
      <c r="F2152" t="inlineStr">
        <is>
          <t>Sveaskog</t>
        </is>
      </c>
      <c r="G2152" t="n">
        <v>0.8</v>
      </c>
      <c r="H2152" t="n">
        <v>0</v>
      </c>
      <c r="I2152" t="n">
        <v>0</v>
      </c>
      <c r="J2152" t="n">
        <v>0</v>
      </c>
      <c r="K2152" t="n">
        <v>0</v>
      </c>
      <c r="L2152" t="n">
        <v>0</v>
      </c>
      <c r="M2152" t="n">
        <v>0</v>
      </c>
      <c r="N2152" t="n">
        <v>0</v>
      </c>
      <c r="O2152" t="n">
        <v>0</v>
      </c>
      <c r="P2152" t="n">
        <v>0</v>
      </c>
      <c r="Q2152" t="n">
        <v>0</v>
      </c>
      <c r="R2152" s="2" t="inlineStr"/>
    </row>
    <row r="2153" ht="15" customHeight="1">
      <c r="A2153" t="inlineStr">
        <is>
          <t>A 48647-2022</t>
        </is>
      </c>
      <c r="B2153" s="1" t="n">
        <v>44859</v>
      </c>
      <c r="C2153" s="1" t="n">
        <v>45224</v>
      </c>
      <c r="D2153" t="inlineStr">
        <is>
          <t>STOCKHOLMS LÄN</t>
        </is>
      </c>
      <c r="E2153" t="inlineStr">
        <is>
          <t>BOTKYRKA</t>
        </is>
      </c>
      <c r="F2153" t="inlineStr">
        <is>
          <t>Övriga Aktiebolag</t>
        </is>
      </c>
      <c r="G2153" t="n">
        <v>0.5</v>
      </c>
      <c r="H2153" t="n">
        <v>0</v>
      </c>
      <c r="I2153" t="n">
        <v>0</v>
      </c>
      <c r="J2153" t="n">
        <v>0</v>
      </c>
      <c r="K2153" t="n">
        <v>0</v>
      </c>
      <c r="L2153" t="n">
        <v>0</v>
      </c>
      <c r="M2153" t="n">
        <v>0</v>
      </c>
      <c r="N2153" t="n">
        <v>0</v>
      </c>
      <c r="O2153" t="n">
        <v>0</v>
      </c>
      <c r="P2153" t="n">
        <v>0</v>
      </c>
      <c r="Q2153" t="n">
        <v>0</v>
      </c>
      <c r="R2153" s="2" t="inlineStr"/>
    </row>
    <row r="2154" ht="15" customHeight="1">
      <c r="A2154" t="inlineStr">
        <is>
          <t>A 48820-2022</t>
        </is>
      </c>
      <c r="B2154" s="1" t="n">
        <v>44859</v>
      </c>
      <c r="C2154" s="1" t="n">
        <v>45224</v>
      </c>
      <c r="D2154" t="inlineStr">
        <is>
          <t>STOCKHOLMS LÄN</t>
        </is>
      </c>
      <c r="E2154" t="inlineStr">
        <is>
          <t>SÖDERTÄLJE</t>
        </is>
      </c>
      <c r="F2154" t="inlineStr">
        <is>
          <t>Sveaskog</t>
        </is>
      </c>
      <c r="G2154" t="n">
        <v>1.4</v>
      </c>
      <c r="H2154" t="n">
        <v>0</v>
      </c>
      <c r="I2154" t="n">
        <v>0</v>
      </c>
      <c r="J2154" t="n">
        <v>0</v>
      </c>
      <c r="K2154" t="n">
        <v>0</v>
      </c>
      <c r="L2154" t="n">
        <v>0</v>
      </c>
      <c r="M2154" t="n">
        <v>0</v>
      </c>
      <c r="N2154" t="n">
        <v>0</v>
      </c>
      <c r="O2154" t="n">
        <v>0</v>
      </c>
      <c r="P2154" t="n">
        <v>0</v>
      </c>
      <c r="Q2154" t="n">
        <v>0</v>
      </c>
      <c r="R2154" s="2" t="inlineStr"/>
    </row>
    <row r="2155" ht="15" customHeight="1">
      <c r="A2155" t="inlineStr">
        <is>
          <t>A 48667-2022</t>
        </is>
      </c>
      <c r="B2155" s="1" t="n">
        <v>44859</v>
      </c>
      <c r="C2155" s="1" t="n">
        <v>45224</v>
      </c>
      <c r="D2155" t="inlineStr">
        <is>
          <t>STOCKHOLMS LÄN</t>
        </is>
      </c>
      <c r="E2155" t="inlineStr">
        <is>
          <t>BOTKYRKA</t>
        </is>
      </c>
      <c r="F2155" t="inlineStr">
        <is>
          <t>Övriga Aktiebolag</t>
        </is>
      </c>
      <c r="G2155" t="n">
        <v>0.4</v>
      </c>
      <c r="H2155" t="n">
        <v>0</v>
      </c>
      <c r="I2155" t="n">
        <v>0</v>
      </c>
      <c r="J2155" t="n">
        <v>0</v>
      </c>
      <c r="K2155" t="n">
        <v>0</v>
      </c>
      <c r="L2155" t="n">
        <v>0</v>
      </c>
      <c r="M2155" t="n">
        <v>0</v>
      </c>
      <c r="N2155" t="n">
        <v>0</v>
      </c>
      <c r="O2155" t="n">
        <v>0</v>
      </c>
      <c r="P2155" t="n">
        <v>0</v>
      </c>
      <c r="Q2155" t="n">
        <v>0</v>
      </c>
      <c r="R2155" s="2" t="inlineStr"/>
    </row>
    <row r="2156" ht="15" customHeight="1">
      <c r="A2156" t="inlineStr">
        <is>
          <t>A 48812-2022</t>
        </is>
      </c>
      <c r="B2156" s="1" t="n">
        <v>44859</v>
      </c>
      <c r="C2156" s="1" t="n">
        <v>45224</v>
      </c>
      <c r="D2156" t="inlineStr">
        <is>
          <t>STOCKHOLMS LÄN</t>
        </is>
      </c>
      <c r="E2156" t="inlineStr">
        <is>
          <t>SÖDERTÄLJE</t>
        </is>
      </c>
      <c r="F2156" t="inlineStr">
        <is>
          <t>Sveaskog</t>
        </is>
      </c>
      <c r="G2156" t="n">
        <v>1.4</v>
      </c>
      <c r="H2156" t="n">
        <v>0</v>
      </c>
      <c r="I2156" t="n">
        <v>0</v>
      </c>
      <c r="J2156" t="n">
        <v>0</v>
      </c>
      <c r="K2156" t="n">
        <v>0</v>
      </c>
      <c r="L2156" t="n">
        <v>0</v>
      </c>
      <c r="M2156" t="n">
        <v>0</v>
      </c>
      <c r="N2156" t="n">
        <v>0</v>
      </c>
      <c r="O2156" t="n">
        <v>0</v>
      </c>
      <c r="P2156" t="n">
        <v>0</v>
      </c>
      <c r="Q2156" t="n">
        <v>0</v>
      </c>
      <c r="R2156" s="2" t="inlineStr"/>
    </row>
    <row r="2157" ht="15" customHeight="1">
      <c r="A2157" t="inlineStr">
        <is>
          <t>A 49980-2022</t>
        </is>
      </c>
      <c r="B2157" s="1" t="n">
        <v>44860</v>
      </c>
      <c r="C2157" s="1" t="n">
        <v>45224</v>
      </c>
      <c r="D2157" t="inlineStr">
        <is>
          <t>STOCKHOLMS LÄN</t>
        </is>
      </c>
      <c r="E2157" t="inlineStr">
        <is>
          <t>BOTKYRKA</t>
        </is>
      </c>
      <c r="G2157" t="n">
        <v>1.1</v>
      </c>
      <c r="H2157" t="n">
        <v>0</v>
      </c>
      <c r="I2157" t="n">
        <v>0</v>
      </c>
      <c r="J2157" t="n">
        <v>0</v>
      </c>
      <c r="K2157" t="n">
        <v>0</v>
      </c>
      <c r="L2157" t="n">
        <v>0</v>
      </c>
      <c r="M2157" t="n">
        <v>0</v>
      </c>
      <c r="N2157" t="n">
        <v>0</v>
      </c>
      <c r="O2157" t="n">
        <v>0</v>
      </c>
      <c r="P2157" t="n">
        <v>0</v>
      </c>
      <c r="Q2157" t="n">
        <v>0</v>
      </c>
      <c r="R2157" s="2" t="inlineStr"/>
    </row>
    <row r="2158" ht="15" customHeight="1">
      <c r="A2158" t="inlineStr">
        <is>
          <t>A 50905-2022</t>
        </is>
      </c>
      <c r="B2158" s="1" t="n">
        <v>44865</v>
      </c>
      <c r="C2158" s="1" t="n">
        <v>45224</v>
      </c>
      <c r="D2158" t="inlineStr">
        <is>
          <t>STOCKHOLMS LÄN</t>
        </is>
      </c>
      <c r="E2158" t="inlineStr">
        <is>
          <t>UPPLANDS-BRO</t>
        </is>
      </c>
      <c r="F2158" t="inlineStr">
        <is>
          <t>Övriga statliga verk och myndigheter</t>
        </is>
      </c>
      <c r="G2158" t="n">
        <v>4.8</v>
      </c>
      <c r="H2158" t="n">
        <v>0</v>
      </c>
      <c r="I2158" t="n">
        <v>0</v>
      </c>
      <c r="J2158" t="n">
        <v>0</v>
      </c>
      <c r="K2158" t="n">
        <v>0</v>
      </c>
      <c r="L2158" t="n">
        <v>0</v>
      </c>
      <c r="M2158" t="n">
        <v>0</v>
      </c>
      <c r="N2158" t="n">
        <v>0</v>
      </c>
      <c r="O2158" t="n">
        <v>0</v>
      </c>
      <c r="P2158" t="n">
        <v>0</v>
      </c>
      <c r="Q2158" t="n">
        <v>0</v>
      </c>
      <c r="R2158" s="2" t="inlineStr"/>
    </row>
    <row r="2159" ht="15" customHeight="1">
      <c r="A2159" t="inlineStr">
        <is>
          <t>A 50065-2022</t>
        </is>
      </c>
      <c r="B2159" s="1" t="n">
        <v>44865</v>
      </c>
      <c r="C2159" s="1" t="n">
        <v>45224</v>
      </c>
      <c r="D2159" t="inlineStr">
        <is>
          <t>STOCKHOLMS LÄN</t>
        </is>
      </c>
      <c r="E2159" t="inlineStr">
        <is>
          <t>NORRTÄLJE</t>
        </is>
      </c>
      <c r="G2159" t="n">
        <v>1</v>
      </c>
      <c r="H2159" t="n">
        <v>0</v>
      </c>
      <c r="I2159" t="n">
        <v>0</v>
      </c>
      <c r="J2159" t="n">
        <v>0</v>
      </c>
      <c r="K2159" t="n">
        <v>0</v>
      </c>
      <c r="L2159" t="n">
        <v>0</v>
      </c>
      <c r="M2159" t="n">
        <v>0</v>
      </c>
      <c r="N2159" t="n">
        <v>0</v>
      </c>
      <c r="O2159" t="n">
        <v>0</v>
      </c>
      <c r="P2159" t="n">
        <v>0</v>
      </c>
      <c r="Q2159" t="n">
        <v>0</v>
      </c>
      <c r="R2159" s="2" t="inlineStr"/>
    </row>
    <row r="2160" ht="15" customHeight="1">
      <c r="A2160" t="inlineStr">
        <is>
          <t>A 51653-2022</t>
        </is>
      </c>
      <c r="B2160" s="1" t="n">
        <v>44867</v>
      </c>
      <c r="C2160" s="1" t="n">
        <v>45224</v>
      </c>
      <c r="D2160" t="inlineStr">
        <is>
          <t>STOCKHOLMS LÄN</t>
        </is>
      </c>
      <c r="E2160" t="inlineStr">
        <is>
          <t>NORRTÄLJE</t>
        </is>
      </c>
      <c r="G2160" t="n">
        <v>6.6</v>
      </c>
      <c r="H2160" t="n">
        <v>0</v>
      </c>
      <c r="I2160" t="n">
        <v>0</v>
      </c>
      <c r="J2160" t="n">
        <v>0</v>
      </c>
      <c r="K2160" t="n">
        <v>0</v>
      </c>
      <c r="L2160" t="n">
        <v>0</v>
      </c>
      <c r="M2160" t="n">
        <v>0</v>
      </c>
      <c r="N2160" t="n">
        <v>0</v>
      </c>
      <c r="O2160" t="n">
        <v>0</v>
      </c>
      <c r="P2160" t="n">
        <v>0</v>
      </c>
      <c r="Q2160" t="n">
        <v>0</v>
      </c>
      <c r="R2160" s="2" t="inlineStr"/>
    </row>
    <row r="2161" ht="15" customHeight="1">
      <c r="A2161" t="inlineStr">
        <is>
          <t>A 50970-2022</t>
        </is>
      </c>
      <c r="B2161" s="1" t="n">
        <v>44867</v>
      </c>
      <c r="C2161" s="1" t="n">
        <v>45224</v>
      </c>
      <c r="D2161" t="inlineStr">
        <is>
          <t>STOCKHOLMS LÄN</t>
        </is>
      </c>
      <c r="E2161" t="inlineStr">
        <is>
          <t>NORRTÄLJE</t>
        </is>
      </c>
      <c r="G2161" t="n">
        <v>9</v>
      </c>
      <c r="H2161" t="n">
        <v>0</v>
      </c>
      <c r="I2161" t="n">
        <v>0</v>
      </c>
      <c r="J2161" t="n">
        <v>0</v>
      </c>
      <c r="K2161" t="n">
        <v>0</v>
      </c>
      <c r="L2161" t="n">
        <v>0</v>
      </c>
      <c r="M2161" t="n">
        <v>0</v>
      </c>
      <c r="N2161" t="n">
        <v>0</v>
      </c>
      <c r="O2161" t="n">
        <v>0</v>
      </c>
      <c r="P2161" t="n">
        <v>0</v>
      </c>
      <c r="Q2161" t="n">
        <v>0</v>
      </c>
      <c r="R2161" s="2" t="inlineStr"/>
    </row>
    <row r="2162" ht="15" customHeight="1">
      <c r="A2162" t="inlineStr">
        <is>
          <t>A 50836-2022</t>
        </is>
      </c>
      <c r="B2162" s="1" t="n">
        <v>44867</v>
      </c>
      <c r="C2162" s="1" t="n">
        <v>45224</v>
      </c>
      <c r="D2162" t="inlineStr">
        <is>
          <t>STOCKHOLMS LÄN</t>
        </is>
      </c>
      <c r="E2162" t="inlineStr">
        <is>
          <t>NYKVARN</t>
        </is>
      </c>
      <c r="F2162" t="inlineStr">
        <is>
          <t>Allmännings- och besparingsskogar</t>
        </is>
      </c>
      <c r="G2162" t="n">
        <v>7.9</v>
      </c>
      <c r="H2162" t="n">
        <v>0</v>
      </c>
      <c r="I2162" t="n">
        <v>0</v>
      </c>
      <c r="J2162" t="n">
        <v>0</v>
      </c>
      <c r="K2162" t="n">
        <v>0</v>
      </c>
      <c r="L2162" t="n">
        <v>0</v>
      </c>
      <c r="M2162" t="n">
        <v>0</v>
      </c>
      <c r="N2162" t="n">
        <v>0</v>
      </c>
      <c r="O2162" t="n">
        <v>0</v>
      </c>
      <c r="P2162" t="n">
        <v>0</v>
      </c>
      <c r="Q2162" t="n">
        <v>0</v>
      </c>
      <c r="R2162" s="2" t="inlineStr"/>
    </row>
    <row r="2163" ht="15" customHeight="1">
      <c r="A2163" t="inlineStr">
        <is>
          <t>A 52130-2022</t>
        </is>
      </c>
      <c r="B2163" s="1" t="n">
        <v>44868</v>
      </c>
      <c r="C2163" s="1" t="n">
        <v>45224</v>
      </c>
      <c r="D2163" t="inlineStr">
        <is>
          <t>STOCKHOLMS LÄN</t>
        </is>
      </c>
      <c r="E2163" t="inlineStr">
        <is>
          <t>NORRTÄLJE</t>
        </is>
      </c>
      <c r="G2163" t="n">
        <v>3.7</v>
      </c>
      <c r="H2163" t="n">
        <v>0</v>
      </c>
      <c r="I2163" t="n">
        <v>0</v>
      </c>
      <c r="J2163" t="n">
        <v>0</v>
      </c>
      <c r="K2163" t="n">
        <v>0</v>
      </c>
      <c r="L2163" t="n">
        <v>0</v>
      </c>
      <c r="M2163" t="n">
        <v>0</v>
      </c>
      <c r="N2163" t="n">
        <v>0</v>
      </c>
      <c r="O2163" t="n">
        <v>0</v>
      </c>
      <c r="P2163" t="n">
        <v>0</v>
      </c>
      <c r="Q2163" t="n">
        <v>0</v>
      </c>
      <c r="R2163" s="2" t="inlineStr"/>
    </row>
    <row r="2164" ht="15" customHeight="1">
      <c r="A2164" t="inlineStr">
        <is>
          <t>A 52133-2022</t>
        </is>
      </c>
      <c r="B2164" s="1" t="n">
        <v>44868</v>
      </c>
      <c r="C2164" s="1" t="n">
        <v>45224</v>
      </c>
      <c r="D2164" t="inlineStr">
        <is>
          <t>STOCKHOLMS LÄN</t>
        </is>
      </c>
      <c r="E2164" t="inlineStr">
        <is>
          <t>NORRTÄLJE</t>
        </is>
      </c>
      <c r="G2164" t="n">
        <v>11.5</v>
      </c>
      <c r="H2164" t="n">
        <v>0</v>
      </c>
      <c r="I2164" t="n">
        <v>0</v>
      </c>
      <c r="J2164" t="n">
        <v>0</v>
      </c>
      <c r="K2164" t="n">
        <v>0</v>
      </c>
      <c r="L2164" t="n">
        <v>0</v>
      </c>
      <c r="M2164" t="n">
        <v>0</v>
      </c>
      <c r="N2164" t="n">
        <v>0</v>
      </c>
      <c r="O2164" t="n">
        <v>0</v>
      </c>
      <c r="P2164" t="n">
        <v>0</v>
      </c>
      <c r="Q2164" t="n">
        <v>0</v>
      </c>
      <c r="R2164" s="2" t="inlineStr"/>
    </row>
    <row r="2165" ht="15" customHeight="1">
      <c r="A2165" t="inlineStr">
        <is>
          <t>A 52139-2022</t>
        </is>
      </c>
      <c r="B2165" s="1" t="n">
        <v>44868</v>
      </c>
      <c r="C2165" s="1" t="n">
        <v>45224</v>
      </c>
      <c r="D2165" t="inlineStr">
        <is>
          <t>STOCKHOLMS LÄN</t>
        </is>
      </c>
      <c r="E2165" t="inlineStr">
        <is>
          <t>NORRTÄLJE</t>
        </is>
      </c>
      <c r="G2165" t="n">
        <v>3.2</v>
      </c>
      <c r="H2165" t="n">
        <v>0</v>
      </c>
      <c r="I2165" t="n">
        <v>0</v>
      </c>
      <c r="J2165" t="n">
        <v>0</v>
      </c>
      <c r="K2165" t="n">
        <v>0</v>
      </c>
      <c r="L2165" t="n">
        <v>0</v>
      </c>
      <c r="M2165" t="n">
        <v>0</v>
      </c>
      <c r="N2165" t="n">
        <v>0</v>
      </c>
      <c r="O2165" t="n">
        <v>0</v>
      </c>
      <c r="P2165" t="n">
        <v>0</v>
      </c>
      <c r="Q2165" t="n">
        <v>0</v>
      </c>
      <c r="R2165" s="2" t="inlineStr"/>
    </row>
    <row r="2166" ht="15" customHeight="1">
      <c r="A2166" t="inlineStr">
        <is>
          <t>A 52260-2022</t>
        </is>
      </c>
      <c r="B2166" s="1" t="n">
        <v>44869</v>
      </c>
      <c r="C2166" s="1" t="n">
        <v>45224</v>
      </c>
      <c r="D2166" t="inlineStr">
        <is>
          <t>STOCKHOLMS LÄN</t>
        </is>
      </c>
      <c r="E2166" t="inlineStr">
        <is>
          <t>NORRTÄLJE</t>
        </is>
      </c>
      <c r="G2166" t="n">
        <v>3.1</v>
      </c>
      <c r="H2166" t="n">
        <v>0</v>
      </c>
      <c r="I2166" t="n">
        <v>0</v>
      </c>
      <c r="J2166" t="n">
        <v>0</v>
      </c>
      <c r="K2166" t="n">
        <v>0</v>
      </c>
      <c r="L2166" t="n">
        <v>0</v>
      </c>
      <c r="M2166" t="n">
        <v>0</v>
      </c>
      <c r="N2166" t="n">
        <v>0</v>
      </c>
      <c r="O2166" t="n">
        <v>0</v>
      </c>
      <c r="P2166" t="n">
        <v>0</v>
      </c>
      <c r="Q2166" t="n">
        <v>0</v>
      </c>
      <c r="R2166" s="2" t="inlineStr"/>
    </row>
    <row r="2167" ht="15" customHeight="1">
      <c r="A2167" t="inlineStr">
        <is>
          <t>A 53204-2022</t>
        </is>
      </c>
      <c r="B2167" s="1" t="n">
        <v>44872</v>
      </c>
      <c r="C2167" s="1" t="n">
        <v>45224</v>
      </c>
      <c r="D2167" t="inlineStr">
        <is>
          <t>STOCKHOLMS LÄN</t>
        </is>
      </c>
      <c r="E2167" t="inlineStr">
        <is>
          <t>NYKVARN</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52884-2022</t>
        </is>
      </c>
      <c r="B2168" s="1" t="n">
        <v>44872</v>
      </c>
      <c r="C2168" s="1" t="n">
        <v>45224</v>
      </c>
      <c r="D2168" t="inlineStr">
        <is>
          <t>STOCKHOLMS LÄN</t>
        </is>
      </c>
      <c r="E2168" t="inlineStr">
        <is>
          <t>EKERÖ</t>
        </is>
      </c>
      <c r="F2168" t="inlineStr">
        <is>
          <t>Övriga statliga verk och myndigheter</t>
        </is>
      </c>
      <c r="G2168" t="n">
        <v>4</v>
      </c>
      <c r="H2168" t="n">
        <v>0</v>
      </c>
      <c r="I2168" t="n">
        <v>0</v>
      </c>
      <c r="J2168" t="n">
        <v>0</v>
      </c>
      <c r="K2168" t="n">
        <v>0</v>
      </c>
      <c r="L2168" t="n">
        <v>0</v>
      </c>
      <c r="M2168" t="n">
        <v>0</v>
      </c>
      <c r="N2168" t="n">
        <v>0</v>
      </c>
      <c r="O2168" t="n">
        <v>0</v>
      </c>
      <c r="P2168" t="n">
        <v>0</v>
      </c>
      <c r="Q2168" t="n">
        <v>0</v>
      </c>
      <c r="R2168" s="2" t="inlineStr"/>
    </row>
    <row r="2169" ht="15" customHeight="1">
      <c r="A2169" t="inlineStr">
        <is>
          <t>A 52878-2022</t>
        </is>
      </c>
      <c r="B2169" s="1" t="n">
        <v>44872</v>
      </c>
      <c r="C2169" s="1" t="n">
        <v>45224</v>
      </c>
      <c r="D2169" t="inlineStr">
        <is>
          <t>STOCKHOLMS LÄN</t>
        </is>
      </c>
      <c r="E2169" t="inlineStr">
        <is>
          <t>NYKVARN</t>
        </is>
      </c>
      <c r="G2169" t="n">
        <v>4.5</v>
      </c>
      <c r="H2169" t="n">
        <v>0</v>
      </c>
      <c r="I2169" t="n">
        <v>0</v>
      </c>
      <c r="J2169" t="n">
        <v>0</v>
      </c>
      <c r="K2169" t="n">
        <v>0</v>
      </c>
      <c r="L2169" t="n">
        <v>0</v>
      </c>
      <c r="M2169" t="n">
        <v>0</v>
      </c>
      <c r="N2169" t="n">
        <v>0</v>
      </c>
      <c r="O2169" t="n">
        <v>0</v>
      </c>
      <c r="P2169" t="n">
        <v>0</v>
      </c>
      <c r="Q2169" t="n">
        <v>0</v>
      </c>
      <c r="R2169" s="2" t="inlineStr"/>
    </row>
    <row r="2170" ht="15" customHeight="1">
      <c r="A2170" t="inlineStr">
        <is>
          <t>A 52101-2022</t>
        </is>
      </c>
      <c r="B2170" s="1" t="n">
        <v>44873</v>
      </c>
      <c r="C2170" s="1" t="n">
        <v>45224</v>
      </c>
      <c r="D2170" t="inlineStr">
        <is>
          <t>STOCKHOLMS LÄN</t>
        </is>
      </c>
      <c r="E2170" t="inlineStr">
        <is>
          <t>SÖDERTÄLJE</t>
        </is>
      </c>
      <c r="F2170" t="inlineStr">
        <is>
          <t>Kommuner</t>
        </is>
      </c>
      <c r="G2170" t="n">
        <v>1.3</v>
      </c>
      <c r="H2170" t="n">
        <v>0</v>
      </c>
      <c r="I2170" t="n">
        <v>0</v>
      </c>
      <c r="J2170" t="n">
        <v>0</v>
      </c>
      <c r="K2170" t="n">
        <v>0</v>
      </c>
      <c r="L2170" t="n">
        <v>0</v>
      </c>
      <c r="M2170" t="n">
        <v>0</v>
      </c>
      <c r="N2170" t="n">
        <v>0</v>
      </c>
      <c r="O2170" t="n">
        <v>0</v>
      </c>
      <c r="P2170" t="n">
        <v>0</v>
      </c>
      <c r="Q2170" t="n">
        <v>0</v>
      </c>
      <c r="R2170" s="2" t="inlineStr"/>
    </row>
    <row r="2171" ht="15" customHeight="1">
      <c r="A2171" t="inlineStr">
        <is>
          <t>A 52541-2022</t>
        </is>
      </c>
      <c r="B2171" s="1" t="n">
        <v>44874</v>
      </c>
      <c r="C2171" s="1" t="n">
        <v>45224</v>
      </c>
      <c r="D2171" t="inlineStr">
        <is>
          <t>STOCKHOLMS LÄN</t>
        </is>
      </c>
      <c r="E2171" t="inlineStr">
        <is>
          <t>SÖDERTÄLJE</t>
        </is>
      </c>
      <c r="G2171" t="n">
        <v>0</v>
      </c>
      <c r="H2171" t="n">
        <v>0</v>
      </c>
      <c r="I2171" t="n">
        <v>0</v>
      </c>
      <c r="J2171" t="n">
        <v>0</v>
      </c>
      <c r="K2171" t="n">
        <v>0</v>
      </c>
      <c r="L2171" t="n">
        <v>0</v>
      </c>
      <c r="M2171" t="n">
        <v>0</v>
      </c>
      <c r="N2171" t="n">
        <v>0</v>
      </c>
      <c r="O2171" t="n">
        <v>0</v>
      </c>
      <c r="P2171" t="n">
        <v>0</v>
      </c>
      <c r="Q2171" t="n">
        <v>0</v>
      </c>
      <c r="R2171" s="2" t="inlineStr"/>
    </row>
    <row r="2172" ht="15" customHeight="1">
      <c r="A2172" t="inlineStr">
        <is>
          <t>A 52960-2022</t>
        </is>
      </c>
      <c r="B2172" s="1" t="n">
        <v>44875</v>
      </c>
      <c r="C2172" s="1" t="n">
        <v>45224</v>
      </c>
      <c r="D2172" t="inlineStr">
        <is>
          <t>STOCKHOLMS LÄN</t>
        </is>
      </c>
      <c r="E2172" t="inlineStr">
        <is>
          <t>NYKVARN</t>
        </is>
      </c>
      <c r="F2172" t="inlineStr">
        <is>
          <t>Allmännings- och besparingsskogar</t>
        </is>
      </c>
      <c r="G2172" t="n">
        <v>7.6</v>
      </c>
      <c r="H2172" t="n">
        <v>0</v>
      </c>
      <c r="I2172" t="n">
        <v>0</v>
      </c>
      <c r="J2172" t="n">
        <v>0</v>
      </c>
      <c r="K2172" t="n">
        <v>0</v>
      </c>
      <c r="L2172" t="n">
        <v>0</v>
      </c>
      <c r="M2172" t="n">
        <v>0</v>
      </c>
      <c r="N2172" t="n">
        <v>0</v>
      </c>
      <c r="O2172" t="n">
        <v>0</v>
      </c>
      <c r="P2172" t="n">
        <v>0</v>
      </c>
      <c r="Q2172" t="n">
        <v>0</v>
      </c>
      <c r="R2172" s="2" t="inlineStr"/>
    </row>
    <row r="2173" ht="15" customHeight="1">
      <c r="A2173" t="inlineStr">
        <is>
          <t>A 52963-2022</t>
        </is>
      </c>
      <c r="B2173" s="1" t="n">
        <v>44875</v>
      </c>
      <c r="C2173" s="1" t="n">
        <v>45224</v>
      </c>
      <c r="D2173" t="inlineStr">
        <is>
          <t>STOCKHOLMS LÄN</t>
        </is>
      </c>
      <c r="E2173" t="inlineStr">
        <is>
          <t>NYKVARN</t>
        </is>
      </c>
      <c r="F2173" t="inlineStr">
        <is>
          <t>Allmännings- och besparingsskogar</t>
        </is>
      </c>
      <c r="G2173" t="n">
        <v>1.8</v>
      </c>
      <c r="H2173" t="n">
        <v>0</v>
      </c>
      <c r="I2173" t="n">
        <v>0</v>
      </c>
      <c r="J2173" t="n">
        <v>0</v>
      </c>
      <c r="K2173" t="n">
        <v>0</v>
      </c>
      <c r="L2173" t="n">
        <v>0</v>
      </c>
      <c r="M2173" t="n">
        <v>0</v>
      </c>
      <c r="N2173" t="n">
        <v>0</v>
      </c>
      <c r="O2173" t="n">
        <v>0</v>
      </c>
      <c r="P2173" t="n">
        <v>0</v>
      </c>
      <c r="Q2173" t="n">
        <v>0</v>
      </c>
      <c r="R2173" s="2" t="inlineStr"/>
    </row>
    <row r="2174" ht="15" customHeight="1">
      <c r="A2174" t="inlineStr">
        <is>
          <t>A 53730-2022</t>
        </is>
      </c>
      <c r="B2174" s="1" t="n">
        <v>44875</v>
      </c>
      <c r="C2174" s="1" t="n">
        <v>45224</v>
      </c>
      <c r="D2174" t="inlineStr">
        <is>
          <t>STOCKHOLMS LÄN</t>
        </is>
      </c>
      <c r="E2174" t="inlineStr">
        <is>
          <t>NYNÄSHAMN</t>
        </is>
      </c>
      <c r="F2174" t="inlineStr">
        <is>
          <t>Övriga statliga verk och myndigheter</t>
        </is>
      </c>
      <c r="G2174" t="n">
        <v>14.7</v>
      </c>
      <c r="H2174" t="n">
        <v>0</v>
      </c>
      <c r="I2174" t="n">
        <v>0</v>
      </c>
      <c r="J2174" t="n">
        <v>0</v>
      </c>
      <c r="K2174" t="n">
        <v>0</v>
      </c>
      <c r="L2174" t="n">
        <v>0</v>
      </c>
      <c r="M2174" t="n">
        <v>0</v>
      </c>
      <c r="N2174" t="n">
        <v>0</v>
      </c>
      <c r="O2174" t="n">
        <v>0</v>
      </c>
      <c r="P2174" t="n">
        <v>0</v>
      </c>
      <c r="Q2174" t="n">
        <v>0</v>
      </c>
      <c r="R2174" s="2" t="inlineStr"/>
    </row>
    <row r="2175" ht="15" customHeight="1">
      <c r="A2175" t="inlineStr">
        <is>
          <t>A 54056-2022</t>
        </is>
      </c>
      <c r="B2175" s="1" t="n">
        <v>44876</v>
      </c>
      <c r="C2175" s="1" t="n">
        <v>45224</v>
      </c>
      <c r="D2175" t="inlineStr">
        <is>
          <t>STOCKHOLMS LÄN</t>
        </is>
      </c>
      <c r="E2175" t="inlineStr">
        <is>
          <t>VÄRMDÖ</t>
        </is>
      </c>
      <c r="F2175" t="inlineStr">
        <is>
          <t>Kommuner</t>
        </is>
      </c>
      <c r="G2175" t="n">
        <v>2</v>
      </c>
      <c r="H2175" t="n">
        <v>0</v>
      </c>
      <c r="I2175" t="n">
        <v>0</v>
      </c>
      <c r="J2175" t="n">
        <v>0</v>
      </c>
      <c r="K2175" t="n">
        <v>0</v>
      </c>
      <c r="L2175" t="n">
        <v>0</v>
      </c>
      <c r="M2175" t="n">
        <v>0</v>
      </c>
      <c r="N2175" t="n">
        <v>0</v>
      </c>
      <c r="O2175" t="n">
        <v>0</v>
      </c>
      <c r="P2175" t="n">
        <v>0</v>
      </c>
      <c r="Q2175" t="n">
        <v>0</v>
      </c>
      <c r="R2175" s="2" t="inlineStr"/>
    </row>
    <row r="2176" ht="15" customHeight="1">
      <c r="A2176" t="inlineStr">
        <is>
          <t>A 53461-2022</t>
        </is>
      </c>
      <c r="B2176" s="1" t="n">
        <v>44879</v>
      </c>
      <c r="C2176" s="1" t="n">
        <v>45224</v>
      </c>
      <c r="D2176" t="inlineStr">
        <is>
          <t>STOCKHOLMS LÄN</t>
        </is>
      </c>
      <c r="E2176" t="inlineStr">
        <is>
          <t>NORRTÄLJE</t>
        </is>
      </c>
      <c r="G2176" t="n">
        <v>1.1</v>
      </c>
      <c r="H2176" t="n">
        <v>0</v>
      </c>
      <c r="I2176" t="n">
        <v>0</v>
      </c>
      <c r="J2176" t="n">
        <v>0</v>
      </c>
      <c r="K2176" t="n">
        <v>0</v>
      </c>
      <c r="L2176" t="n">
        <v>0</v>
      </c>
      <c r="M2176" t="n">
        <v>0</v>
      </c>
      <c r="N2176" t="n">
        <v>0</v>
      </c>
      <c r="O2176" t="n">
        <v>0</v>
      </c>
      <c r="P2176" t="n">
        <v>0</v>
      </c>
      <c r="Q2176" t="n">
        <v>0</v>
      </c>
      <c r="R2176" s="2" t="inlineStr"/>
    </row>
    <row r="2177" ht="15" customHeight="1">
      <c r="A2177" t="inlineStr">
        <is>
          <t>A 54169-2022</t>
        </is>
      </c>
      <c r="B2177" s="1" t="n">
        <v>44881</v>
      </c>
      <c r="C2177" s="1" t="n">
        <v>45224</v>
      </c>
      <c r="D2177" t="inlineStr">
        <is>
          <t>STOCKHOLMS LÄN</t>
        </is>
      </c>
      <c r="E2177" t="inlineStr">
        <is>
          <t>NORRTÄLJE</t>
        </is>
      </c>
      <c r="G2177" t="n">
        <v>3.7</v>
      </c>
      <c r="H2177" t="n">
        <v>0</v>
      </c>
      <c r="I2177" t="n">
        <v>0</v>
      </c>
      <c r="J2177" t="n">
        <v>0</v>
      </c>
      <c r="K2177" t="n">
        <v>0</v>
      </c>
      <c r="L2177" t="n">
        <v>0</v>
      </c>
      <c r="M2177" t="n">
        <v>0</v>
      </c>
      <c r="N2177" t="n">
        <v>0</v>
      </c>
      <c r="O2177" t="n">
        <v>0</v>
      </c>
      <c r="P2177" t="n">
        <v>0</v>
      </c>
      <c r="Q2177" t="n">
        <v>0</v>
      </c>
      <c r="R2177" s="2" t="inlineStr"/>
    </row>
    <row r="2178" ht="15" customHeight="1">
      <c r="A2178" t="inlineStr">
        <is>
          <t>A 54205-2022</t>
        </is>
      </c>
      <c r="B2178" s="1" t="n">
        <v>44881</v>
      </c>
      <c r="C2178" s="1" t="n">
        <v>45224</v>
      </c>
      <c r="D2178" t="inlineStr">
        <is>
          <t>STOCKHOLMS LÄN</t>
        </is>
      </c>
      <c r="E2178" t="inlineStr">
        <is>
          <t>NYKVARN</t>
        </is>
      </c>
      <c r="F2178" t="inlineStr">
        <is>
          <t>Allmännings- och besparingsskogar</t>
        </is>
      </c>
      <c r="G2178" t="n">
        <v>1.2</v>
      </c>
      <c r="H2178" t="n">
        <v>0</v>
      </c>
      <c r="I2178" t="n">
        <v>0</v>
      </c>
      <c r="J2178" t="n">
        <v>0</v>
      </c>
      <c r="K2178" t="n">
        <v>0</v>
      </c>
      <c r="L2178" t="n">
        <v>0</v>
      </c>
      <c r="M2178" t="n">
        <v>0</v>
      </c>
      <c r="N2178" t="n">
        <v>0</v>
      </c>
      <c r="O2178" t="n">
        <v>0</v>
      </c>
      <c r="P2178" t="n">
        <v>0</v>
      </c>
      <c r="Q2178" t="n">
        <v>0</v>
      </c>
      <c r="R2178" s="2" t="inlineStr"/>
    </row>
    <row r="2179" ht="15" customHeight="1">
      <c r="A2179" t="inlineStr">
        <is>
          <t>A 54358-2022</t>
        </is>
      </c>
      <c r="B2179" s="1" t="n">
        <v>44882</v>
      </c>
      <c r="C2179" s="1" t="n">
        <v>45224</v>
      </c>
      <c r="D2179" t="inlineStr">
        <is>
          <t>STOCKHOLMS LÄN</t>
        </is>
      </c>
      <c r="E2179" t="inlineStr">
        <is>
          <t>NORRTÄLJE</t>
        </is>
      </c>
      <c r="G2179" t="n">
        <v>3.3</v>
      </c>
      <c r="H2179" t="n">
        <v>0</v>
      </c>
      <c r="I2179" t="n">
        <v>0</v>
      </c>
      <c r="J2179" t="n">
        <v>0</v>
      </c>
      <c r="K2179" t="n">
        <v>0</v>
      </c>
      <c r="L2179" t="n">
        <v>0</v>
      </c>
      <c r="M2179" t="n">
        <v>0</v>
      </c>
      <c r="N2179" t="n">
        <v>0</v>
      </c>
      <c r="O2179" t="n">
        <v>0</v>
      </c>
      <c r="P2179" t="n">
        <v>0</v>
      </c>
      <c r="Q2179" t="n">
        <v>0</v>
      </c>
      <c r="R2179" s="2" t="inlineStr"/>
    </row>
    <row r="2180" ht="15" customHeight="1">
      <c r="A2180" t="inlineStr">
        <is>
          <t>A 54427-2022</t>
        </is>
      </c>
      <c r="B2180" s="1" t="n">
        <v>44882</v>
      </c>
      <c r="C2180" s="1" t="n">
        <v>45224</v>
      </c>
      <c r="D2180" t="inlineStr">
        <is>
          <t>STOCKHOLMS LÄN</t>
        </is>
      </c>
      <c r="E2180" t="inlineStr">
        <is>
          <t>NORRTÄLJE</t>
        </is>
      </c>
      <c r="G2180" t="n">
        <v>1.7</v>
      </c>
      <c r="H2180" t="n">
        <v>0</v>
      </c>
      <c r="I2180" t="n">
        <v>0</v>
      </c>
      <c r="J2180" t="n">
        <v>0</v>
      </c>
      <c r="K2180" t="n">
        <v>0</v>
      </c>
      <c r="L2180" t="n">
        <v>0</v>
      </c>
      <c r="M2180" t="n">
        <v>0</v>
      </c>
      <c r="N2180" t="n">
        <v>0</v>
      </c>
      <c r="O2180" t="n">
        <v>0</v>
      </c>
      <c r="P2180" t="n">
        <v>0</v>
      </c>
      <c r="Q2180" t="n">
        <v>0</v>
      </c>
      <c r="R2180" s="2" t="inlineStr"/>
    </row>
    <row r="2181" ht="15" customHeight="1">
      <c r="A2181" t="inlineStr">
        <is>
          <t>A 54355-2022</t>
        </is>
      </c>
      <c r="B2181" s="1" t="n">
        <v>44882</v>
      </c>
      <c r="C2181" s="1" t="n">
        <v>45224</v>
      </c>
      <c r="D2181" t="inlineStr">
        <is>
          <t>STOCKHOLMS LÄN</t>
        </is>
      </c>
      <c r="E2181" t="inlineStr">
        <is>
          <t>NORRTÄLJE</t>
        </is>
      </c>
      <c r="G2181" t="n">
        <v>0.4</v>
      </c>
      <c r="H2181" t="n">
        <v>0</v>
      </c>
      <c r="I2181" t="n">
        <v>0</v>
      </c>
      <c r="J2181" t="n">
        <v>0</v>
      </c>
      <c r="K2181" t="n">
        <v>0</v>
      </c>
      <c r="L2181" t="n">
        <v>0</v>
      </c>
      <c r="M2181" t="n">
        <v>0</v>
      </c>
      <c r="N2181" t="n">
        <v>0</v>
      </c>
      <c r="O2181" t="n">
        <v>0</v>
      </c>
      <c r="P2181" t="n">
        <v>0</v>
      </c>
      <c r="Q2181" t="n">
        <v>0</v>
      </c>
      <c r="R2181" s="2" t="inlineStr"/>
    </row>
    <row r="2182" ht="15" customHeight="1">
      <c r="A2182" t="inlineStr">
        <is>
          <t>A 54614-2022</t>
        </is>
      </c>
      <c r="B2182" s="1" t="n">
        <v>44883</v>
      </c>
      <c r="C2182" s="1" t="n">
        <v>45224</v>
      </c>
      <c r="D2182" t="inlineStr">
        <is>
          <t>STOCKHOLMS LÄN</t>
        </is>
      </c>
      <c r="E2182" t="inlineStr">
        <is>
          <t>NYKVARN</t>
        </is>
      </c>
      <c r="F2182" t="inlineStr">
        <is>
          <t>Allmännings- och besparingsskogar</t>
        </is>
      </c>
      <c r="G2182" t="n">
        <v>3.2</v>
      </c>
      <c r="H2182" t="n">
        <v>0</v>
      </c>
      <c r="I2182" t="n">
        <v>0</v>
      </c>
      <c r="J2182" t="n">
        <v>0</v>
      </c>
      <c r="K2182" t="n">
        <v>0</v>
      </c>
      <c r="L2182" t="n">
        <v>0</v>
      </c>
      <c r="M2182" t="n">
        <v>0</v>
      </c>
      <c r="N2182" t="n">
        <v>0</v>
      </c>
      <c r="O2182" t="n">
        <v>0</v>
      </c>
      <c r="P2182" t="n">
        <v>0</v>
      </c>
      <c r="Q2182" t="n">
        <v>0</v>
      </c>
      <c r="R2182" s="2" t="inlineStr"/>
    </row>
    <row r="2183" ht="15" customHeight="1">
      <c r="A2183" t="inlineStr">
        <is>
          <t>A 54627-2022</t>
        </is>
      </c>
      <c r="B2183" s="1" t="n">
        <v>44883</v>
      </c>
      <c r="C2183" s="1" t="n">
        <v>45224</v>
      </c>
      <c r="D2183" t="inlineStr">
        <is>
          <t>STOCKHOLMS LÄN</t>
        </is>
      </c>
      <c r="E2183" t="inlineStr">
        <is>
          <t>NYKVARN</t>
        </is>
      </c>
      <c r="F2183" t="inlineStr">
        <is>
          <t>Allmännings- och besparingsskogar</t>
        </is>
      </c>
      <c r="G2183" t="n">
        <v>1.4</v>
      </c>
      <c r="H2183" t="n">
        <v>0</v>
      </c>
      <c r="I2183" t="n">
        <v>0</v>
      </c>
      <c r="J2183" t="n">
        <v>0</v>
      </c>
      <c r="K2183" t="n">
        <v>0</v>
      </c>
      <c r="L2183" t="n">
        <v>0</v>
      </c>
      <c r="M2183" t="n">
        <v>0</v>
      </c>
      <c r="N2183" t="n">
        <v>0</v>
      </c>
      <c r="O2183" t="n">
        <v>0</v>
      </c>
      <c r="P2183" t="n">
        <v>0</v>
      </c>
      <c r="Q2183" t="n">
        <v>0</v>
      </c>
      <c r="R2183" s="2" t="inlineStr"/>
    </row>
    <row r="2184" ht="15" customHeight="1">
      <c r="A2184" t="inlineStr">
        <is>
          <t>A 54992-2022</t>
        </is>
      </c>
      <c r="B2184" s="1" t="n">
        <v>44886</v>
      </c>
      <c r="C2184" s="1" t="n">
        <v>45224</v>
      </c>
      <c r="D2184" t="inlineStr">
        <is>
          <t>STOCKHOLMS LÄN</t>
        </is>
      </c>
      <c r="E2184" t="inlineStr">
        <is>
          <t>BOTKYRKA</t>
        </is>
      </c>
      <c r="G2184" t="n">
        <v>1.5</v>
      </c>
      <c r="H2184" t="n">
        <v>0</v>
      </c>
      <c r="I2184" t="n">
        <v>0</v>
      </c>
      <c r="J2184" t="n">
        <v>0</v>
      </c>
      <c r="K2184" t="n">
        <v>0</v>
      </c>
      <c r="L2184" t="n">
        <v>0</v>
      </c>
      <c r="M2184" t="n">
        <v>0</v>
      </c>
      <c r="N2184" t="n">
        <v>0</v>
      </c>
      <c r="O2184" t="n">
        <v>0</v>
      </c>
      <c r="P2184" t="n">
        <v>0</v>
      </c>
      <c r="Q2184" t="n">
        <v>0</v>
      </c>
      <c r="R2184" s="2" t="inlineStr"/>
    </row>
    <row r="2185" ht="15" customHeight="1">
      <c r="A2185" t="inlineStr">
        <is>
          <t>A 55266-2022</t>
        </is>
      </c>
      <c r="B2185" s="1" t="n">
        <v>44887</v>
      </c>
      <c r="C2185" s="1" t="n">
        <v>45224</v>
      </c>
      <c r="D2185" t="inlineStr">
        <is>
          <t>STOCKHOLMS LÄN</t>
        </is>
      </c>
      <c r="E2185" t="inlineStr">
        <is>
          <t>NORRTÄLJE</t>
        </is>
      </c>
      <c r="G2185" t="n">
        <v>11.4</v>
      </c>
      <c r="H2185" t="n">
        <v>0</v>
      </c>
      <c r="I2185" t="n">
        <v>0</v>
      </c>
      <c r="J2185" t="n">
        <v>0</v>
      </c>
      <c r="K2185" t="n">
        <v>0</v>
      </c>
      <c r="L2185" t="n">
        <v>0</v>
      </c>
      <c r="M2185" t="n">
        <v>0</v>
      </c>
      <c r="N2185" t="n">
        <v>0</v>
      </c>
      <c r="O2185" t="n">
        <v>0</v>
      </c>
      <c r="P2185" t="n">
        <v>0</v>
      </c>
      <c r="Q2185" t="n">
        <v>0</v>
      </c>
      <c r="R2185" s="2" t="inlineStr"/>
    </row>
    <row r="2186" ht="15" customHeight="1">
      <c r="A2186" t="inlineStr">
        <is>
          <t>A 55696-2022</t>
        </is>
      </c>
      <c r="B2186" s="1" t="n">
        <v>44888</v>
      </c>
      <c r="C2186" s="1" t="n">
        <v>45224</v>
      </c>
      <c r="D2186" t="inlineStr">
        <is>
          <t>STOCKHOLMS LÄN</t>
        </is>
      </c>
      <c r="E2186" t="inlineStr">
        <is>
          <t>NORRTÄLJE</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55973-2022</t>
        </is>
      </c>
      <c r="B2187" s="1" t="n">
        <v>44889</v>
      </c>
      <c r="C2187" s="1" t="n">
        <v>45224</v>
      </c>
      <c r="D2187" t="inlineStr">
        <is>
          <t>STOCKHOLMS LÄN</t>
        </is>
      </c>
      <c r="E2187" t="inlineStr">
        <is>
          <t>SÖDERTÄLJE</t>
        </is>
      </c>
      <c r="F2187" t="inlineStr">
        <is>
          <t>Sveaskog</t>
        </is>
      </c>
      <c r="G2187" t="n">
        <v>2.2</v>
      </c>
      <c r="H2187" t="n">
        <v>0</v>
      </c>
      <c r="I2187" t="n">
        <v>0</v>
      </c>
      <c r="J2187" t="n">
        <v>0</v>
      </c>
      <c r="K2187" t="n">
        <v>0</v>
      </c>
      <c r="L2187" t="n">
        <v>0</v>
      </c>
      <c r="M2187" t="n">
        <v>0</v>
      </c>
      <c r="N2187" t="n">
        <v>0</v>
      </c>
      <c r="O2187" t="n">
        <v>0</v>
      </c>
      <c r="P2187" t="n">
        <v>0</v>
      </c>
      <c r="Q2187" t="n">
        <v>0</v>
      </c>
      <c r="R2187" s="2" t="inlineStr"/>
    </row>
    <row r="2188" ht="15" customHeight="1">
      <c r="A2188" t="inlineStr">
        <is>
          <t>A 56044-2022</t>
        </is>
      </c>
      <c r="B2188" s="1" t="n">
        <v>44889</v>
      </c>
      <c r="C2188" s="1" t="n">
        <v>45224</v>
      </c>
      <c r="D2188" t="inlineStr">
        <is>
          <t>STOCKHOLMS LÄN</t>
        </is>
      </c>
      <c r="E2188" t="inlineStr">
        <is>
          <t>NYKVARN</t>
        </is>
      </c>
      <c r="F2188" t="inlineStr">
        <is>
          <t>Kyrkan</t>
        </is>
      </c>
      <c r="G2188" t="n">
        <v>5</v>
      </c>
      <c r="H2188" t="n">
        <v>0</v>
      </c>
      <c r="I2188" t="n">
        <v>0</v>
      </c>
      <c r="J2188" t="n">
        <v>0</v>
      </c>
      <c r="K2188" t="n">
        <v>0</v>
      </c>
      <c r="L2188" t="n">
        <v>0</v>
      </c>
      <c r="M2188" t="n">
        <v>0</v>
      </c>
      <c r="N2188" t="n">
        <v>0</v>
      </c>
      <c r="O2188" t="n">
        <v>0</v>
      </c>
      <c r="P2188" t="n">
        <v>0</v>
      </c>
      <c r="Q2188" t="n">
        <v>0</v>
      </c>
      <c r="R2188" s="2" t="inlineStr"/>
    </row>
    <row r="2189" ht="15" customHeight="1">
      <c r="A2189" t="inlineStr">
        <is>
          <t>A 56801-2022</t>
        </is>
      </c>
      <c r="B2189" s="1" t="n">
        <v>44894</v>
      </c>
      <c r="C2189" s="1" t="n">
        <v>45224</v>
      </c>
      <c r="D2189" t="inlineStr">
        <is>
          <t>STOCKHOLMS LÄN</t>
        </is>
      </c>
      <c r="E2189" t="inlineStr">
        <is>
          <t>SIGTUNA</t>
        </is>
      </c>
      <c r="G2189" t="n">
        <v>1.3</v>
      </c>
      <c r="H2189" t="n">
        <v>0</v>
      </c>
      <c r="I2189" t="n">
        <v>0</v>
      </c>
      <c r="J2189" t="n">
        <v>0</v>
      </c>
      <c r="K2189" t="n">
        <v>0</v>
      </c>
      <c r="L2189" t="n">
        <v>0</v>
      </c>
      <c r="M2189" t="n">
        <v>0</v>
      </c>
      <c r="N2189" t="n">
        <v>0</v>
      </c>
      <c r="O2189" t="n">
        <v>0</v>
      </c>
      <c r="P2189" t="n">
        <v>0</v>
      </c>
      <c r="Q2189" t="n">
        <v>0</v>
      </c>
      <c r="R2189" s="2" t="inlineStr"/>
    </row>
    <row r="2190" ht="15" customHeight="1">
      <c r="A2190" t="inlineStr">
        <is>
          <t>A 57037-2022</t>
        </is>
      </c>
      <c r="B2190" s="1" t="n">
        <v>44895</v>
      </c>
      <c r="C2190" s="1" t="n">
        <v>45224</v>
      </c>
      <c r="D2190" t="inlineStr">
        <is>
          <t>STOCKHOLMS LÄN</t>
        </is>
      </c>
      <c r="E2190" t="inlineStr">
        <is>
          <t>NORRTÄLJE</t>
        </is>
      </c>
      <c r="G2190" t="n">
        <v>0.6</v>
      </c>
      <c r="H2190" t="n">
        <v>0</v>
      </c>
      <c r="I2190" t="n">
        <v>0</v>
      </c>
      <c r="J2190" t="n">
        <v>0</v>
      </c>
      <c r="K2190" t="n">
        <v>0</v>
      </c>
      <c r="L2190" t="n">
        <v>0</v>
      </c>
      <c r="M2190" t="n">
        <v>0</v>
      </c>
      <c r="N2190" t="n">
        <v>0</v>
      </c>
      <c r="O2190" t="n">
        <v>0</v>
      </c>
      <c r="P2190" t="n">
        <v>0</v>
      </c>
      <c r="Q2190" t="n">
        <v>0</v>
      </c>
      <c r="R2190" s="2" t="inlineStr"/>
    </row>
    <row r="2191" ht="15" customHeight="1">
      <c r="A2191" t="inlineStr">
        <is>
          <t>A 57876-2022</t>
        </is>
      </c>
      <c r="B2191" s="1" t="n">
        <v>44899</v>
      </c>
      <c r="C2191" s="1" t="n">
        <v>45224</v>
      </c>
      <c r="D2191" t="inlineStr">
        <is>
          <t>STOCKHOLMS LÄN</t>
        </is>
      </c>
      <c r="E2191" t="inlineStr">
        <is>
          <t>BOTKYRKA</t>
        </is>
      </c>
      <c r="F2191" t="inlineStr">
        <is>
          <t>Övriga Aktiebolag</t>
        </is>
      </c>
      <c r="G2191" t="n">
        <v>2.1</v>
      </c>
      <c r="H2191" t="n">
        <v>0</v>
      </c>
      <c r="I2191" t="n">
        <v>0</v>
      </c>
      <c r="J2191" t="n">
        <v>0</v>
      </c>
      <c r="K2191" t="n">
        <v>0</v>
      </c>
      <c r="L2191" t="n">
        <v>0</v>
      </c>
      <c r="M2191" t="n">
        <v>0</v>
      </c>
      <c r="N2191" t="n">
        <v>0</v>
      </c>
      <c r="O2191" t="n">
        <v>0</v>
      </c>
      <c r="P2191" t="n">
        <v>0</v>
      </c>
      <c r="Q2191" t="n">
        <v>0</v>
      </c>
      <c r="R2191" s="2" t="inlineStr"/>
    </row>
    <row r="2192" ht="15" customHeight="1">
      <c r="A2192" t="inlineStr">
        <is>
          <t>A 59767-2022</t>
        </is>
      </c>
      <c r="B2192" s="1" t="n">
        <v>44900</v>
      </c>
      <c r="C2192" s="1" t="n">
        <v>45224</v>
      </c>
      <c r="D2192" t="inlineStr">
        <is>
          <t>STOCKHOLMS LÄN</t>
        </is>
      </c>
      <c r="E2192" t="inlineStr">
        <is>
          <t>NORRTÄLJE</t>
        </is>
      </c>
      <c r="G2192" t="n">
        <v>2.2</v>
      </c>
      <c r="H2192" t="n">
        <v>0</v>
      </c>
      <c r="I2192" t="n">
        <v>0</v>
      </c>
      <c r="J2192" t="n">
        <v>0</v>
      </c>
      <c r="K2192" t="n">
        <v>0</v>
      </c>
      <c r="L2192" t="n">
        <v>0</v>
      </c>
      <c r="M2192" t="n">
        <v>0</v>
      </c>
      <c r="N2192" t="n">
        <v>0</v>
      </c>
      <c r="O2192" t="n">
        <v>0</v>
      </c>
      <c r="P2192" t="n">
        <v>0</v>
      </c>
      <c r="Q2192" t="n">
        <v>0</v>
      </c>
      <c r="R2192" s="2" t="inlineStr"/>
    </row>
    <row r="2193" ht="15" customHeight="1">
      <c r="A2193" t="inlineStr">
        <is>
          <t>A 58260-2022</t>
        </is>
      </c>
      <c r="B2193" s="1" t="n">
        <v>44901</v>
      </c>
      <c r="C2193" s="1" t="n">
        <v>45224</v>
      </c>
      <c r="D2193" t="inlineStr">
        <is>
          <t>STOCKHOLMS LÄN</t>
        </is>
      </c>
      <c r="E2193" t="inlineStr">
        <is>
          <t>NORRTÄLJE</t>
        </is>
      </c>
      <c r="G2193" t="n">
        <v>3</v>
      </c>
      <c r="H2193" t="n">
        <v>0</v>
      </c>
      <c r="I2193" t="n">
        <v>0</v>
      </c>
      <c r="J2193" t="n">
        <v>0</v>
      </c>
      <c r="K2193" t="n">
        <v>0</v>
      </c>
      <c r="L2193" t="n">
        <v>0</v>
      </c>
      <c r="M2193" t="n">
        <v>0</v>
      </c>
      <c r="N2193" t="n">
        <v>0</v>
      </c>
      <c r="O2193" t="n">
        <v>0</v>
      </c>
      <c r="P2193" t="n">
        <v>0</v>
      </c>
      <c r="Q2193" t="n">
        <v>0</v>
      </c>
      <c r="R2193" s="2" t="inlineStr"/>
    </row>
    <row r="2194" ht="15" customHeight="1">
      <c r="A2194" t="inlineStr">
        <is>
          <t>A 58302-2022</t>
        </is>
      </c>
      <c r="B2194" s="1" t="n">
        <v>44901</v>
      </c>
      <c r="C2194" s="1" t="n">
        <v>45224</v>
      </c>
      <c r="D2194" t="inlineStr">
        <is>
          <t>STOCKHOLMS LÄN</t>
        </is>
      </c>
      <c r="E2194" t="inlineStr">
        <is>
          <t>NORRTÄLJE</t>
        </is>
      </c>
      <c r="G2194" t="n">
        <v>3.9</v>
      </c>
      <c r="H2194" t="n">
        <v>0</v>
      </c>
      <c r="I2194" t="n">
        <v>0</v>
      </c>
      <c r="J2194" t="n">
        <v>0</v>
      </c>
      <c r="K2194" t="n">
        <v>0</v>
      </c>
      <c r="L2194" t="n">
        <v>0</v>
      </c>
      <c r="M2194" t="n">
        <v>0</v>
      </c>
      <c r="N2194" t="n">
        <v>0</v>
      </c>
      <c r="O2194" t="n">
        <v>0</v>
      </c>
      <c r="P2194" t="n">
        <v>0</v>
      </c>
      <c r="Q2194" t="n">
        <v>0</v>
      </c>
      <c r="R2194" s="2" t="inlineStr"/>
    </row>
    <row r="2195" ht="15" customHeight="1">
      <c r="A2195" t="inlineStr">
        <is>
          <t>A 59848-2022</t>
        </is>
      </c>
      <c r="B2195" s="1" t="n">
        <v>44901</v>
      </c>
      <c r="C2195" s="1" t="n">
        <v>45224</v>
      </c>
      <c r="D2195" t="inlineStr">
        <is>
          <t>STOCKHOLMS LÄN</t>
        </is>
      </c>
      <c r="E2195" t="inlineStr">
        <is>
          <t>UPPLANDS-BRO</t>
        </is>
      </c>
      <c r="F2195" t="inlineStr">
        <is>
          <t>Övriga statliga verk och myndigheter</t>
        </is>
      </c>
      <c r="G2195" t="n">
        <v>10.7</v>
      </c>
      <c r="H2195" t="n">
        <v>0</v>
      </c>
      <c r="I2195" t="n">
        <v>0</v>
      </c>
      <c r="J2195" t="n">
        <v>0</v>
      </c>
      <c r="K2195" t="n">
        <v>0</v>
      </c>
      <c r="L2195" t="n">
        <v>0</v>
      </c>
      <c r="M2195" t="n">
        <v>0</v>
      </c>
      <c r="N2195" t="n">
        <v>0</v>
      </c>
      <c r="O2195" t="n">
        <v>0</v>
      </c>
      <c r="P2195" t="n">
        <v>0</v>
      </c>
      <c r="Q2195" t="n">
        <v>0</v>
      </c>
      <c r="R2195" s="2" t="inlineStr"/>
    </row>
    <row r="2196" ht="15" customHeight="1">
      <c r="A2196" t="inlineStr">
        <is>
          <t>A 58418-2022</t>
        </is>
      </c>
      <c r="B2196" s="1" t="n">
        <v>44901</v>
      </c>
      <c r="C2196" s="1" t="n">
        <v>45224</v>
      </c>
      <c r="D2196" t="inlineStr">
        <is>
          <t>STOCKHOLMS LÄN</t>
        </is>
      </c>
      <c r="E2196" t="inlineStr">
        <is>
          <t>SÖDERTÄLJE</t>
        </is>
      </c>
      <c r="G2196" t="n">
        <v>4.2</v>
      </c>
      <c r="H2196" t="n">
        <v>0</v>
      </c>
      <c r="I2196" t="n">
        <v>0</v>
      </c>
      <c r="J2196" t="n">
        <v>0</v>
      </c>
      <c r="K2196" t="n">
        <v>0</v>
      </c>
      <c r="L2196" t="n">
        <v>0</v>
      </c>
      <c r="M2196" t="n">
        <v>0</v>
      </c>
      <c r="N2196" t="n">
        <v>0</v>
      </c>
      <c r="O2196" t="n">
        <v>0</v>
      </c>
      <c r="P2196" t="n">
        <v>0</v>
      </c>
      <c r="Q2196" t="n">
        <v>0</v>
      </c>
      <c r="R2196" s="2" t="inlineStr"/>
    </row>
    <row r="2197" ht="15" customHeight="1">
      <c r="A2197" t="inlineStr">
        <is>
          <t>A 59836-2022</t>
        </is>
      </c>
      <c r="B2197" s="1" t="n">
        <v>44901</v>
      </c>
      <c r="C2197" s="1" t="n">
        <v>45224</v>
      </c>
      <c r="D2197" t="inlineStr">
        <is>
          <t>STOCKHOLMS LÄN</t>
        </is>
      </c>
      <c r="E2197" t="inlineStr">
        <is>
          <t>UPPLANDS-BRO</t>
        </is>
      </c>
      <c r="F2197" t="inlineStr">
        <is>
          <t>Övriga statliga verk och myndigheter</t>
        </is>
      </c>
      <c r="G2197" t="n">
        <v>11</v>
      </c>
      <c r="H2197" t="n">
        <v>0</v>
      </c>
      <c r="I2197" t="n">
        <v>0</v>
      </c>
      <c r="J2197" t="n">
        <v>0</v>
      </c>
      <c r="K2197" t="n">
        <v>0</v>
      </c>
      <c r="L2197" t="n">
        <v>0</v>
      </c>
      <c r="M2197" t="n">
        <v>0</v>
      </c>
      <c r="N2197" t="n">
        <v>0</v>
      </c>
      <c r="O2197" t="n">
        <v>0</v>
      </c>
      <c r="P2197" t="n">
        <v>0</v>
      </c>
      <c r="Q2197" t="n">
        <v>0</v>
      </c>
      <c r="R2197" s="2" t="inlineStr"/>
    </row>
    <row r="2198" ht="15" customHeight="1">
      <c r="A2198" t="inlineStr">
        <is>
          <t>A 59844-2022</t>
        </is>
      </c>
      <c r="B2198" s="1" t="n">
        <v>44901</v>
      </c>
      <c r="C2198" s="1" t="n">
        <v>45224</v>
      </c>
      <c r="D2198" t="inlineStr">
        <is>
          <t>STOCKHOLMS LÄN</t>
        </is>
      </c>
      <c r="E2198" t="inlineStr">
        <is>
          <t>UPPLANDS-BRO</t>
        </is>
      </c>
      <c r="F2198" t="inlineStr">
        <is>
          <t>Övriga statliga verk och myndigheter</t>
        </is>
      </c>
      <c r="G2198" t="n">
        <v>11.9</v>
      </c>
      <c r="H2198" t="n">
        <v>0</v>
      </c>
      <c r="I2198" t="n">
        <v>0</v>
      </c>
      <c r="J2198" t="n">
        <v>0</v>
      </c>
      <c r="K2198" t="n">
        <v>0</v>
      </c>
      <c r="L2198" t="n">
        <v>0</v>
      </c>
      <c r="M2198" t="n">
        <v>0</v>
      </c>
      <c r="N2198" t="n">
        <v>0</v>
      </c>
      <c r="O2198" t="n">
        <v>0</v>
      </c>
      <c r="P2198" t="n">
        <v>0</v>
      </c>
      <c r="Q2198" t="n">
        <v>0</v>
      </c>
      <c r="R2198" s="2" t="inlineStr"/>
    </row>
    <row r="2199" ht="15" customHeight="1">
      <c r="A2199" t="inlineStr">
        <is>
          <t>A 58492-2022</t>
        </is>
      </c>
      <c r="B2199" s="1" t="n">
        <v>44902</v>
      </c>
      <c r="C2199" s="1" t="n">
        <v>45224</v>
      </c>
      <c r="D2199" t="inlineStr">
        <is>
          <t>STOCKHOLMS LÄN</t>
        </is>
      </c>
      <c r="E2199" t="inlineStr">
        <is>
          <t>NORRTÄLJE</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58928-2022</t>
        </is>
      </c>
      <c r="B2200" s="1" t="n">
        <v>44903</v>
      </c>
      <c r="C2200" s="1" t="n">
        <v>45224</v>
      </c>
      <c r="D2200" t="inlineStr">
        <is>
          <t>STOCKHOLMS LÄN</t>
        </is>
      </c>
      <c r="E2200" t="inlineStr">
        <is>
          <t>SÖDERTÄLJE</t>
        </is>
      </c>
      <c r="F2200" t="inlineStr">
        <is>
          <t>Kommuner</t>
        </is>
      </c>
      <c r="G2200" t="n">
        <v>9.199999999999999</v>
      </c>
      <c r="H2200" t="n">
        <v>0</v>
      </c>
      <c r="I2200" t="n">
        <v>0</v>
      </c>
      <c r="J2200" t="n">
        <v>0</v>
      </c>
      <c r="K2200" t="n">
        <v>0</v>
      </c>
      <c r="L2200" t="n">
        <v>0</v>
      </c>
      <c r="M2200" t="n">
        <v>0</v>
      </c>
      <c r="N2200" t="n">
        <v>0</v>
      </c>
      <c r="O2200" t="n">
        <v>0</v>
      </c>
      <c r="P2200" t="n">
        <v>0</v>
      </c>
      <c r="Q2200" t="n">
        <v>0</v>
      </c>
      <c r="R2200" s="2" t="inlineStr"/>
    </row>
    <row r="2201" ht="15" customHeight="1">
      <c r="A2201" t="inlineStr">
        <is>
          <t>A 58993-2022</t>
        </is>
      </c>
      <c r="B2201" s="1" t="n">
        <v>44903</v>
      </c>
      <c r="C2201" s="1" t="n">
        <v>45224</v>
      </c>
      <c r="D2201" t="inlineStr">
        <is>
          <t>STOCKHOLMS LÄN</t>
        </is>
      </c>
      <c r="E2201" t="inlineStr">
        <is>
          <t>NORRTÄLJE</t>
        </is>
      </c>
      <c r="G2201" t="n">
        <v>2.3</v>
      </c>
      <c r="H2201" t="n">
        <v>0</v>
      </c>
      <c r="I2201" t="n">
        <v>0</v>
      </c>
      <c r="J2201" t="n">
        <v>0</v>
      </c>
      <c r="K2201" t="n">
        <v>0</v>
      </c>
      <c r="L2201" t="n">
        <v>0</v>
      </c>
      <c r="M2201" t="n">
        <v>0</v>
      </c>
      <c r="N2201" t="n">
        <v>0</v>
      </c>
      <c r="O2201" t="n">
        <v>0</v>
      </c>
      <c r="P2201" t="n">
        <v>0</v>
      </c>
      <c r="Q2201" t="n">
        <v>0</v>
      </c>
      <c r="R2201" s="2" t="inlineStr"/>
    </row>
    <row r="2202" ht="15" customHeight="1">
      <c r="A2202" t="inlineStr">
        <is>
          <t>A 60525-2022</t>
        </is>
      </c>
      <c r="B2202" s="1" t="n">
        <v>44904</v>
      </c>
      <c r="C2202" s="1" t="n">
        <v>45224</v>
      </c>
      <c r="D2202" t="inlineStr">
        <is>
          <t>STOCKHOLMS LÄN</t>
        </is>
      </c>
      <c r="E2202" t="inlineStr">
        <is>
          <t>NORRTÄLJE</t>
        </is>
      </c>
      <c r="G2202" t="n">
        <v>13.4</v>
      </c>
      <c r="H2202" t="n">
        <v>0</v>
      </c>
      <c r="I2202" t="n">
        <v>0</v>
      </c>
      <c r="J2202" t="n">
        <v>0</v>
      </c>
      <c r="K2202" t="n">
        <v>0</v>
      </c>
      <c r="L2202" t="n">
        <v>0</v>
      </c>
      <c r="M2202" t="n">
        <v>0</v>
      </c>
      <c r="N2202" t="n">
        <v>0</v>
      </c>
      <c r="O2202" t="n">
        <v>0</v>
      </c>
      <c r="P2202" t="n">
        <v>0</v>
      </c>
      <c r="Q2202" t="n">
        <v>0</v>
      </c>
      <c r="R2202" s="2" t="inlineStr"/>
    </row>
    <row r="2203" ht="15" customHeight="1">
      <c r="A2203" t="inlineStr">
        <is>
          <t>A 59379-2022</t>
        </is>
      </c>
      <c r="B2203" s="1" t="n">
        <v>44905</v>
      </c>
      <c r="C2203" s="1" t="n">
        <v>45224</v>
      </c>
      <c r="D2203" t="inlineStr">
        <is>
          <t>STOCKHOLMS LÄN</t>
        </is>
      </c>
      <c r="E2203" t="inlineStr">
        <is>
          <t>ÖSTERÅKER</t>
        </is>
      </c>
      <c r="F2203" t="inlineStr">
        <is>
          <t>Kommuner</t>
        </is>
      </c>
      <c r="G2203" t="n">
        <v>4.7</v>
      </c>
      <c r="H2203" t="n">
        <v>0</v>
      </c>
      <c r="I2203" t="n">
        <v>0</v>
      </c>
      <c r="J2203" t="n">
        <v>0</v>
      </c>
      <c r="K2203" t="n">
        <v>0</v>
      </c>
      <c r="L2203" t="n">
        <v>0</v>
      </c>
      <c r="M2203" t="n">
        <v>0</v>
      </c>
      <c r="N2203" t="n">
        <v>0</v>
      </c>
      <c r="O2203" t="n">
        <v>0</v>
      </c>
      <c r="P2203" t="n">
        <v>0</v>
      </c>
      <c r="Q2203" t="n">
        <v>0</v>
      </c>
      <c r="R2203" s="2" t="inlineStr"/>
    </row>
    <row r="2204" ht="15" customHeight="1">
      <c r="A2204" t="inlineStr">
        <is>
          <t>A 59402-2022</t>
        </is>
      </c>
      <c r="B2204" s="1" t="n">
        <v>44906</v>
      </c>
      <c r="C2204" s="1" t="n">
        <v>45224</v>
      </c>
      <c r="D2204" t="inlineStr">
        <is>
          <t>STOCKHOLMS LÄN</t>
        </is>
      </c>
      <c r="E2204" t="inlineStr">
        <is>
          <t>UPPLANDS-BRO</t>
        </is>
      </c>
      <c r="G2204" t="n">
        <v>1.8</v>
      </c>
      <c r="H2204" t="n">
        <v>0</v>
      </c>
      <c r="I2204" t="n">
        <v>0</v>
      </c>
      <c r="J2204" t="n">
        <v>0</v>
      </c>
      <c r="K2204" t="n">
        <v>0</v>
      </c>
      <c r="L2204" t="n">
        <v>0</v>
      </c>
      <c r="M2204" t="n">
        <v>0</v>
      </c>
      <c r="N2204" t="n">
        <v>0</v>
      </c>
      <c r="O2204" t="n">
        <v>0</v>
      </c>
      <c r="P2204" t="n">
        <v>0</v>
      </c>
      <c r="Q2204" t="n">
        <v>0</v>
      </c>
      <c r="R2204" s="2" t="inlineStr"/>
    </row>
    <row r="2205" ht="15" customHeight="1">
      <c r="A2205" t="inlineStr">
        <is>
          <t>A 60977-2022</t>
        </is>
      </c>
      <c r="B2205" s="1" t="n">
        <v>44908</v>
      </c>
      <c r="C2205" s="1" t="n">
        <v>45224</v>
      </c>
      <c r="D2205" t="inlineStr">
        <is>
          <t>STOCKHOLMS LÄN</t>
        </is>
      </c>
      <c r="E2205" t="inlineStr">
        <is>
          <t>NYNÄSHAMN</t>
        </is>
      </c>
      <c r="G2205" t="n">
        <v>3</v>
      </c>
      <c r="H2205" t="n">
        <v>0</v>
      </c>
      <c r="I2205" t="n">
        <v>0</v>
      </c>
      <c r="J2205" t="n">
        <v>0</v>
      </c>
      <c r="K2205" t="n">
        <v>0</v>
      </c>
      <c r="L2205" t="n">
        <v>0</v>
      </c>
      <c r="M2205" t="n">
        <v>0</v>
      </c>
      <c r="N2205" t="n">
        <v>0</v>
      </c>
      <c r="O2205" t="n">
        <v>0</v>
      </c>
      <c r="P2205" t="n">
        <v>0</v>
      </c>
      <c r="Q2205" t="n">
        <v>0</v>
      </c>
      <c r="R2205" s="2" t="inlineStr"/>
    </row>
    <row r="2206" ht="15" customHeight="1">
      <c r="A2206" t="inlineStr">
        <is>
          <t>A 60728-2022</t>
        </is>
      </c>
      <c r="B2206" s="1" t="n">
        <v>44913</v>
      </c>
      <c r="C2206" s="1" t="n">
        <v>45224</v>
      </c>
      <c r="D2206" t="inlineStr">
        <is>
          <t>STOCKHOLMS LÄN</t>
        </is>
      </c>
      <c r="E2206" t="inlineStr">
        <is>
          <t>EKERÖ</t>
        </is>
      </c>
      <c r="G2206" t="n">
        <v>1.2</v>
      </c>
      <c r="H2206" t="n">
        <v>0</v>
      </c>
      <c r="I2206" t="n">
        <v>0</v>
      </c>
      <c r="J2206" t="n">
        <v>0</v>
      </c>
      <c r="K2206" t="n">
        <v>0</v>
      </c>
      <c r="L2206" t="n">
        <v>0</v>
      </c>
      <c r="M2206" t="n">
        <v>0</v>
      </c>
      <c r="N2206" t="n">
        <v>0</v>
      </c>
      <c r="O2206" t="n">
        <v>0</v>
      </c>
      <c r="P2206" t="n">
        <v>0</v>
      </c>
      <c r="Q2206" t="n">
        <v>0</v>
      </c>
      <c r="R2206" s="2" t="inlineStr"/>
    </row>
    <row r="2207" ht="15" customHeight="1">
      <c r="A2207" t="inlineStr">
        <is>
          <t>A 60840-2022</t>
        </is>
      </c>
      <c r="B2207" s="1" t="n">
        <v>44914</v>
      </c>
      <c r="C2207" s="1" t="n">
        <v>45224</v>
      </c>
      <c r="D2207" t="inlineStr">
        <is>
          <t>STOCKHOLMS LÄN</t>
        </is>
      </c>
      <c r="E2207" t="inlineStr">
        <is>
          <t>NORRTÄLJE</t>
        </is>
      </c>
      <c r="G2207" t="n">
        <v>2.8</v>
      </c>
      <c r="H2207" t="n">
        <v>0</v>
      </c>
      <c r="I2207" t="n">
        <v>0</v>
      </c>
      <c r="J2207" t="n">
        <v>0</v>
      </c>
      <c r="K2207" t="n">
        <v>0</v>
      </c>
      <c r="L2207" t="n">
        <v>0</v>
      </c>
      <c r="M2207" t="n">
        <v>0</v>
      </c>
      <c r="N2207" t="n">
        <v>0</v>
      </c>
      <c r="O2207" t="n">
        <v>0</v>
      </c>
      <c r="P2207" t="n">
        <v>0</v>
      </c>
      <c r="Q2207" t="n">
        <v>0</v>
      </c>
      <c r="R2207" s="2" t="inlineStr"/>
    </row>
    <row r="2208" ht="15" customHeight="1">
      <c r="A2208" t="inlineStr">
        <is>
          <t>A 61190-2022</t>
        </is>
      </c>
      <c r="B2208" s="1" t="n">
        <v>44915</v>
      </c>
      <c r="C2208" s="1" t="n">
        <v>45224</v>
      </c>
      <c r="D2208" t="inlineStr">
        <is>
          <t>STOCKHOLMS LÄN</t>
        </is>
      </c>
      <c r="E2208" t="inlineStr">
        <is>
          <t>VALLENTUNA</t>
        </is>
      </c>
      <c r="G2208" t="n">
        <v>2.6</v>
      </c>
      <c r="H2208" t="n">
        <v>0</v>
      </c>
      <c r="I2208" t="n">
        <v>0</v>
      </c>
      <c r="J2208" t="n">
        <v>0</v>
      </c>
      <c r="K2208" t="n">
        <v>0</v>
      </c>
      <c r="L2208" t="n">
        <v>0</v>
      </c>
      <c r="M2208" t="n">
        <v>0</v>
      </c>
      <c r="N2208" t="n">
        <v>0</v>
      </c>
      <c r="O2208" t="n">
        <v>0</v>
      </c>
      <c r="P2208" t="n">
        <v>0</v>
      </c>
      <c r="Q2208" t="n">
        <v>0</v>
      </c>
      <c r="R2208" s="2" t="inlineStr"/>
    </row>
    <row r="2209" ht="15" customHeight="1">
      <c r="A2209" t="inlineStr">
        <is>
          <t>A 61225-2022</t>
        </is>
      </c>
      <c r="B2209" s="1" t="n">
        <v>44915</v>
      </c>
      <c r="C2209" s="1" t="n">
        <v>45224</v>
      </c>
      <c r="D2209" t="inlineStr">
        <is>
          <t>STOCKHOLMS LÄN</t>
        </is>
      </c>
      <c r="E2209" t="inlineStr">
        <is>
          <t>BOTKYRKA</t>
        </is>
      </c>
      <c r="G2209" t="n">
        <v>1.9</v>
      </c>
      <c r="H2209" t="n">
        <v>0</v>
      </c>
      <c r="I2209" t="n">
        <v>0</v>
      </c>
      <c r="J2209" t="n">
        <v>0</v>
      </c>
      <c r="K2209" t="n">
        <v>0</v>
      </c>
      <c r="L2209" t="n">
        <v>0</v>
      </c>
      <c r="M2209" t="n">
        <v>0</v>
      </c>
      <c r="N2209" t="n">
        <v>0</v>
      </c>
      <c r="O2209" t="n">
        <v>0</v>
      </c>
      <c r="P2209" t="n">
        <v>0</v>
      </c>
      <c r="Q2209" t="n">
        <v>0</v>
      </c>
      <c r="R2209" s="2" t="inlineStr"/>
    </row>
    <row r="2210" ht="15" customHeight="1">
      <c r="A2210" t="inlineStr">
        <is>
          <t>A 61370-2022</t>
        </is>
      </c>
      <c r="B2210" s="1" t="n">
        <v>44915</v>
      </c>
      <c r="C2210" s="1" t="n">
        <v>45224</v>
      </c>
      <c r="D2210" t="inlineStr">
        <is>
          <t>STOCKHOLMS LÄN</t>
        </is>
      </c>
      <c r="E2210" t="inlineStr">
        <is>
          <t>ÖSTERÅKER</t>
        </is>
      </c>
      <c r="G2210" t="n">
        <v>3.2</v>
      </c>
      <c r="H2210" t="n">
        <v>0</v>
      </c>
      <c r="I2210" t="n">
        <v>0</v>
      </c>
      <c r="J2210" t="n">
        <v>0</v>
      </c>
      <c r="K2210" t="n">
        <v>0</v>
      </c>
      <c r="L2210" t="n">
        <v>0</v>
      </c>
      <c r="M2210" t="n">
        <v>0</v>
      </c>
      <c r="N2210" t="n">
        <v>0</v>
      </c>
      <c r="O2210" t="n">
        <v>0</v>
      </c>
      <c r="P2210" t="n">
        <v>0</v>
      </c>
      <c r="Q2210" t="n">
        <v>0</v>
      </c>
      <c r="R2210" s="2" t="inlineStr"/>
    </row>
    <row r="2211" ht="15" customHeight="1">
      <c r="A2211" t="inlineStr">
        <is>
          <t>A 61389-2022</t>
        </is>
      </c>
      <c r="B2211" s="1" t="n">
        <v>44915</v>
      </c>
      <c r="C2211" s="1" t="n">
        <v>45224</v>
      </c>
      <c r="D2211" t="inlineStr">
        <is>
          <t>STOCKHOLMS LÄN</t>
        </is>
      </c>
      <c r="E2211" t="inlineStr">
        <is>
          <t>ÖSTERÅKER</t>
        </is>
      </c>
      <c r="G2211" t="n">
        <v>1.1</v>
      </c>
      <c r="H2211" t="n">
        <v>0</v>
      </c>
      <c r="I2211" t="n">
        <v>0</v>
      </c>
      <c r="J2211" t="n">
        <v>0</v>
      </c>
      <c r="K2211" t="n">
        <v>0</v>
      </c>
      <c r="L2211" t="n">
        <v>0</v>
      </c>
      <c r="M2211" t="n">
        <v>0</v>
      </c>
      <c r="N2211" t="n">
        <v>0</v>
      </c>
      <c r="O2211" t="n">
        <v>0</v>
      </c>
      <c r="P2211" t="n">
        <v>0</v>
      </c>
      <c r="Q2211" t="n">
        <v>0</v>
      </c>
      <c r="R2211" s="2" t="inlineStr"/>
    </row>
    <row r="2212" ht="15" customHeight="1">
      <c r="A2212" t="inlineStr">
        <is>
          <t>A 61305-2022</t>
        </is>
      </c>
      <c r="B2212" s="1" t="n">
        <v>44915</v>
      </c>
      <c r="C2212" s="1" t="n">
        <v>45224</v>
      </c>
      <c r="D2212" t="inlineStr">
        <is>
          <t>STOCKHOLMS LÄN</t>
        </is>
      </c>
      <c r="E2212" t="inlineStr">
        <is>
          <t>SALEM</t>
        </is>
      </c>
      <c r="F2212" t="inlineStr">
        <is>
          <t>Kommuner</t>
        </is>
      </c>
      <c r="G2212" t="n">
        <v>3</v>
      </c>
      <c r="H2212" t="n">
        <v>0</v>
      </c>
      <c r="I2212" t="n">
        <v>0</v>
      </c>
      <c r="J2212" t="n">
        <v>0</v>
      </c>
      <c r="K2212" t="n">
        <v>0</v>
      </c>
      <c r="L2212" t="n">
        <v>0</v>
      </c>
      <c r="M2212" t="n">
        <v>0</v>
      </c>
      <c r="N2212" t="n">
        <v>0</v>
      </c>
      <c r="O2212" t="n">
        <v>0</v>
      </c>
      <c r="P2212" t="n">
        <v>0</v>
      </c>
      <c r="Q2212" t="n">
        <v>0</v>
      </c>
      <c r="R2212" s="2" t="inlineStr"/>
    </row>
    <row r="2213" ht="15" customHeight="1">
      <c r="A2213" t="inlineStr">
        <is>
          <t>A 61323-2022</t>
        </is>
      </c>
      <c r="B2213" s="1" t="n">
        <v>44915</v>
      </c>
      <c r="C2213" s="1" t="n">
        <v>45224</v>
      </c>
      <c r="D2213" t="inlineStr">
        <is>
          <t>STOCKHOLMS LÄN</t>
        </is>
      </c>
      <c r="E2213" t="inlineStr">
        <is>
          <t>ÖSTERÅKER</t>
        </is>
      </c>
      <c r="G2213" t="n">
        <v>2.7</v>
      </c>
      <c r="H2213" t="n">
        <v>0</v>
      </c>
      <c r="I2213" t="n">
        <v>0</v>
      </c>
      <c r="J2213" t="n">
        <v>0</v>
      </c>
      <c r="K2213" t="n">
        <v>0</v>
      </c>
      <c r="L2213" t="n">
        <v>0</v>
      </c>
      <c r="M2213" t="n">
        <v>0</v>
      </c>
      <c r="N2213" t="n">
        <v>0</v>
      </c>
      <c r="O2213" t="n">
        <v>0</v>
      </c>
      <c r="P2213" t="n">
        <v>0</v>
      </c>
      <c r="Q2213" t="n">
        <v>0</v>
      </c>
      <c r="R2213" s="2" t="inlineStr"/>
    </row>
    <row r="2214" ht="15" customHeight="1">
      <c r="A2214" t="inlineStr">
        <is>
          <t>A 61357-2022</t>
        </is>
      </c>
      <c r="B2214" s="1" t="n">
        <v>44915</v>
      </c>
      <c r="C2214" s="1" t="n">
        <v>45224</v>
      </c>
      <c r="D2214" t="inlineStr">
        <is>
          <t>STOCKHOLMS LÄN</t>
        </is>
      </c>
      <c r="E2214" t="inlineStr">
        <is>
          <t>ÖSTERÅKER</t>
        </is>
      </c>
      <c r="G2214" t="n">
        <v>3.5</v>
      </c>
      <c r="H2214" t="n">
        <v>0</v>
      </c>
      <c r="I2214" t="n">
        <v>0</v>
      </c>
      <c r="J2214" t="n">
        <v>0</v>
      </c>
      <c r="K2214" t="n">
        <v>0</v>
      </c>
      <c r="L2214" t="n">
        <v>0</v>
      </c>
      <c r="M2214" t="n">
        <v>0</v>
      </c>
      <c r="N2214" t="n">
        <v>0</v>
      </c>
      <c r="O2214" t="n">
        <v>0</v>
      </c>
      <c r="P2214" t="n">
        <v>0</v>
      </c>
      <c r="Q2214" t="n">
        <v>0</v>
      </c>
      <c r="R2214" s="2" t="inlineStr"/>
    </row>
    <row r="2215" ht="15" customHeight="1">
      <c r="A2215" t="inlineStr">
        <is>
          <t>A 61242-2022</t>
        </is>
      </c>
      <c r="B2215" s="1" t="n">
        <v>44915</v>
      </c>
      <c r="C2215" s="1" t="n">
        <v>45224</v>
      </c>
      <c r="D2215" t="inlineStr">
        <is>
          <t>STOCKHOLMS LÄN</t>
        </is>
      </c>
      <c r="E2215" t="inlineStr">
        <is>
          <t>BOTKYRKA</t>
        </is>
      </c>
      <c r="G2215" t="n">
        <v>2.8</v>
      </c>
      <c r="H2215" t="n">
        <v>0</v>
      </c>
      <c r="I2215" t="n">
        <v>0</v>
      </c>
      <c r="J2215" t="n">
        <v>0</v>
      </c>
      <c r="K2215" t="n">
        <v>0</v>
      </c>
      <c r="L2215" t="n">
        <v>0</v>
      </c>
      <c r="M2215" t="n">
        <v>0</v>
      </c>
      <c r="N2215" t="n">
        <v>0</v>
      </c>
      <c r="O2215" t="n">
        <v>0</v>
      </c>
      <c r="P2215" t="n">
        <v>0</v>
      </c>
      <c r="Q2215" t="n">
        <v>0</v>
      </c>
      <c r="R2215" s="2" t="inlineStr"/>
    </row>
    <row r="2216" ht="15" customHeight="1">
      <c r="A2216" t="inlineStr">
        <is>
          <t>A 61310-2022</t>
        </is>
      </c>
      <c r="B2216" s="1" t="n">
        <v>44915</v>
      </c>
      <c r="C2216" s="1" t="n">
        <v>45224</v>
      </c>
      <c r="D2216" t="inlineStr">
        <is>
          <t>STOCKHOLMS LÄN</t>
        </is>
      </c>
      <c r="E2216" t="inlineStr">
        <is>
          <t>ÖSTERÅKER</t>
        </is>
      </c>
      <c r="G2216" t="n">
        <v>10.5</v>
      </c>
      <c r="H2216" t="n">
        <v>0</v>
      </c>
      <c r="I2216" t="n">
        <v>0</v>
      </c>
      <c r="J2216" t="n">
        <v>0</v>
      </c>
      <c r="K2216" t="n">
        <v>0</v>
      </c>
      <c r="L2216" t="n">
        <v>0</v>
      </c>
      <c r="M2216" t="n">
        <v>0</v>
      </c>
      <c r="N2216" t="n">
        <v>0</v>
      </c>
      <c r="O2216" t="n">
        <v>0</v>
      </c>
      <c r="P2216" t="n">
        <v>0</v>
      </c>
      <c r="Q2216" t="n">
        <v>0</v>
      </c>
      <c r="R2216" s="2" t="inlineStr"/>
    </row>
    <row r="2217" ht="15" customHeight="1">
      <c r="A2217" t="inlineStr">
        <is>
          <t>A 61336-2022</t>
        </is>
      </c>
      <c r="B2217" s="1" t="n">
        <v>44915</v>
      </c>
      <c r="C2217" s="1" t="n">
        <v>45224</v>
      </c>
      <c r="D2217" t="inlineStr">
        <is>
          <t>STOCKHOLMS LÄN</t>
        </is>
      </c>
      <c r="E2217" t="inlineStr">
        <is>
          <t>SALEM</t>
        </is>
      </c>
      <c r="F2217" t="inlineStr">
        <is>
          <t>Kommuner</t>
        </is>
      </c>
      <c r="G2217" t="n">
        <v>5.6</v>
      </c>
      <c r="H2217" t="n">
        <v>0</v>
      </c>
      <c r="I2217" t="n">
        <v>0</v>
      </c>
      <c r="J2217" t="n">
        <v>0</v>
      </c>
      <c r="K2217" t="n">
        <v>0</v>
      </c>
      <c r="L2217" t="n">
        <v>0</v>
      </c>
      <c r="M2217" t="n">
        <v>0</v>
      </c>
      <c r="N2217" t="n">
        <v>0</v>
      </c>
      <c r="O2217" t="n">
        <v>0</v>
      </c>
      <c r="P2217" t="n">
        <v>0</v>
      </c>
      <c r="Q2217" t="n">
        <v>0</v>
      </c>
      <c r="R2217" s="2" t="inlineStr"/>
    </row>
    <row r="2218" ht="15" customHeight="1">
      <c r="A2218" t="inlineStr">
        <is>
          <t>A 61360-2022</t>
        </is>
      </c>
      <c r="B2218" s="1" t="n">
        <v>44915</v>
      </c>
      <c r="C2218" s="1" t="n">
        <v>45224</v>
      </c>
      <c r="D2218" t="inlineStr">
        <is>
          <t>STOCKHOLMS LÄN</t>
        </is>
      </c>
      <c r="E2218" t="inlineStr">
        <is>
          <t>ÖSTERÅKER</t>
        </is>
      </c>
      <c r="G2218" t="n">
        <v>2.3</v>
      </c>
      <c r="H2218" t="n">
        <v>0</v>
      </c>
      <c r="I2218" t="n">
        <v>0</v>
      </c>
      <c r="J2218" t="n">
        <v>0</v>
      </c>
      <c r="K2218" t="n">
        <v>0</v>
      </c>
      <c r="L2218" t="n">
        <v>0</v>
      </c>
      <c r="M2218" t="n">
        <v>0</v>
      </c>
      <c r="N2218" t="n">
        <v>0</v>
      </c>
      <c r="O2218" t="n">
        <v>0</v>
      </c>
      <c r="P2218" t="n">
        <v>0</v>
      </c>
      <c r="Q2218" t="n">
        <v>0</v>
      </c>
      <c r="R2218" s="2" t="inlineStr"/>
    </row>
    <row r="2219" ht="15" customHeight="1">
      <c r="A2219" t="inlineStr">
        <is>
          <t>A 61372-2022</t>
        </is>
      </c>
      <c r="B2219" s="1" t="n">
        <v>44915</v>
      </c>
      <c r="C2219" s="1" t="n">
        <v>45224</v>
      </c>
      <c r="D2219" t="inlineStr">
        <is>
          <t>STOCKHOLMS LÄN</t>
        </is>
      </c>
      <c r="E2219" t="inlineStr">
        <is>
          <t>ÖSTERÅKER</t>
        </is>
      </c>
      <c r="G2219" t="n">
        <v>4.3</v>
      </c>
      <c r="H2219" t="n">
        <v>0</v>
      </c>
      <c r="I2219" t="n">
        <v>0</v>
      </c>
      <c r="J2219" t="n">
        <v>0</v>
      </c>
      <c r="K2219" t="n">
        <v>0</v>
      </c>
      <c r="L2219" t="n">
        <v>0</v>
      </c>
      <c r="M2219" t="n">
        <v>0</v>
      </c>
      <c r="N2219" t="n">
        <v>0</v>
      </c>
      <c r="O2219" t="n">
        <v>0</v>
      </c>
      <c r="P2219" t="n">
        <v>0</v>
      </c>
      <c r="Q2219" t="n">
        <v>0</v>
      </c>
      <c r="R2219" s="2" t="inlineStr"/>
    </row>
    <row r="2220" ht="15" customHeight="1">
      <c r="A2220" t="inlineStr">
        <is>
          <t>A 61514-2022</t>
        </is>
      </c>
      <c r="B2220" s="1" t="n">
        <v>44916</v>
      </c>
      <c r="C2220" s="1" t="n">
        <v>45224</v>
      </c>
      <c r="D2220" t="inlineStr">
        <is>
          <t>STOCKHOLMS LÄN</t>
        </is>
      </c>
      <c r="E2220" t="inlineStr">
        <is>
          <t>BOTKYRKA</t>
        </is>
      </c>
      <c r="G2220" t="n">
        <v>1.3</v>
      </c>
      <c r="H2220" t="n">
        <v>0</v>
      </c>
      <c r="I2220" t="n">
        <v>0</v>
      </c>
      <c r="J2220" t="n">
        <v>0</v>
      </c>
      <c r="K2220" t="n">
        <v>0</v>
      </c>
      <c r="L2220" t="n">
        <v>0</v>
      </c>
      <c r="M2220" t="n">
        <v>0</v>
      </c>
      <c r="N2220" t="n">
        <v>0</v>
      </c>
      <c r="O2220" t="n">
        <v>0</v>
      </c>
      <c r="P2220" t="n">
        <v>0</v>
      </c>
      <c r="Q2220" t="n">
        <v>0</v>
      </c>
      <c r="R2220" s="2" t="inlineStr"/>
    </row>
    <row r="2221" ht="15" customHeight="1">
      <c r="A2221" t="inlineStr">
        <is>
          <t>A 61513-2022</t>
        </is>
      </c>
      <c r="B2221" s="1" t="n">
        <v>44916</v>
      </c>
      <c r="C2221" s="1" t="n">
        <v>45224</v>
      </c>
      <c r="D2221" t="inlineStr">
        <is>
          <t>STOCKHOLMS LÄN</t>
        </is>
      </c>
      <c r="E2221" t="inlineStr">
        <is>
          <t>BOTKYRKA</t>
        </is>
      </c>
      <c r="G2221" t="n">
        <v>2.3</v>
      </c>
      <c r="H2221" t="n">
        <v>0</v>
      </c>
      <c r="I2221" t="n">
        <v>0</v>
      </c>
      <c r="J2221" t="n">
        <v>0</v>
      </c>
      <c r="K2221" t="n">
        <v>0</v>
      </c>
      <c r="L2221" t="n">
        <v>0</v>
      </c>
      <c r="M2221" t="n">
        <v>0</v>
      </c>
      <c r="N2221" t="n">
        <v>0</v>
      </c>
      <c r="O2221" t="n">
        <v>0</v>
      </c>
      <c r="P2221" t="n">
        <v>0</v>
      </c>
      <c r="Q2221" t="n">
        <v>0</v>
      </c>
      <c r="R2221" s="2" t="inlineStr"/>
    </row>
    <row r="2222" ht="15" customHeight="1">
      <c r="A2222" t="inlineStr">
        <is>
          <t>A 61516-2022</t>
        </is>
      </c>
      <c r="B2222" s="1" t="n">
        <v>44916</v>
      </c>
      <c r="C2222" s="1" t="n">
        <v>45224</v>
      </c>
      <c r="D2222" t="inlineStr">
        <is>
          <t>STOCKHOLMS LÄN</t>
        </is>
      </c>
      <c r="E2222" t="inlineStr">
        <is>
          <t>BOTKYRKA</t>
        </is>
      </c>
      <c r="G2222" t="n">
        <v>3.3</v>
      </c>
      <c r="H2222" t="n">
        <v>0</v>
      </c>
      <c r="I2222" t="n">
        <v>0</v>
      </c>
      <c r="J2222" t="n">
        <v>0</v>
      </c>
      <c r="K2222" t="n">
        <v>0</v>
      </c>
      <c r="L2222" t="n">
        <v>0</v>
      </c>
      <c r="M2222" t="n">
        <v>0</v>
      </c>
      <c r="N2222" t="n">
        <v>0</v>
      </c>
      <c r="O2222" t="n">
        <v>0</v>
      </c>
      <c r="P2222" t="n">
        <v>0</v>
      </c>
      <c r="Q2222" t="n">
        <v>0</v>
      </c>
      <c r="R2222" s="2" t="inlineStr"/>
    </row>
    <row r="2223" ht="15" customHeight="1">
      <c r="A2223" t="inlineStr">
        <is>
          <t>A 61742-2022</t>
        </is>
      </c>
      <c r="B2223" s="1" t="n">
        <v>44917</v>
      </c>
      <c r="C2223" s="1" t="n">
        <v>45224</v>
      </c>
      <c r="D2223" t="inlineStr">
        <is>
          <t>STOCKHOLMS LÄN</t>
        </is>
      </c>
      <c r="E2223" t="inlineStr">
        <is>
          <t>VALLENTUNA</t>
        </is>
      </c>
      <c r="G2223" t="n">
        <v>0.5</v>
      </c>
      <c r="H2223" t="n">
        <v>0</v>
      </c>
      <c r="I2223" t="n">
        <v>0</v>
      </c>
      <c r="J2223" t="n">
        <v>0</v>
      </c>
      <c r="K2223" t="n">
        <v>0</v>
      </c>
      <c r="L2223" t="n">
        <v>0</v>
      </c>
      <c r="M2223" t="n">
        <v>0</v>
      </c>
      <c r="N2223" t="n">
        <v>0</v>
      </c>
      <c r="O2223" t="n">
        <v>0</v>
      </c>
      <c r="P2223" t="n">
        <v>0</v>
      </c>
      <c r="Q2223" t="n">
        <v>0</v>
      </c>
      <c r="R2223" s="2" t="inlineStr"/>
    </row>
    <row r="2224" ht="15" customHeight="1">
      <c r="A2224" t="inlineStr">
        <is>
          <t>A 61710-2022</t>
        </is>
      </c>
      <c r="B2224" s="1" t="n">
        <v>44917</v>
      </c>
      <c r="C2224" s="1" t="n">
        <v>45224</v>
      </c>
      <c r="D2224" t="inlineStr">
        <is>
          <t>STOCKHOLMS LÄN</t>
        </is>
      </c>
      <c r="E2224" t="inlineStr">
        <is>
          <t>ÖSTERÅKER</t>
        </is>
      </c>
      <c r="G2224" t="n">
        <v>6.2</v>
      </c>
      <c r="H2224" t="n">
        <v>0</v>
      </c>
      <c r="I2224" t="n">
        <v>0</v>
      </c>
      <c r="J2224" t="n">
        <v>0</v>
      </c>
      <c r="K2224" t="n">
        <v>0</v>
      </c>
      <c r="L2224" t="n">
        <v>0</v>
      </c>
      <c r="M2224" t="n">
        <v>0</v>
      </c>
      <c r="N2224" t="n">
        <v>0</v>
      </c>
      <c r="O2224" t="n">
        <v>0</v>
      </c>
      <c r="P2224" t="n">
        <v>0</v>
      </c>
      <c r="Q2224" t="n">
        <v>0</v>
      </c>
      <c r="R2224" s="2" t="inlineStr"/>
    </row>
    <row r="2225" ht="15" customHeight="1">
      <c r="A2225" t="inlineStr">
        <is>
          <t>A 61746-2022</t>
        </is>
      </c>
      <c r="B2225" s="1" t="n">
        <v>44917</v>
      </c>
      <c r="C2225" s="1" t="n">
        <v>45224</v>
      </c>
      <c r="D2225" t="inlineStr">
        <is>
          <t>STOCKHOLMS LÄN</t>
        </is>
      </c>
      <c r="E2225" t="inlineStr">
        <is>
          <t>ÖSTERÅKER</t>
        </is>
      </c>
      <c r="G2225" t="n">
        <v>0.4</v>
      </c>
      <c r="H2225" t="n">
        <v>0</v>
      </c>
      <c r="I2225" t="n">
        <v>0</v>
      </c>
      <c r="J2225" t="n">
        <v>0</v>
      </c>
      <c r="K2225" t="n">
        <v>0</v>
      </c>
      <c r="L2225" t="n">
        <v>0</v>
      </c>
      <c r="M2225" t="n">
        <v>0</v>
      </c>
      <c r="N2225" t="n">
        <v>0</v>
      </c>
      <c r="O2225" t="n">
        <v>0</v>
      </c>
      <c r="P2225" t="n">
        <v>0</v>
      </c>
      <c r="Q2225" t="n">
        <v>0</v>
      </c>
      <c r="R2225" s="2" t="inlineStr"/>
    </row>
    <row r="2226" ht="15" customHeight="1">
      <c r="A2226" t="inlineStr">
        <is>
          <t>A 62634-2022</t>
        </is>
      </c>
      <c r="B2226" s="1" t="n">
        <v>44917</v>
      </c>
      <c r="C2226" s="1" t="n">
        <v>45224</v>
      </c>
      <c r="D2226" t="inlineStr">
        <is>
          <t>STOCKHOLMS LÄN</t>
        </is>
      </c>
      <c r="E2226" t="inlineStr">
        <is>
          <t>NYNÄSHAMN</t>
        </is>
      </c>
      <c r="G2226" t="n">
        <v>15.8</v>
      </c>
      <c r="H2226" t="n">
        <v>0</v>
      </c>
      <c r="I2226" t="n">
        <v>0</v>
      </c>
      <c r="J2226" t="n">
        <v>0</v>
      </c>
      <c r="K2226" t="n">
        <v>0</v>
      </c>
      <c r="L2226" t="n">
        <v>0</v>
      </c>
      <c r="M2226" t="n">
        <v>0</v>
      </c>
      <c r="N2226" t="n">
        <v>0</v>
      </c>
      <c r="O2226" t="n">
        <v>0</v>
      </c>
      <c r="P2226" t="n">
        <v>0</v>
      </c>
      <c r="Q2226" t="n">
        <v>0</v>
      </c>
      <c r="R2226" s="2" t="inlineStr"/>
    </row>
    <row r="2227" ht="15" customHeight="1">
      <c r="A2227" t="inlineStr">
        <is>
          <t>A 114-2023</t>
        </is>
      </c>
      <c r="B2227" s="1" t="n">
        <v>44918</v>
      </c>
      <c r="C2227" s="1" t="n">
        <v>45224</v>
      </c>
      <c r="D2227" t="inlineStr">
        <is>
          <t>STOCKHOLMS LÄN</t>
        </is>
      </c>
      <c r="E2227" t="inlineStr">
        <is>
          <t>VÄRMDÖ</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62108-2022</t>
        </is>
      </c>
      <c r="B2228" s="1" t="n">
        <v>44920</v>
      </c>
      <c r="C2228" s="1" t="n">
        <v>45224</v>
      </c>
      <c r="D2228" t="inlineStr">
        <is>
          <t>STOCKHOLMS LÄN</t>
        </is>
      </c>
      <c r="E2228" t="inlineStr">
        <is>
          <t>ÖSTERÅKER</t>
        </is>
      </c>
      <c r="G2228" t="n">
        <v>1.5</v>
      </c>
      <c r="H2228" t="n">
        <v>0</v>
      </c>
      <c r="I2228" t="n">
        <v>0</v>
      </c>
      <c r="J2228" t="n">
        <v>0</v>
      </c>
      <c r="K2228" t="n">
        <v>0</v>
      </c>
      <c r="L2228" t="n">
        <v>0</v>
      </c>
      <c r="M2228" t="n">
        <v>0</v>
      </c>
      <c r="N2228" t="n">
        <v>0</v>
      </c>
      <c r="O2228" t="n">
        <v>0</v>
      </c>
      <c r="P2228" t="n">
        <v>0</v>
      </c>
      <c r="Q2228" t="n">
        <v>0</v>
      </c>
      <c r="R2228" s="2" t="inlineStr"/>
    </row>
    <row r="2229" ht="15" customHeight="1">
      <c r="A2229" t="inlineStr">
        <is>
          <t>A 62206-2022</t>
        </is>
      </c>
      <c r="B2229" s="1" t="n">
        <v>44922</v>
      </c>
      <c r="C2229" s="1" t="n">
        <v>45224</v>
      </c>
      <c r="D2229" t="inlineStr">
        <is>
          <t>STOCKHOLMS LÄN</t>
        </is>
      </c>
      <c r="E2229" t="inlineStr">
        <is>
          <t>NORRTÄLJE</t>
        </is>
      </c>
      <c r="G2229" t="n">
        <v>2.9</v>
      </c>
      <c r="H2229" t="n">
        <v>0</v>
      </c>
      <c r="I2229" t="n">
        <v>0</v>
      </c>
      <c r="J2229" t="n">
        <v>0</v>
      </c>
      <c r="K2229" t="n">
        <v>0</v>
      </c>
      <c r="L2229" t="n">
        <v>0</v>
      </c>
      <c r="M2229" t="n">
        <v>0</v>
      </c>
      <c r="N2229" t="n">
        <v>0</v>
      </c>
      <c r="O2229" t="n">
        <v>0</v>
      </c>
      <c r="P2229" t="n">
        <v>0</v>
      </c>
      <c r="Q2229" t="n">
        <v>0</v>
      </c>
      <c r="R2229" s="2" t="inlineStr"/>
    </row>
    <row r="2230" ht="15" customHeight="1">
      <c r="A2230" t="inlineStr">
        <is>
          <t>A 62402-2022</t>
        </is>
      </c>
      <c r="B2230" s="1" t="n">
        <v>44923</v>
      </c>
      <c r="C2230" s="1" t="n">
        <v>45224</v>
      </c>
      <c r="D2230" t="inlineStr">
        <is>
          <t>STOCKHOLMS LÄN</t>
        </is>
      </c>
      <c r="E2230" t="inlineStr">
        <is>
          <t>VALLENTUNA</t>
        </is>
      </c>
      <c r="G2230" t="n">
        <v>3.8</v>
      </c>
      <c r="H2230" t="n">
        <v>0</v>
      </c>
      <c r="I2230" t="n">
        <v>0</v>
      </c>
      <c r="J2230" t="n">
        <v>0</v>
      </c>
      <c r="K2230" t="n">
        <v>0</v>
      </c>
      <c r="L2230" t="n">
        <v>0</v>
      </c>
      <c r="M2230" t="n">
        <v>0</v>
      </c>
      <c r="N2230" t="n">
        <v>0</v>
      </c>
      <c r="O2230" t="n">
        <v>0</v>
      </c>
      <c r="P2230" t="n">
        <v>0</v>
      </c>
      <c r="Q2230" t="n">
        <v>0</v>
      </c>
      <c r="R2230" s="2" t="inlineStr"/>
    </row>
    <row r="2231" ht="15" customHeight="1">
      <c r="A2231" t="inlineStr">
        <is>
          <t>A 544-2023</t>
        </is>
      </c>
      <c r="B2231" s="1" t="n">
        <v>44924</v>
      </c>
      <c r="C2231" s="1" t="n">
        <v>45224</v>
      </c>
      <c r="D2231" t="inlineStr">
        <is>
          <t>STOCKHOLMS LÄN</t>
        </is>
      </c>
      <c r="E2231" t="inlineStr">
        <is>
          <t>ÖSTERÅKER</t>
        </is>
      </c>
      <c r="F2231" t="inlineStr">
        <is>
          <t>Övriga Aktiebolag</t>
        </is>
      </c>
      <c r="G2231" t="n">
        <v>0.9</v>
      </c>
      <c r="H2231" t="n">
        <v>0</v>
      </c>
      <c r="I2231" t="n">
        <v>0</v>
      </c>
      <c r="J2231" t="n">
        <v>0</v>
      </c>
      <c r="K2231" t="n">
        <v>0</v>
      </c>
      <c r="L2231" t="n">
        <v>0</v>
      </c>
      <c r="M2231" t="n">
        <v>0</v>
      </c>
      <c r="N2231" t="n">
        <v>0</v>
      </c>
      <c r="O2231" t="n">
        <v>0</v>
      </c>
      <c r="P2231" t="n">
        <v>0</v>
      </c>
      <c r="Q2231" t="n">
        <v>0</v>
      </c>
      <c r="R2231" s="2" t="inlineStr"/>
    </row>
    <row r="2232" ht="15" customHeight="1">
      <c r="A2232" t="inlineStr">
        <is>
          <t>A 574-2023</t>
        </is>
      </c>
      <c r="B2232" s="1" t="n">
        <v>44925</v>
      </c>
      <c r="C2232" s="1" t="n">
        <v>45224</v>
      </c>
      <c r="D2232" t="inlineStr">
        <is>
          <t>STOCKHOLMS LÄN</t>
        </is>
      </c>
      <c r="E2232" t="inlineStr">
        <is>
          <t>NORRTÄLJE</t>
        </is>
      </c>
      <c r="G2232" t="n">
        <v>5</v>
      </c>
      <c r="H2232" t="n">
        <v>0</v>
      </c>
      <c r="I2232" t="n">
        <v>0</v>
      </c>
      <c r="J2232" t="n">
        <v>0</v>
      </c>
      <c r="K2232" t="n">
        <v>0</v>
      </c>
      <c r="L2232" t="n">
        <v>0</v>
      </c>
      <c r="M2232" t="n">
        <v>0</v>
      </c>
      <c r="N2232" t="n">
        <v>0</v>
      </c>
      <c r="O2232" t="n">
        <v>0</v>
      </c>
      <c r="P2232" t="n">
        <v>0</v>
      </c>
      <c r="Q2232" t="n">
        <v>0</v>
      </c>
      <c r="R2232" s="2" t="inlineStr"/>
    </row>
    <row r="2233" ht="15" customHeight="1">
      <c r="A2233" t="inlineStr">
        <is>
          <t>A 576-2023</t>
        </is>
      </c>
      <c r="B2233" s="1" t="n">
        <v>44925</v>
      </c>
      <c r="C2233" s="1" t="n">
        <v>45224</v>
      </c>
      <c r="D2233" t="inlineStr">
        <is>
          <t>STOCKHOLMS LÄN</t>
        </is>
      </c>
      <c r="E2233" t="inlineStr">
        <is>
          <t>NORRTÄLJE</t>
        </is>
      </c>
      <c r="G2233" t="n">
        <v>7.2</v>
      </c>
      <c r="H2233" t="n">
        <v>0</v>
      </c>
      <c r="I2233" t="n">
        <v>0</v>
      </c>
      <c r="J2233" t="n">
        <v>0</v>
      </c>
      <c r="K2233" t="n">
        <v>0</v>
      </c>
      <c r="L2233" t="n">
        <v>0</v>
      </c>
      <c r="M2233" t="n">
        <v>0</v>
      </c>
      <c r="N2233" t="n">
        <v>0</v>
      </c>
      <c r="O2233" t="n">
        <v>0</v>
      </c>
      <c r="P2233" t="n">
        <v>0</v>
      </c>
      <c r="Q2233" t="n">
        <v>0</v>
      </c>
      <c r="R2233" s="2" t="inlineStr"/>
    </row>
    <row r="2234" ht="15" customHeight="1">
      <c r="A2234" t="inlineStr">
        <is>
          <t>A 504-2023</t>
        </is>
      </c>
      <c r="B2234" s="1" t="n">
        <v>44930</v>
      </c>
      <c r="C2234" s="1" t="n">
        <v>45224</v>
      </c>
      <c r="D2234" t="inlineStr">
        <is>
          <t>STOCKHOLMS LÄN</t>
        </is>
      </c>
      <c r="E2234" t="inlineStr">
        <is>
          <t>SALEM</t>
        </is>
      </c>
      <c r="F2234" t="inlineStr">
        <is>
          <t>Kommuner</t>
        </is>
      </c>
      <c r="G2234" t="n">
        <v>2</v>
      </c>
      <c r="H2234" t="n">
        <v>0</v>
      </c>
      <c r="I2234" t="n">
        <v>0</v>
      </c>
      <c r="J2234" t="n">
        <v>0</v>
      </c>
      <c r="K2234" t="n">
        <v>0</v>
      </c>
      <c r="L2234" t="n">
        <v>0</v>
      </c>
      <c r="M2234" t="n">
        <v>0</v>
      </c>
      <c r="N2234" t="n">
        <v>0</v>
      </c>
      <c r="O2234" t="n">
        <v>0</v>
      </c>
      <c r="P2234" t="n">
        <v>0</v>
      </c>
      <c r="Q2234" t="n">
        <v>0</v>
      </c>
      <c r="R2234" s="2" t="inlineStr"/>
    </row>
    <row r="2235" ht="15" customHeight="1">
      <c r="A2235" t="inlineStr">
        <is>
          <t>A 695-2023</t>
        </is>
      </c>
      <c r="B2235" s="1" t="n">
        <v>44930</v>
      </c>
      <c r="C2235" s="1" t="n">
        <v>45224</v>
      </c>
      <c r="D2235" t="inlineStr">
        <is>
          <t>STOCKHOLMS LÄN</t>
        </is>
      </c>
      <c r="E2235" t="inlineStr">
        <is>
          <t>BOTKYRKA</t>
        </is>
      </c>
      <c r="G2235" t="n">
        <v>13.6</v>
      </c>
      <c r="H2235" t="n">
        <v>0</v>
      </c>
      <c r="I2235" t="n">
        <v>0</v>
      </c>
      <c r="J2235" t="n">
        <v>0</v>
      </c>
      <c r="K2235" t="n">
        <v>0</v>
      </c>
      <c r="L2235" t="n">
        <v>0</v>
      </c>
      <c r="M2235" t="n">
        <v>0</v>
      </c>
      <c r="N2235" t="n">
        <v>0</v>
      </c>
      <c r="O2235" t="n">
        <v>0</v>
      </c>
      <c r="P2235" t="n">
        <v>0</v>
      </c>
      <c r="Q2235" t="n">
        <v>0</v>
      </c>
      <c r="R2235" s="2" t="inlineStr"/>
    </row>
    <row r="2236" ht="15" customHeight="1">
      <c r="A2236" t="inlineStr">
        <is>
          <t>A 873-2023</t>
        </is>
      </c>
      <c r="B2236" s="1" t="n">
        <v>44931</v>
      </c>
      <c r="C2236" s="1" t="n">
        <v>45224</v>
      </c>
      <c r="D2236" t="inlineStr">
        <is>
          <t>STOCKHOLMS LÄN</t>
        </is>
      </c>
      <c r="E2236" t="inlineStr">
        <is>
          <t>NORRTÄLJE</t>
        </is>
      </c>
      <c r="G2236" t="n">
        <v>2.3</v>
      </c>
      <c r="H2236" t="n">
        <v>0</v>
      </c>
      <c r="I2236" t="n">
        <v>0</v>
      </c>
      <c r="J2236" t="n">
        <v>0</v>
      </c>
      <c r="K2236" t="n">
        <v>0</v>
      </c>
      <c r="L2236" t="n">
        <v>0</v>
      </c>
      <c r="M2236" t="n">
        <v>0</v>
      </c>
      <c r="N2236" t="n">
        <v>0</v>
      </c>
      <c r="O2236" t="n">
        <v>0</v>
      </c>
      <c r="P2236" t="n">
        <v>0</v>
      </c>
      <c r="Q2236" t="n">
        <v>0</v>
      </c>
      <c r="R2236" s="2" t="inlineStr"/>
    </row>
    <row r="2237" ht="15" customHeight="1">
      <c r="A2237" t="inlineStr">
        <is>
          <t>A 951-2023</t>
        </is>
      </c>
      <c r="B2237" s="1" t="n">
        <v>44934</v>
      </c>
      <c r="C2237" s="1" t="n">
        <v>45224</v>
      </c>
      <c r="D2237" t="inlineStr">
        <is>
          <t>STOCKHOLMS LÄN</t>
        </is>
      </c>
      <c r="E2237" t="inlineStr">
        <is>
          <t>NORRTÄLJE</t>
        </is>
      </c>
      <c r="G2237" t="n">
        <v>3.7</v>
      </c>
      <c r="H2237" t="n">
        <v>0</v>
      </c>
      <c r="I2237" t="n">
        <v>0</v>
      </c>
      <c r="J2237" t="n">
        <v>0</v>
      </c>
      <c r="K2237" t="n">
        <v>0</v>
      </c>
      <c r="L2237" t="n">
        <v>0</v>
      </c>
      <c r="M2237" t="n">
        <v>0</v>
      </c>
      <c r="N2237" t="n">
        <v>0</v>
      </c>
      <c r="O2237" t="n">
        <v>0</v>
      </c>
      <c r="P2237" t="n">
        <v>0</v>
      </c>
      <c r="Q2237" t="n">
        <v>0</v>
      </c>
      <c r="R2237" s="2" t="inlineStr"/>
    </row>
    <row r="2238" ht="15" customHeight="1">
      <c r="A2238" t="inlineStr">
        <is>
          <t>A 1183-2023</t>
        </is>
      </c>
      <c r="B2238" s="1" t="n">
        <v>44935</v>
      </c>
      <c r="C2238" s="1" t="n">
        <v>45224</v>
      </c>
      <c r="D2238" t="inlineStr">
        <is>
          <t>STOCKHOLMS LÄN</t>
        </is>
      </c>
      <c r="E2238" t="inlineStr">
        <is>
          <t>NORRTÄLJE</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1071-2023</t>
        </is>
      </c>
      <c r="B2239" s="1" t="n">
        <v>44935</v>
      </c>
      <c r="C2239" s="1" t="n">
        <v>45224</v>
      </c>
      <c r="D2239" t="inlineStr">
        <is>
          <t>STOCKHOLMS LÄN</t>
        </is>
      </c>
      <c r="E2239" t="inlineStr">
        <is>
          <t>SALEM</t>
        </is>
      </c>
      <c r="F2239" t="inlineStr">
        <is>
          <t>Kommuner</t>
        </is>
      </c>
      <c r="G2239" t="n">
        <v>5.1</v>
      </c>
      <c r="H2239" t="n">
        <v>0</v>
      </c>
      <c r="I2239" t="n">
        <v>0</v>
      </c>
      <c r="J2239" t="n">
        <v>0</v>
      </c>
      <c r="K2239" t="n">
        <v>0</v>
      </c>
      <c r="L2239" t="n">
        <v>0</v>
      </c>
      <c r="M2239" t="n">
        <v>0</v>
      </c>
      <c r="N2239" t="n">
        <v>0</v>
      </c>
      <c r="O2239" t="n">
        <v>0</v>
      </c>
      <c r="P2239" t="n">
        <v>0</v>
      </c>
      <c r="Q2239" t="n">
        <v>0</v>
      </c>
      <c r="R2239" s="2" t="inlineStr"/>
    </row>
    <row r="2240" ht="15" customHeight="1">
      <c r="A2240" t="inlineStr">
        <is>
          <t>A 1136-2023</t>
        </is>
      </c>
      <c r="B2240" s="1" t="n">
        <v>44935</v>
      </c>
      <c r="C2240" s="1" t="n">
        <v>45224</v>
      </c>
      <c r="D2240" t="inlineStr">
        <is>
          <t>STOCKHOLMS LÄN</t>
        </is>
      </c>
      <c r="E2240" t="inlineStr">
        <is>
          <t>ÖSTERÅKER</t>
        </is>
      </c>
      <c r="G2240" t="n">
        <v>0.5</v>
      </c>
      <c r="H2240" t="n">
        <v>0</v>
      </c>
      <c r="I2240" t="n">
        <v>0</v>
      </c>
      <c r="J2240" t="n">
        <v>0</v>
      </c>
      <c r="K2240" t="n">
        <v>0</v>
      </c>
      <c r="L2240" t="n">
        <v>0</v>
      </c>
      <c r="M2240" t="n">
        <v>0</v>
      </c>
      <c r="N2240" t="n">
        <v>0</v>
      </c>
      <c r="O2240" t="n">
        <v>0</v>
      </c>
      <c r="P2240" t="n">
        <v>0</v>
      </c>
      <c r="Q2240" t="n">
        <v>0</v>
      </c>
      <c r="R2240" s="2" t="inlineStr"/>
    </row>
    <row r="2241" ht="15" customHeight="1">
      <c r="A2241" t="inlineStr">
        <is>
          <t>A 1705-2023</t>
        </is>
      </c>
      <c r="B2241" s="1" t="n">
        <v>44936</v>
      </c>
      <c r="C2241" s="1" t="n">
        <v>45224</v>
      </c>
      <c r="D2241" t="inlineStr">
        <is>
          <t>STOCKHOLMS LÄN</t>
        </is>
      </c>
      <c r="E2241" t="inlineStr">
        <is>
          <t>VAXHOLM</t>
        </is>
      </c>
      <c r="F2241" t="inlineStr">
        <is>
          <t>Övriga statliga verk och myndigheter</t>
        </is>
      </c>
      <c r="G2241" t="n">
        <v>1.9</v>
      </c>
      <c r="H2241" t="n">
        <v>0</v>
      </c>
      <c r="I2241" t="n">
        <v>0</v>
      </c>
      <c r="J2241" t="n">
        <v>0</v>
      </c>
      <c r="K2241" t="n">
        <v>0</v>
      </c>
      <c r="L2241" t="n">
        <v>0</v>
      </c>
      <c r="M2241" t="n">
        <v>0</v>
      </c>
      <c r="N2241" t="n">
        <v>0</v>
      </c>
      <c r="O2241" t="n">
        <v>0</v>
      </c>
      <c r="P2241" t="n">
        <v>0</v>
      </c>
      <c r="Q2241" t="n">
        <v>0</v>
      </c>
      <c r="R2241" s="2" t="inlineStr"/>
    </row>
    <row r="2242" ht="15" customHeight="1">
      <c r="A2242" t="inlineStr">
        <is>
          <t>A 1368-2023</t>
        </is>
      </c>
      <c r="B2242" s="1" t="n">
        <v>44936</v>
      </c>
      <c r="C2242" s="1" t="n">
        <v>45224</v>
      </c>
      <c r="D2242" t="inlineStr">
        <is>
          <t>STOCKHOLMS LÄN</t>
        </is>
      </c>
      <c r="E2242" t="inlineStr">
        <is>
          <t>BOTKYRKA</t>
        </is>
      </c>
      <c r="F2242" t="inlineStr">
        <is>
          <t>Övriga Aktiebolag</t>
        </is>
      </c>
      <c r="G2242" t="n">
        <v>4.6</v>
      </c>
      <c r="H2242" t="n">
        <v>0</v>
      </c>
      <c r="I2242" t="n">
        <v>0</v>
      </c>
      <c r="J2242" t="n">
        <v>0</v>
      </c>
      <c r="K2242" t="n">
        <v>0</v>
      </c>
      <c r="L2242" t="n">
        <v>0</v>
      </c>
      <c r="M2242" t="n">
        <v>0</v>
      </c>
      <c r="N2242" t="n">
        <v>0</v>
      </c>
      <c r="O2242" t="n">
        <v>0</v>
      </c>
      <c r="P2242" t="n">
        <v>0</v>
      </c>
      <c r="Q2242" t="n">
        <v>0</v>
      </c>
      <c r="R2242" s="2" t="inlineStr"/>
    </row>
    <row r="2243" ht="15" customHeight="1">
      <c r="A2243" t="inlineStr">
        <is>
          <t>A 1335-2023</t>
        </is>
      </c>
      <c r="B2243" s="1" t="n">
        <v>44936</v>
      </c>
      <c r="C2243" s="1" t="n">
        <v>45224</v>
      </c>
      <c r="D2243" t="inlineStr">
        <is>
          <t>STOCKHOLMS LÄN</t>
        </is>
      </c>
      <c r="E2243" t="inlineStr">
        <is>
          <t>NORRTÄLJE</t>
        </is>
      </c>
      <c r="G2243" t="n">
        <v>2.5</v>
      </c>
      <c r="H2243" t="n">
        <v>0</v>
      </c>
      <c r="I2243" t="n">
        <v>0</v>
      </c>
      <c r="J2243" t="n">
        <v>0</v>
      </c>
      <c r="K2243" t="n">
        <v>0</v>
      </c>
      <c r="L2243" t="n">
        <v>0</v>
      </c>
      <c r="M2243" t="n">
        <v>0</v>
      </c>
      <c r="N2243" t="n">
        <v>0</v>
      </c>
      <c r="O2243" t="n">
        <v>0</v>
      </c>
      <c r="P2243" t="n">
        <v>0</v>
      </c>
      <c r="Q2243" t="n">
        <v>0</v>
      </c>
      <c r="R2243" s="2" t="inlineStr"/>
    </row>
    <row r="2244" ht="15" customHeight="1">
      <c r="A2244" t="inlineStr">
        <is>
          <t>A 1448-2023</t>
        </is>
      </c>
      <c r="B2244" s="1" t="n">
        <v>44937</v>
      </c>
      <c r="C2244" s="1" t="n">
        <v>45224</v>
      </c>
      <c r="D2244" t="inlineStr">
        <is>
          <t>STOCKHOLMS LÄN</t>
        </is>
      </c>
      <c r="E2244" t="inlineStr">
        <is>
          <t>NORRTÄLJE</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1847-2023</t>
        </is>
      </c>
      <c r="B2245" s="1" t="n">
        <v>44938</v>
      </c>
      <c r="C2245" s="1" t="n">
        <v>45224</v>
      </c>
      <c r="D2245" t="inlineStr">
        <is>
          <t>STOCKHOLMS LÄN</t>
        </is>
      </c>
      <c r="E2245" t="inlineStr">
        <is>
          <t>NORRTÄLJE</t>
        </is>
      </c>
      <c r="G2245" t="n">
        <v>0.7</v>
      </c>
      <c r="H2245" t="n">
        <v>0</v>
      </c>
      <c r="I2245" t="n">
        <v>0</v>
      </c>
      <c r="J2245" t="n">
        <v>0</v>
      </c>
      <c r="K2245" t="n">
        <v>0</v>
      </c>
      <c r="L2245" t="n">
        <v>0</v>
      </c>
      <c r="M2245" t="n">
        <v>0</v>
      </c>
      <c r="N2245" t="n">
        <v>0</v>
      </c>
      <c r="O2245" t="n">
        <v>0</v>
      </c>
      <c r="P2245" t="n">
        <v>0</v>
      </c>
      <c r="Q2245" t="n">
        <v>0</v>
      </c>
      <c r="R2245" s="2" t="inlineStr"/>
    </row>
    <row r="2246" ht="15" customHeight="1">
      <c r="A2246" t="inlineStr">
        <is>
          <t>A 2271-2023</t>
        </is>
      </c>
      <c r="B2246" s="1" t="n">
        <v>44938</v>
      </c>
      <c r="C2246" s="1" t="n">
        <v>45224</v>
      </c>
      <c r="D2246" t="inlineStr">
        <is>
          <t>STOCKHOLMS LÄN</t>
        </is>
      </c>
      <c r="E2246" t="inlineStr">
        <is>
          <t>VÄRMDÖ</t>
        </is>
      </c>
      <c r="G2246" t="n">
        <v>0.7</v>
      </c>
      <c r="H2246" t="n">
        <v>0</v>
      </c>
      <c r="I2246" t="n">
        <v>0</v>
      </c>
      <c r="J2246" t="n">
        <v>0</v>
      </c>
      <c r="K2246" t="n">
        <v>0</v>
      </c>
      <c r="L2246" t="n">
        <v>0</v>
      </c>
      <c r="M2246" t="n">
        <v>0</v>
      </c>
      <c r="N2246" t="n">
        <v>0</v>
      </c>
      <c r="O2246" t="n">
        <v>0</v>
      </c>
      <c r="P2246" t="n">
        <v>0</v>
      </c>
      <c r="Q2246" t="n">
        <v>0</v>
      </c>
      <c r="R2246" s="2" t="inlineStr"/>
    </row>
    <row r="2247" ht="15" customHeight="1">
      <c r="A2247" t="inlineStr">
        <is>
          <t>A 1695-2023</t>
        </is>
      </c>
      <c r="B2247" s="1" t="n">
        <v>44938</v>
      </c>
      <c r="C2247" s="1" t="n">
        <v>45224</v>
      </c>
      <c r="D2247" t="inlineStr">
        <is>
          <t>STOCKHOLMS LÄN</t>
        </is>
      </c>
      <c r="E2247" t="inlineStr">
        <is>
          <t>BOTKYRKA</t>
        </is>
      </c>
      <c r="G2247" t="n">
        <v>1.4</v>
      </c>
      <c r="H2247" t="n">
        <v>0</v>
      </c>
      <c r="I2247" t="n">
        <v>0</v>
      </c>
      <c r="J2247" t="n">
        <v>0</v>
      </c>
      <c r="K2247" t="n">
        <v>0</v>
      </c>
      <c r="L2247" t="n">
        <v>0</v>
      </c>
      <c r="M2247" t="n">
        <v>0</v>
      </c>
      <c r="N2247" t="n">
        <v>0</v>
      </c>
      <c r="O2247" t="n">
        <v>0</v>
      </c>
      <c r="P2247" t="n">
        <v>0</v>
      </c>
      <c r="Q2247" t="n">
        <v>0</v>
      </c>
      <c r="R2247" s="2" t="inlineStr"/>
    </row>
    <row r="2248" ht="15" customHeight="1">
      <c r="A2248" t="inlineStr">
        <is>
          <t>A 1740-2023</t>
        </is>
      </c>
      <c r="B2248" s="1" t="n">
        <v>44938</v>
      </c>
      <c r="C2248" s="1" t="n">
        <v>45224</v>
      </c>
      <c r="D2248" t="inlineStr">
        <is>
          <t>STOCKHOLMS LÄN</t>
        </is>
      </c>
      <c r="E2248" t="inlineStr">
        <is>
          <t>NORRTÄLJE</t>
        </is>
      </c>
      <c r="G2248" t="n">
        <v>0.9</v>
      </c>
      <c r="H2248" t="n">
        <v>0</v>
      </c>
      <c r="I2248" t="n">
        <v>0</v>
      </c>
      <c r="J2248" t="n">
        <v>0</v>
      </c>
      <c r="K2248" t="n">
        <v>0</v>
      </c>
      <c r="L2248" t="n">
        <v>0</v>
      </c>
      <c r="M2248" t="n">
        <v>0</v>
      </c>
      <c r="N2248" t="n">
        <v>0</v>
      </c>
      <c r="O2248" t="n">
        <v>0</v>
      </c>
      <c r="P2248" t="n">
        <v>0</v>
      </c>
      <c r="Q2248" t="n">
        <v>0</v>
      </c>
      <c r="R2248" s="2" t="inlineStr"/>
    </row>
    <row r="2249" ht="15" customHeight="1">
      <c r="A2249" t="inlineStr">
        <is>
          <t>A 2240-2023</t>
        </is>
      </c>
      <c r="B2249" s="1" t="n">
        <v>44938</v>
      </c>
      <c r="C2249" s="1" t="n">
        <v>45224</v>
      </c>
      <c r="D2249" t="inlineStr">
        <is>
          <t>STOCKHOLMS LÄN</t>
        </is>
      </c>
      <c r="E2249" t="inlineStr">
        <is>
          <t>VÄRMDÖ</t>
        </is>
      </c>
      <c r="G2249" t="n">
        <v>3.9</v>
      </c>
      <c r="H2249" t="n">
        <v>0</v>
      </c>
      <c r="I2249" t="n">
        <v>0</v>
      </c>
      <c r="J2249" t="n">
        <v>0</v>
      </c>
      <c r="K2249" t="n">
        <v>0</v>
      </c>
      <c r="L2249" t="n">
        <v>0</v>
      </c>
      <c r="M2249" t="n">
        <v>0</v>
      </c>
      <c r="N2249" t="n">
        <v>0</v>
      </c>
      <c r="O2249" t="n">
        <v>0</v>
      </c>
      <c r="P2249" t="n">
        <v>0</v>
      </c>
      <c r="Q2249" t="n">
        <v>0</v>
      </c>
      <c r="R2249" s="2" t="inlineStr"/>
    </row>
    <row r="2250" ht="15" customHeight="1">
      <c r="A2250" t="inlineStr">
        <is>
          <t>A 2229-2023</t>
        </is>
      </c>
      <c r="B2250" s="1" t="n">
        <v>44939</v>
      </c>
      <c r="C2250" s="1" t="n">
        <v>45224</v>
      </c>
      <c r="D2250" t="inlineStr">
        <is>
          <t>STOCKHOLMS LÄN</t>
        </is>
      </c>
      <c r="E2250" t="inlineStr">
        <is>
          <t>VAXHOLM</t>
        </is>
      </c>
      <c r="F2250" t="inlineStr">
        <is>
          <t>Övriga statliga verk och myndigheter</t>
        </is>
      </c>
      <c r="G2250" t="n">
        <v>4.3</v>
      </c>
      <c r="H2250" t="n">
        <v>0</v>
      </c>
      <c r="I2250" t="n">
        <v>0</v>
      </c>
      <c r="J2250" t="n">
        <v>0</v>
      </c>
      <c r="K2250" t="n">
        <v>0</v>
      </c>
      <c r="L2250" t="n">
        <v>0</v>
      </c>
      <c r="M2250" t="n">
        <v>0</v>
      </c>
      <c r="N2250" t="n">
        <v>0</v>
      </c>
      <c r="O2250" t="n">
        <v>0</v>
      </c>
      <c r="P2250" t="n">
        <v>0</v>
      </c>
      <c r="Q2250" t="n">
        <v>0</v>
      </c>
      <c r="R2250" s="2" t="inlineStr"/>
    </row>
    <row r="2251" ht="15" customHeight="1">
      <c r="A2251" t="inlineStr">
        <is>
          <t>A 2170-2023</t>
        </is>
      </c>
      <c r="B2251" s="1" t="n">
        <v>44941</v>
      </c>
      <c r="C2251" s="1" t="n">
        <v>45224</v>
      </c>
      <c r="D2251" t="inlineStr">
        <is>
          <t>STOCKHOLMS LÄN</t>
        </is>
      </c>
      <c r="E2251" t="inlineStr">
        <is>
          <t>NYNÄSHAMN</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2854-2023</t>
        </is>
      </c>
      <c r="B2252" s="1" t="n">
        <v>44945</v>
      </c>
      <c r="C2252" s="1" t="n">
        <v>45224</v>
      </c>
      <c r="D2252" t="inlineStr">
        <is>
          <t>STOCKHOLMS LÄN</t>
        </is>
      </c>
      <c r="E2252" t="inlineStr">
        <is>
          <t>NORRTÄLJE</t>
        </is>
      </c>
      <c r="G2252" t="n">
        <v>14.5</v>
      </c>
      <c r="H2252" t="n">
        <v>0</v>
      </c>
      <c r="I2252" t="n">
        <v>0</v>
      </c>
      <c r="J2252" t="n">
        <v>0</v>
      </c>
      <c r="K2252" t="n">
        <v>0</v>
      </c>
      <c r="L2252" t="n">
        <v>0</v>
      </c>
      <c r="M2252" t="n">
        <v>0</v>
      </c>
      <c r="N2252" t="n">
        <v>0</v>
      </c>
      <c r="O2252" t="n">
        <v>0</v>
      </c>
      <c r="P2252" t="n">
        <v>0</v>
      </c>
      <c r="Q2252" t="n">
        <v>0</v>
      </c>
      <c r="R2252" s="2" t="inlineStr"/>
    </row>
    <row r="2253" ht="15" customHeight="1">
      <c r="A2253" t="inlineStr">
        <is>
          <t>A 2890-2023</t>
        </is>
      </c>
      <c r="B2253" s="1" t="n">
        <v>44945</v>
      </c>
      <c r="C2253" s="1" t="n">
        <v>45224</v>
      </c>
      <c r="D2253" t="inlineStr">
        <is>
          <t>STOCKHOLMS LÄN</t>
        </is>
      </c>
      <c r="E2253" t="inlineStr">
        <is>
          <t>NORRTÄLJE</t>
        </is>
      </c>
      <c r="F2253" t="inlineStr">
        <is>
          <t>Holmen skog AB</t>
        </is>
      </c>
      <c r="G2253" t="n">
        <v>3.9</v>
      </c>
      <c r="H2253" t="n">
        <v>0</v>
      </c>
      <c r="I2253" t="n">
        <v>0</v>
      </c>
      <c r="J2253" t="n">
        <v>0</v>
      </c>
      <c r="K2253" t="n">
        <v>0</v>
      </c>
      <c r="L2253" t="n">
        <v>0</v>
      </c>
      <c r="M2253" t="n">
        <v>0</v>
      </c>
      <c r="N2253" t="n">
        <v>0</v>
      </c>
      <c r="O2253" t="n">
        <v>0</v>
      </c>
      <c r="P2253" t="n">
        <v>0</v>
      </c>
      <c r="Q2253" t="n">
        <v>0</v>
      </c>
      <c r="R2253" s="2" t="inlineStr"/>
    </row>
    <row r="2254" ht="15" customHeight="1">
      <c r="A2254" t="inlineStr">
        <is>
          <t>A 2990-2023</t>
        </is>
      </c>
      <c r="B2254" s="1" t="n">
        <v>44945</v>
      </c>
      <c r="C2254" s="1" t="n">
        <v>45224</v>
      </c>
      <c r="D2254" t="inlineStr">
        <is>
          <t>STOCKHOLMS LÄN</t>
        </is>
      </c>
      <c r="E2254" t="inlineStr">
        <is>
          <t>SALEM</t>
        </is>
      </c>
      <c r="F2254" t="inlineStr">
        <is>
          <t>Kommuner</t>
        </is>
      </c>
      <c r="G2254" t="n">
        <v>4.1</v>
      </c>
      <c r="H2254" t="n">
        <v>0</v>
      </c>
      <c r="I2254" t="n">
        <v>0</v>
      </c>
      <c r="J2254" t="n">
        <v>0</v>
      </c>
      <c r="K2254" t="n">
        <v>0</v>
      </c>
      <c r="L2254" t="n">
        <v>0</v>
      </c>
      <c r="M2254" t="n">
        <v>0</v>
      </c>
      <c r="N2254" t="n">
        <v>0</v>
      </c>
      <c r="O2254" t="n">
        <v>0</v>
      </c>
      <c r="P2254" t="n">
        <v>0</v>
      </c>
      <c r="Q2254" t="n">
        <v>0</v>
      </c>
      <c r="R2254" s="2" t="inlineStr"/>
    </row>
    <row r="2255" ht="15" customHeight="1">
      <c r="A2255" t="inlineStr">
        <is>
          <t>A 3071-2023</t>
        </is>
      </c>
      <c r="B2255" s="1" t="n">
        <v>44946</v>
      </c>
      <c r="C2255" s="1" t="n">
        <v>45224</v>
      </c>
      <c r="D2255" t="inlineStr">
        <is>
          <t>STOCKHOLMS LÄN</t>
        </is>
      </c>
      <c r="E2255" t="inlineStr">
        <is>
          <t>VALLENTUNA</t>
        </is>
      </c>
      <c r="G2255" t="n">
        <v>1.3</v>
      </c>
      <c r="H2255" t="n">
        <v>0</v>
      </c>
      <c r="I2255" t="n">
        <v>0</v>
      </c>
      <c r="J2255" t="n">
        <v>0</v>
      </c>
      <c r="K2255" t="n">
        <v>0</v>
      </c>
      <c r="L2255" t="n">
        <v>0</v>
      </c>
      <c r="M2255" t="n">
        <v>0</v>
      </c>
      <c r="N2255" t="n">
        <v>0</v>
      </c>
      <c r="O2255" t="n">
        <v>0</v>
      </c>
      <c r="P2255" t="n">
        <v>0</v>
      </c>
      <c r="Q2255" t="n">
        <v>0</v>
      </c>
      <c r="R2255" s="2" t="inlineStr"/>
    </row>
    <row r="2256" ht="15" customHeight="1">
      <c r="A2256" t="inlineStr">
        <is>
          <t>A 3383-2023</t>
        </is>
      </c>
      <c r="B2256" s="1" t="n">
        <v>44949</v>
      </c>
      <c r="C2256" s="1" t="n">
        <v>45224</v>
      </c>
      <c r="D2256" t="inlineStr">
        <is>
          <t>STOCKHOLMS LÄN</t>
        </is>
      </c>
      <c r="E2256" t="inlineStr">
        <is>
          <t>NORRTÄLJE</t>
        </is>
      </c>
      <c r="G2256" t="n">
        <v>14.6</v>
      </c>
      <c r="H2256" t="n">
        <v>0</v>
      </c>
      <c r="I2256" t="n">
        <v>0</v>
      </c>
      <c r="J2256" t="n">
        <v>0</v>
      </c>
      <c r="K2256" t="n">
        <v>0</v>
      </c>
      <c r="L2256" t="n">
        <v>0</v>
      </c>
      <c r="M2256" t="n">
        <v>0</v>
      </c>
      <c r="N2256" t="n">
        <v>0</v>
      </c>
      <c r="O2256" t="n">
        <v>0</v>
      </c>
      <c r="P2256" t="n">
        <v>0</v>
      </c>
      <c r="Q2256" t="n">
        <v>0</v>
      </c>
      <c r="R2256" s="2" t="inlineStr"/>
    </row>
    <row r="2257" ht="15" customHeight="1">
      <c r="A2257" t="inlineStr">
        <is>
          <t>A 3444-2023</t>
        </is>
      </c>
      <c r="B2257" s="1" t="n">
        <v>44949</v>
      </c>
      <c r="C2257" s="1" t="n">
        <v>45224</v>
      </c>
      <c r="D2257" t="inlineStr">
        <is>
          <t>STOCKHOLMS LÄN</t>
        </is>
      </c>
      <c r="E2257" t="inlineStr">
        <is>
          <t>NORRTÄLJE</t>
        </is>
      </c>
      <c r="G2257" t="n">
        <v>5.1</v>
      </c>
      <c r="H2257" t="n">
        <v>0</v>
      </c>
      <c r="I2257" t="n">
        <v>0</v>
      </c>
      <c r="J2257" t="n">
        <v>0</v>
      </c>
      <c r="K2257" t="n">
        <v>0</v>
      </c>
      <c r="L2257" t="n">
        <v>0</v>
      </c>
      <c r="M2257" t="n">
        <v>0</v>
      </c>
      <c r="N2257" t="n">
        <v>0</v>
      </c>
      <c r="O2257" t="n">
        <v>0</v>
      </c>
      <c r="P2257" t="n">
        <v>0</v>
      </c>
      <c r="Q2257" t="n">
        <v>0</v>
      </c>
      <c r="R2257" s="2" t="inlineStr"/>
    </row>
    <row r="2258" ht="15" customHeight="1">
      <c r="A2258" t="inlineStr">
        <is>
          <t>A 3350-2023</t>
        </is>
      </c>
      <c r="B2258" s="1" t="n">
        <v>44949</v>
      </c>
      <c r="C2258" s="1" t="n">
        <v>45224</v>
      </c>
      <c r="D2258" t="inlineStr">
        <is>
          <t>STOCKHOLMS LÄN</t>
        </is>
      </c>
      <c r="E2258" t="inlineStr">
        <is>
          <t>VALLENTUNA</t>
        </is>
      </c>
      <c r="G2258" t="n">
        <v>1.8</v>
      </c>
      <c r="H2258" t="n">
        <v>0</v>
      </c>
      <c r="I2258" t="n">
        <v>0</v>
      </c>
      <c r="J2258" t="n">
        <v>0</v>
      </c>
      <c r="K2258" t="n">
        <v>0</v>
      </c>
      <c r="L2258" t="n">
        <v>0</v>
      </c>
      <c r="M2258" t="n">
        <v>0</v>
      </c>
      <c r="N2258" t="n">
        <v>0</v>
      </c>
      <c r="O2258" t="n">
        <v>0</v>
      </c>
      <c r="P2258" t="n">
        <v>0</v>
      </c>
      <c r="Q2258" t="n">
        <v>0</v>
      </c>
      <c r="R2258" s="2" t="inlineStr"/>
    </row>
    <row r="2259" ht="15" customHeight="1">
      <c r="A2259" t="inlineStr">
        <is>
          <t>A 3630-2023</t>
        </is>
      </c>
      <c r="B2259" s="1" t="n">
        <v>44950</v>
      </c>
      <c r="C2259" s="1" t="n">
        <v>45224</v>
      </c>
      <c r="D2259" t="inlineStr">
        <is>
          <t>STOCKHOLMS LÄN</t>
        </is>
      </c>
      <c r="E2259" t="inlineStr">
        <is>
          <t>UPPLANDS-BRO</t>
        </is>
      </c>
      <c r="G2259" t="n">
        <v>1.4</v>
      </c>
      <c r="H2259" t="n">
        <v>0</v>
      </c>
      <c r="I2259" t="n">
        <v>0</v>
      </c>
      <c r="J2259" t="n">
        <v>0</v>
      </c>
      <c r="K2259" t="n">
        <v>0</v>
      </c>
      <c r="L2259" t="n">
        <v>0</v>
      </c>
      <c r="M2259" t="n">
        <v>0</v>
      </c>
      <c r="N2259" t="n">
        <v>0</v>
      </c>
      <c r="O2259" t="n">
        <v>0</v>
      </c>
      <c r="P2259" t="n">
        <v>0</v>
      </c>
      <c r="Q2259" t="n">
        <v>0</v>
      </c>
      <c r="R2259" s="2" t="inlineStr"/>
    </row>
    <row r="2260" ht="15" customHeight="1">
      <c r="A2260" t="inlineStr">
        <is>
          <t>A 3622-2023</t>
        </is>
      </c>
      <c r="B2260" s="1" t="n">
        <v>44950</v>
      </c>
      <c r="C2260" s="1" t="n">
        <v>45224</v>
      </c>
      <c r="D2260" t="inlineStr">
        <is>
          <t>STOCKHOLMS LÄN</t>
        </is>
      </c>
      <c r="E2260" t="inlineStr">
        <is>
          <t>UPPLANDS-BRO</t>
        </is>
      </c>
      <c r="G2260" t="n">
        <v>1</v>
      </c>
      <c r="H2260" t="n">
        <v>0</v>
      </c>
      <c r="I2260" t="n">
        <v>0</v>
      </c>
      <c r="J2260" t="n">
        <v>0</v>
      </c>
      <c r="K2260" t="n">
        <v>0</v>
      </c>
      <c r="L2260" t="n">
        <v>0</v>
      </c>
      <c r="M2260" t="n">
        <v>0</v>
      </c>
      <c r="N2260" t="n">
        <v>0</v>
      </c>
      <c r="O2260" t="n">
        <v>0</v>
      </c>
      <c r="P2260" t="n">
        <v>0</v>
      </c>
      <c r="Q2260" t="n">
        <v>0</v>
      </c>
      <c r="R2260" s="2" t="inlineStr"/>
    </row>
    <row r="2261" ht="15" customHeight="1">
      <c r="A2261" t="inlineStr">
        <is>
          <t>A 4153-2023</t>
        </is>
      </c>
      <c r="B2261" s="1" t="n">
        <v>44950</v>
      </c>
      <c r="C2261" s="1" t="n">
        <v>45224</v>
      </c>
      <c r="D2261" t="inlineStr">
        <is>
          <t>STOCKHOLMS LÄN</t>
        </is>
      </c>
      <c r="E2261" t="inlineStr">
        <is>
          <t>UPPLANDS-BRO</t>
        </is>
      </c>
      <c r="F2261" t="inlineStr">
        <is>
          <t>Övriga statliga verk och myndigheter</t>
        </is>
      </c>
      <c r="G2261" t="n">
        <v>7.3</v>
      </c>
      <c r="H2261" t="n">
        <v>0</v>
      </c>
      <c r="I2261" t="n">
        <v>0</v>
      </c>
      <c r="J2261" t="n">
        <v>0</v>
      </c>
      <c r="K2261" t="n">
        <v>0</v>
      </c>
      <c r="L2261" t="n">
        <v>0</v>
      </c>
      <c r="M2261" t="n">
        <v>0</v>
      </c>
      <c r="N2261" t="n">
        <v>0</v>
      </c>
      <c r="O2261" t="n">
        <v>0</v>
      </c>
      <c r="P2261" t="n">
        <v>0</v>
      </c>
      <c r="Q2261" t="n">
        <v>0</v>
      </c>
      <c r="R2261" s="2" t="inlineStr"/>
    </row>
    <row r="2262" ht="15" customHeight="1">
      <c r="A2262" t="inlineStr">
        <is>
          <t>A 3817-2023</t>
        </is>
      </c>
      <c r="B2262" s="1" t="n">
        <v>44951</v>
      </c>
      <c r="C2262" s="1" t="n">
        <v>45224</v>
      </c>
      <c r="D2262" t="inlineStr">
        <is>
          <t>STOCKHOLMS LÄN</t>
        </is>
      </c>
      <c r="E2262" t="inlineStr">
        <is>
          <t>ÖSTERÅKER</t>
        </is>
      </c>
      <c r="F2262" t="inlineStr">
        <is>
          <t>Kommuner</t>
        </is>
      </c>
      <c r="G2262" t="n">
        <v>4.7</v>
      </c>
      <c r="H2262" t="n">
        <v>0</v>
      </c>
      <c r="I2262" t="n">
        <v>0</v>
      </c>
      <c r="J2262" t="n">
        <v>0</v>
      </c>
      <c r="K2262" t="n">
        <v>0</v>
      </c>
      <c r="L2262" t="n">
        <v>0</v>
      </c>
      <c r="M2262" t="n">
        <v>0</v>
      </c>
      <c r="N2262" t="n">
        <v>0</v>
      </c>
      <c r="O2262" t="n">
        <v>0</v>
      </c>
      <c r="P2262" t="n">
        <v>0</v>
      </c>
      <c r="Q2262" t="n">
        <v>0</v>
      </c>
      <c r="R2262" s="2" t="inlineStr"/>
    </row>
    <row r="2263" ht="15" customHeight="1">
      <c r="A2263" t="inlineStr">
        <is>
          <t>A 3828-2023</t>
        </is>
      </c>
      <c r="B2263" s="1" t="n">
        <v>44951</v>
      </c>
      <c r="C2263" s="1" t="n">
        <v>45224</v>
      </c>
      <c r="D2263" t="inlineStr">
        <is>
          <t>STOCKHOLMS LÄN</t>
        </is>
      </c>
      <c r="E2263" t="inlineStr">
        <is>
          <t>ÖSTERÅKER</t>
        </is>
      </c>
      <c r="F2263" t="inlineStr">
        <is>
          <t>Kommuner</t>
        </is>
      </c>
      <c r="G2263" t="n">
        <v>3.2</v>
      </c>
      <c r="H2263" t="n">
        <v>0</v>
      </c>
      <c r="I2263" t="n">
        <v>0</v>
      </c>
      <c r="J2263" t="n">
        <v>0</v>
      </c>
      <c r="K2263" t="n">
        <v>0</v>
      </c>
      <c r="L2263" t="n">
        <v>0</v>
      </c>
      <c r="M2263" t="n">
        <v>0</v>
      </c>
      <c r="N2263" t="n">
        <v>0</v>
      </c>
      <c r="O2263" t="n">
        <v>0</v>
      </c>
      <c r="P2263" t="n">
        <v>0</v>
      </c>
      <c r="Q2263" t="n">
        <v>0</v>
      </c>
      <c r="R2263" s="2" t="inlineStr"/>
    </row>
    <row r="2264" ht="15" customHeight="1">
      <c r="A2264" t="inlineStr">
        <is>
          <t>A 4058-2023</t>
        </is>
      </c>
      <c r="B2264" s="1" t="n">
        <v>44952</v>
      </c>
      <c r="C2264" s="1" t="n">
        <v>45224</v>
      </c>
      <c r="D2264" t="inlineStr">
        <is>
          <t>STOCKHOLMS LÄN</t>
        </is>
      </c>
      <c r="E2264" t="inlineStr">
        <is>
          <t>NORRTÄLJE</t>
        </is>
      </c>
      <c r="G2264" t="n">
        <v>4.4</v>
      </c>
      <c r="H2264" t="n">
        <v>0</v>
      </c>
      <c r="I2264" t="n">
        <v>0</v>
      </c>
      <c r="J2264" t="n">
        <v>0</v>
      </c>
      <c r="K2264" t="n">
        <v>0</v>
      </c>
      <c r="L2264" t="n">
        <v>0</v>
      </c>
      <c r="M2264" t="n">
        <v>0</v>
      </c>
      <c r="N2264" t="n">
        <v>0</v>
      </c>
      <c r="O2264" t="n">
        <v>0</v>
      </c>
      <c r="P2264" t="n">
        <v>0</v>
      </c>
      <c r="Q2264" t="n">
        <v>0</v>
      </c>
      <c r="R2264" s="2" t="inlineStr"/>
    </row>
    <row r="2265" ht="15" customHeight="1">
      <c r="A2265" t="inlineStr">
        <is>
          <t>A 3917-2023</t>
        </is>
      </c>
      <c r="B2265" s="1" t="n">
        <v>44952</v>
      </c>
      <c r="C2265" s="1" t="n">
        <v>45224</v>
      </c>
      <c r="D2265" t="inlineStr">
        <is>
          <t>STOCKHOLMS LÄN</t>
        </is>
      </c>
      <c r="E2265" t="inlineStr">
        <is>
          <t>ÖSTERÅKER</t>
        </is>
      </c>
      <c r="F2265" t="inlineStr">
        <is>
          <t>Kommuner</t>
        </is>
      </c>
      <c r="G2265" t="n">
        <v>2.8</v>
      </c>
      <c r="H2265" t="n">
        <v>0</v>
      </c>
      <c r="I2265" t="n">
        <v>0</v>
      </c>
      <c r="J2265" t="n">
        <v>0</v>
      </c>
      <c r="K2265" t="n">
        <v>0</v>
      </c>
      <c r="L2265" t="n">
        <v>0</v>
      </c>
      <c r="M2265" t="n">
        <v>0</v>
      </c>
      <c r="N2265" t="n">
        <v>0</v>
      </c>
      <c r="O2265" t="n">
        <v>0</v>
      </c>
      <c r="P2265" t="n">
        <v>0</v>
      </c>
      <c r="Q2265" t="n">
        <v>0</v>
      </c>
      <c r="R2265" s="2" t="inlineStr"/>
    </row>
    <row r="2266" ht="15" customHeight="1">
      <c r="A2266" t="inlineStr">
        <is>
          <t>A 4338-2023</t>
        </is>
      </c>
      <c r="B2266" s="1" t="n">
        <v>44953</v>
      </c>
      <c r="C2266" s="1" t="n">
        <v>45224</v>
      </c>
      <c r="D2266" t="inlineStr">
        <is>
          <t>STOCKHOLMS LÄN</t>
        </is>
      </c>
      <c r="E2266" t="inlineStr">
        <is>
          <t>UPPLANDS-BRO</t>
        </is>
      </c>
      <c r="G2266" t="n">
        <v>1.1</v>
      </c>
      <c r="H2266" t="n">
        <v>0</v>
      </c>
      <c r="I2266" t="n">
        <v>0</v>
      </c>
      <c r="J2266" t="n">
        <v>0</v>
      </c>
      <c r="K2266" t="n">
        <v>0</v>
      </c>
      <c r="L2266" t="n">
        <v>0</v>
      </c>
      <c r="M2266" t="n">
        <v>0</v>
      </c>
      <c r="N2266" t="n">
        <v>0</v>
      </c>
      <c r="O2266" t="n">
        <v>0</v>
      </c>
      <c r="P2266" t="n">
        <v>0</v>
      </c>
      <c r="Q2266" t="n">
        <v>0</v>
      </c>
      <c r="R2266" s="2" t="inlineStr"/>
    </row>
    <row r="2267" ht="15" customHeight="1">
      <c r="A2267" t="inlineStr">
        <is>
          <t>A 4194-2023</t>
        </is>
      </c>
      <c r="B2267" s="1" t="n">
        <v>44953</v>
      </c>
      <c r="C2267" s="1" t="n">
        <v>45224</v>
      </c>
      <c r="D2267" t="inlineStr">
        <is>
          <t>STOCKHOLMS LÄN</t>
        </is>
      </c>
      <c r="E2267" t="inlineStr">
        <is>
          <t>NORRTÄLJE</t>
        </is>
      </c>
      <c r="G2267" t="n">
        <v>0.6</v>
      </c>
      <c r="H2267" t="n">
        <v>0</v>
      </c>
      <c r="I2267" t="n">
        <v>0</v>
      </c>
      <c r="J2267" t="n">
        <v>0</v>
      </c>
      <c r="K2267" t="n">
        <v>0</v>
      </c>
      <c r="L2267" t="n">
        <v>0</v>
      </c>
      <c r="M2267" t="n">
        <v>0</v>
      </c>
      <c r="N2267" t="n">
        <v>0</v>
      </c>
      <c r="O2267" t="n">
        <v>0</v>
      </c>
      <c r="P2267" t="n">
        <v>0</v>
      </c>
      <c r="Q2267" t="n">
        <v>0</v>
      </c>
      <c r="R2267" s="2" t="inlineStr"/>
    </row>
    <row r="2268" ht="15" customHeight="1">
      <c r="A2268" t="inlineStr">
        <is>
          <t>A 4168-2023</t>
        </is>
      </c>
      <c r="B2268" s="1" t="n">
        <v>44953</v>
      </c>
      <c r="C2268" s="1" t="n">
        <v>45224</v>
      </c>
      <c r="D2268" t="inlineStr">
        <is>
          <t>STOCKHOLMS LÄN</t>
        </is>
      </c>
      <c r="E2268" t="inlineStr">
        <is>
          <t>NORRTÄLJE</t>
        </is>
      </c>
      <c r="F2268" t="inlineStr">
        <is>
          <t>Sveaskog</t>
        </is>
      </c>
      <c r="G2268" t="n">
        <v>1.2</v>
      </c>
      <c r="H2268" t="n">
        <v>0</v>
      </c>
      <c r="I2268" t="n">
        <v>0</v>
      </c>
      <c r="J2268" t="n">
        <v>0</v>
      </c>
      <c r="K2268" t="n">
        <v>0</v>
      </c>
      <c r="L2268" t="n">
        <v>0</v>
      </c>
      <c r="M2268" t="n">
        <v>0</v>
      </c>
      <c r="N2268" t="n">
        <v>0</v>
      </c>
      <c r="O2268" t="n">
        <v>0</v>
      </c>
      <c r="P2268" t="n">
        <v>0</v>
      </c>
      <c r="Q2268" t="n">
        <v>0</v>
      </c>
      <c r="R2268" s="2" t="inlineStr"/>
    </row>
    <row r="2269" ht="15" customHeight="1">
      <c r="A2269" t="inlineStr">
        <is>
          <t>A 4364-2023</t>
        </is>
      </c>
      <c r="B2269" s="1" t="n">
        <v>44954</v>
      </c>
      <c r="C2269" s="1" t="n">
        <v>45224</v>
      </c>
      <c r="D2269" t="inlineStr">
        <is>
          <t>STOCKHOLMS LÄN</t>
        </is>
      </c>
      <c r="E2269" t="inlineStr">
        <is>
          <t>NORRTÄLJE</t>
        </is>
      </c>
      <c r="G2269" t="n">
        <v>2</v>
      </c>
      <c r="H2269" t="n">
        <v>0</v>
      </c>
      <c r="I2269" t="n">
        <v>0</v>
      </c>
      <c r="J2269" t="n">
        <v>0</v>
      </c>
      <c r="K2269" t="n">
        <v>0</v>
      </c>
      <c r="L2269" t="n">
        <v>0</v>
      </c>
      <c r="M2269" t="n">
        <v>0</v>
      </c>
      <c r="N2269" t="n">
        <v>0</v>
      </c>
      <c r="O2269" t="n">
        <v>0</v>
      </c>
      <c r="P2269" t="n">
        <v>0</v>
      </c>
      <c r="Q2269" t="n">
        <v>0</v>
      </c>
      <c r="R2269" s="2" t="inlineStr"/>
    </row>
    <row r="2270" ht="15" customHeight="1">
      <c r="A2270" t="inlineStr">
        <is>
          <t>A 4440-2023</t>
        </is>
      </c>
      <c r="B2270" s="1" t="n">
        <v>44956</v>
      </c>
      <c r="C2270" s="1" t="n">
        <v>45224</v>
      </c>
      <c r="D2270" t="inlineStr">
        <is>
          <t>STOCKHOLMS LÄN</t>
        </is>
      </c>
      <c r="E2270" t="inlineStr">
        <is>
          <t>SÖDERTÄLJE</t>
        </is>
      </c>
      <c r="G2270" t="n">
        <v>18.4</v>
      </c>
      <c r="H2270" t="n">
        <v>0</v>
      </c>
      <c r="I2270" t="n">
        <v>0</v>
      </c>
      <c r="J2270" t="n">
        <v>0</v>
      </c>
      <c r="K2270" t="n">
        <v>0</v>
      </c>
      <c r="L2270" t="n">
        <v>0</v>
      </c>
      <c r="M2270" t="n">
        <v>0</v>
      </c>
      <c r="N2270" t="n">
        <v>0</v>
      </c>
      <c r="O2270" t="n">
        <v>0</v>
      </c>
      <c r="P2270" t="n">
        <v>0</v>
      </c>
      <c r="Q2270" t="n">
        <v>0</v>
      </c>
      <c r="R2270" s="2" t="inlineStr"/>
    </row>
    <row r="2271" ht="15" customHeight="1">
      <c r="A2271" t="inlineStr">
        <is>
          <t>A 5243-2023</t>
        </is>
      </c>
      <c r="B2271" s="1" t="n">
        <v>44956</v>
      </c>
      <c r="C2271" s="1" t="n">
        <v>45224</v>
      </c>
      <c r="D2271" t="inlineStr">
        <is>
          <t>STOCKHOLMS LÄN</t>
        </is>
      </c>
      <c r="E2271" t="inlineStr">
        <is>
          <t>HANINGE</t>
        </is>
      </c>
      <c r="G2271" t="n">
        <v>3.7</v>
      </c>
      <c r="H2271" t="n">
        <v>0</v>
      </c>
      <c r="I2271" t="n">
        <v>0</v>
      </c>
      <c r="J2271" t="n">
        <v>0</v>
      </c>
      <c r="K2271" t="n">
        <v>0</v>
      </c>
      <c r="L2271" t="n">
        <v>0</v>
      </c>
      <c r="M2271" t="n">
        <v>0</v>
      </c>
      <c r="N2271" t="n">
        <v>0</v>
      </c>
      <c r="O2271" t="n">
        <v>0</v>
      </c>
      <c r="P2271" t="n">
        <v>0</v>
      </c>
      <c r="Q2271" t="n">
        <v>0</v>
      </c>
      <c r="R2271" s="2" t="inlineStr"/>
    </row>
    <row r="2272" ht="15" customHeight="1">
      <c r="A2272" t="inlineStr">
        <is>
          <t>A 4597-2023</t>
        </is>
      </c>
      <c r="B2272" s="1" t="n">
        <v>44956</v>
      </c>
      <c r="C2272" s="1" t="n">
        <v>45224</v>
      </c>
      <c r="D2272" t="inlineStr">
        <is>
          <t>STOCKHOLMS LÄN</t>
        </is>
      </c>
      <c r="E2272" t="inlineStr">
        <is>
          <t>VALLENTUNA</t>
        </is>
      </c>
      <c r="G2272" t="n">
        <v>4.2</v>
      </c>
      <c r="H2272" t="n">
        <v>0</v>
      </c>
      <c r="I2272" t="n">
        <v>0</v>
      </c>
      <c r="J2272" t="n">
        <v>0</v>
      </c>
      <c r="K2272" t="n">
        <v>0</v>
      </c>
      <c r="L2272" t="n">
        <v>0</v>
      </c>
      <c r="M2272" t="n">
        <v>0</v>
      </c>
      <c r="N2272" t="n">
        <v>0</v>
      </c>
      <c r="O2272" t="n">
        <v>0</v>
      </c>
      <c r="P2272" t="n">
        <v>0</v>
      </c>
      <c r="Q2272" t="n">
        <v>0</v>
      </c>
      <c r="R2272" s="2" t="inlineStr"/>
    </row>
    <row r="2273" ht="15" customHeight="1">
      <c r="A2273" t="inlineStr">
        <is>
          <t>A 4596-2023</t>
        </is>
      </c>
      <c r="B2273" s="1" t="n">
        <v>44956</v>
      </c>
      <c r="C2273" s="1" t="n">
        <v>45224</v>
      </c>
      <c r="D2273" t="inlineStr">
        <is>
          <t>STOCKHOLMS LÄN</t>
        </is>
      </c>
      <c r="E2273" t="inlineStr">
        <is>
          <t>NORRTÄLJE</t>
        </is>
      </c>
      <c r="G2273" t="n">
        <v>1.4</v>
      </c>
      <c r="H2273" t="n">
        <v>0</v>
      </c>
      <c r="I2273" t="n">
        <v>0</v>
      </c>
      <c r="J2273" t="n">
        <v>0</v>
      </c>
      <c r="K2273" t="n">
        <v>0</v>
      </c>
      <c r="L2273" t="n">
        <v>0</v>
      </c>
      <c r="M2273" t="n">
        <v>0</v>
      </c>
      <c r="N2273" t="n">
        <v>0</v>
      </c>
      <c r="O2273" t="n">
        <v>0</v>
      </c>
      <c r="P2273" t="n">
        <v>0</v>
      </c>
      <c r="Q2273" t="n">
        <v>0</v>
      </c>
      <c r="R2273" s="2" t="inlineStr"/>
    </row>
    <row r="2274" ht="15" customHeight="1">
      <c r="A2274" t="inlineStr">
        <is>
          <t>A 4438-2023</t>
        </is>
      </c>
      <c r="B2274" s="1" t="n">
        <v>44956</v>
      </c>
      <c r="C2274" s="1" t="n">
        <v>45224</v>
      </c>
      <c r="D2274" t="inlineStr">
        <is>
          <t>STOCKHOLMS LÄN</t>
        </is>
      </c>
      <c r="E2274" t="inlineStr">
        <is>
          <t>NORRTÄLJE</t>
        </is>
      </c>
      <c r="G2274" t="n">
        <v>9.199999999999999</v>
      </c>
      <c r="H2274" t="n">
        <v>0</v>
      </c>
      <c r="I2274" t="n">
        <v>0</v>
      </c>
      <c r="J2274" t="n">
        <v>0</v>
      </c>
      <c r="K2274" t="n">
        <v>0</v>
      </c>
      <c r="L2274" t="n">
        <v>0</v>
      </c>
      <c r="M2274" t="n">
        <v>0</v>
      </c>
      <c r="N2274" t="n">
        <v>0</v>
      </c>
      <c r="O2274" t="n">
        <v>0</v>
      </c>
      <c r="P2274" t="n">
        <v>0</v>
      </c>
      <c r="Q2274" t="n">
        <v>0</v>
      </c>
      <c r="R2274" s="2" t="inlineStr"/>
    </row>
    <row r="2275" ht="15" customHeight="1">
      <c r="A2275" t="inlineStr">
        <is>
          <t>A 4593-2023</t>
        </is>
      </c>
      <c r="B2275" s="1" t="n">
        <v>44956</v>
      </c>
      <c r="C2275" s="1" t="n">
        <v>45224</v>
      </c>
      <c r="D2275" t="inlineStr">
        <is>
          <t>STOCKHOLMS LÄN</t>
        </is>
      </c>
      <c r="E2275" t="inlineStr">
        <is>
          <t>NORRTÄLJE</t>
        </is>
      </c>
      <c r="G2275" t="n">
        <v>0.4</v>
      </c>
      <c r="H2275" t="n">
        <v>0</v>
      </c>
      <c r="I2275" t="n">
        <v>0</v>
      </c>
      <c r="J2275" t="n">
        <v>0</v>
      </c>
      <c r="K2275" t="n">
        <v>0</v>
      </c>
      <c r="L2275" t="n">
        <v>0</v>
      </c>
      <c r="M2275" t="n">
        <v>0</v>
      </c>
      <c r="N2275" t="n">
        <v>0</v>
      </c>
      <c r="O2275" t="n">
        <v>0</v>
      </c>
      <c r="P2275" t="n">
        <v>0</v>
      </c>
      <c r="Q2275" t="n">
        <v>0</v>
      </c>
      <c r="R2275" s="2" t="inlineStr"/>
    </row>
    <row r="2276" ht="15" customHeight="1">
      <c r="A2276" t="inlineStr">
        <is>
          <t>A 4904-2023</t>
        </is>
      </c>
      <c r="B2276" s="1" t="n">
        <v>44956</v>
      </c>
      <c r="C2276" s="1" t="n">
        <v>45224</v>
      </c>
      <c r="D2276" t="inlineStr">
        <is>
          <t>STOCKHOLMS LÄN</t>
        </is>
      </c>
      <c r="E2276" t="inlineStr">
        <is>
          <t>EKERÖ</t>
        </is>
      </c>
      <c r="F2276" t="inlineStr">
        <is>
          <t>Övriga statliga verk och myndigheter</t>
        </is>
      </c>
      <c r="G2276" t="n">
        <v>1.1</v>
      </c>
      <c r="H2276" t="n">
        <v>0</v>
      </c>
      <c r="I2276" t="n">
        <v>0</v>
      </c>
      <c r="J2276" t="n">
        <v>0</v>
      </c>
      <c r="K2276" t="n">
        <v>0</v>
      </c>
      <c r="L2276" t="n">
        <v>0</v>
      </c>
      <c r="M2276" t="n">
        <v>0</v>
      </c>
      <c r="N2276" t="n">
        <v>0</v>
      </c>
      <c r="O2276" t="n">
        <v>0</v>
      </c>
      <c r="P2276" t="n">
        <v>0</v>
      </c>
      <c r="Q2276" t="n">
        <v>0</v>
      </c>
      <c r="R2276" s="2" t="inlineStr"/>
    </row>
    <row r="2277" ht="15" customHeight="1">
      <c r="A2277" t="inlineStr">
        <is>
          <t>A 5528-2023</t>
        </is>
      </c>
      <c r="B2277" s="1" t="n">
        <v>44957</v>
      </c>
      <c r="C2277" s="1" t="n">
        <v>45224</v>
      </c>
      <c r="D2277" t="inlineStr">
        <is>
          <t>STOCKHOLMS LÄN</t>
        </is>
      </c>
      <c r="E2277" t="inlineStr">
        <is>
          <t>VAXHOLM</t>
        </is>
      </c>
      <c r="F2277" t="inlineStr">
        <is>
          <t>Övriga statliga verk och myndigheter</t>
        </is>
      </c>
      <c r="G2277" t="n">
        <v>1.2</v>
      </c>
      <c r="H2277" t="n">
        <v>0</v>
      </c>
      <c r="I2277" t="n">
        <v>0</v>
      </c>
      <c r="J2277" t="n">
        <v>0</v>
      </c>
      <c r="K2277" t="n">
        <v>0</v>
      </c>
      <c r="L2277" t="n">
        <v>0</v>
      </c>
      <c r="M2277" t="n">
        <v>0</v>
      </c>
      <c r="N2277" t="n">
        <v>0</v>
      </c>
      <c r="O2277" t="n">
        <v>0</v>
      </c>
      <c r="P2277" t="n">
        <v>0</v>
      </c>
      <c r="Q2277" t="n">
        <v>0</v>
      </c>
      <c r="R2277" s="2" t="inlineStr"/>
    </row>
    <row r="2278" ht="15" customHeight="1">
      <c r="A2278" t="inlineStr">
        <is>
          <t>A 4688-2023</t>
        </is>
      </c>
      <c r="B2278" s="1" t="n">
        <v>44957</v>
      </c>
      <c r="C2278" s="1" t="n">
        <v>45224</v>
      </c>
      <c r="D2278" t="inlineStr">
        <is>
          <t>STOCKHOLMS LÄN</t>
        </is>
      </c>
      <c r="E2278" t="inlineStr">
        <is>
          <t>NYNÄSHAMN</t>
        </is>
      </c>
      <c r="G2278" t="n">
        <v>0.9</v>
      </c>
      <c r="H2278" t="n">
        <v>0</v>
      </c>
      <c r="I2278" t="n">
        <v>0</v>
      </c>
      <c r="J2278" t="n">
        <v>0</v>
      </c>
      <c r="K2278" t="n">
        <v>0</v>
      </c>
      <c r="L2278" t="n">
        <v>0</v>
      </c>
      <c r="M2278" t="n">
        <v>0</v>
      </c>
      <c r="N2278" t="n">
        <v>0</v>
      </c>
      <c r="O2278" t="n">
        <v>0</v>
      </c>
      <c r="P2278" t="n">
        <v>0</v>
      </c>
      <c r="Q2278" t="n">
        <v>0</v>
      </c>
      <c r="R2278" s="2" t="inlineStr"/>
    </row>
    <row r="2279" ht="15" customHeight="1">
      <c r="A2279" t="inlineStr">
        <is>
          <t>A 5137-2023</t>
        </is>
      </c>
      <c r="B2279" s="1" t="n">
        <v>44958</v>
      </c>
      <c r="C2279" s="1" t="n">
        <v>45224</v>
      </c>
      <c r="D2279" t="inlineStr">
        <is>
          <t>STOCKHOLMS LÄN</t>
        </is>
      </c>
      <c r="E2279" t="inlineStr">
        <is>
          <t>NORRTÄLJE</t>
        </is>
      </c>
      <c r="G2279" t="n">
        <v>0.7</v>
      </c>
      <c r="H2279" t="n">
        <v>0</v>
      </c>
      <c r="I2279" t="n">
        <v>0</v>
      </c>
      <c r="J2279" t="n">
        <v>0</v>
      </c>
      <c r="K2279" t="n">
        <v>0</v>
      </c>
      <c r="L2279" t="n">
        <v>0</v>
      </c>
      <c r="M2279" t="n">
        <v>0</v>
      </c>
      <c r="N2279" t="n">
        <v>0</v>
      </c>
      <c r="O2279" t="n">
        <v>0</v>
      </c>
      <c r="P2279" t="n">
        <v>0</v>
      </c>
      <c r="Q2279" t="n">
        <v>0</v>
      </c>
      <c r="R2279" s="2" t="inlineStr"/>
    </row>
    <row r="2280" ht="15" customHeight="1">
      <c r="A2280" t="inlineStr">
        <is>
          <t>A 5264-2023</t>
        </is>
      </c>
      <c r="B2280" s="1" t="n">
        <v>44959</v>
      </c>
      <c r="C2280" s="1" t="n">
        <v>45224</v>
      </c>
      <c r="D2280" t="inlineStr">
        <is>
          <t>STOCKHOLMS LÄN</t>
        </is>
      </c>
      <c r="E2280" t="inlineStr">
        <is>
          <t>UPPLANDS-BRO</t>
        </is>
      </c>
      <c r="G2280" t="n">
        <v>5.8</v>
      </c>
      <c r="H2280" t="n">
        <v>0</v>
      </c>
      <c r="I2280" t="n">
        <v>0</v>
      </c>
      <c r="J2280" t="n">
        <v>0</v>
      </c>
      <c r="K2280" t="n">
        <v>0</v>
      </c>
      <c r="L2280" t="n">
        <v>0</v>
      </c>
      <c r="M2280" t="n">
        <v>0</v>
      </c>
      <c r="N2280" t="n">
        <v>0</v>
      </c>
      <c r="O2280" t="n">
        <v>0</v>
      </c>
      <c r="P2280" t="n">
        <v>0</v>
      </c>
      <c r="Q2280" t="n">
        <v>0</v>
      </c>
      <c r="R2280" s="2" t="inlineStr"/>
    </row>
    <row r="2281" ht="15" customHeight="1">
      <c r="A2281" t="inlineStr">
        <is>
          <t>A 5968-2023</t>
        </is>
      </c>
      <c r="B2281" s="1" t="n">
        <v>44959</v>
      </c>
      <c r="C2281" s="1" t="n">
        <v>45224</v>
      </c>
      <c r="D2281" t="inlineStr">
        <is>
          <t>STOCKHOLMS LÄN</t>
        </is>
      </c>
      <c r="E2281" t="inlineStr">
        <is>
          <t>VAXHOLM</t>
        </is>
      </c>
      <c r="F2281" t="inlineStr">
        <is>
          <t>Övriga statliga verk och myndigheter</t>
        </is>
      </c>
      <c r="G2281" t="n">
        <v>1.5</v>
      </c>
      <c r="H2281" t="n">
        <v>0</v>
      </c>
      <c r="I2281" t="n">
        <v>0</v>
      </c>
      <c r="J2281" t="n">
        <v>0</v>
      </c>
      <c r="K2281" t="n">
        <v>0</v>
      </c>
      <c r="L2281" t="n">
        <v>0</v>
      </c>
      <c r="M2281" t="n">
        <v>0</v>
      </c>
      <c r="N2281" t="n">
        <v>0</v>
      </c>
      <c r="O2281" t="n">
        <v>0</v>
      </c>
      <c r="P2281" t="n">
        <v>0</v>
      </c>
      <c r="Q2281" t="n">
        <v>0</v>
      </c>
      <c r="R2281" s="2" t="inlineStr"/>
    </row>
    <row r="2282" ht="15" customHeight="1">
      <c r="A2282" t="inlineStr">
        <is>
          <t>A 6312-2023</t>
        </is>
      </c>
      <c r="B2282" s="1" t="n">
        <v>44959</v>
      </c>
      <c r="C2282" s="1" t="n">
        <v>45224</v>
      </c>
      <c r="D2282" t="inlineStr">
        <is>
          <t>STOCKHOLMS LÄN</t>
        </is>
      </c>
      <c r="E2282" t="inlineStr">
        <is>
          <t>NORRTÄLJE</t>
        </is>
      </c>
      <c r="G2282" t="n">
        <v>0.8</v>
      </c>
      <c r="H2282" t="n">
        <v>0</v>
      </c>
      <c r="I2282" t="n">
        <v>0</v>
      </c>
      <c r="J2282" t="n">
        <v>0</v>
      </c>
      <c r="K2282" t="n">
        <v>0</v>
      </c>
      <c r="L2282" t="n">
        <v>0</v>
      </c>
      <c r="M2282" t="n">
        <v>0</v>
      </c>
      <c r="N2282" t="n">
        <v>0</v>
      </c>
      <c r="O2282" t="n">
        <v>0</v>
      </c>
      <c r="P2282" t="n">
        <v>0</v>
      </c>
      <c r="Q2282" t="n">
        <v>0</v>
      </c>
      <c r="R2282" s="2" t="inlineStr"/>
    </row>
    <row r="2283" ht="15" customHeight="1">
      <c r="A2283" t="inlineStr">
        <is>
          <t>A 5681-2023</t>
        </is>
      </c>
      <c r="B2283" s="1" t="n">
        <v>44960</v>
      </c>
      <c r="C2283" s="1" t="n">
        <v>45224</v>
      </c>
      <c r="D2283" t="inlineStr">
        <is>
          <t>STOCKHOLMS LÄN</t>
        </is>
      </c>
      <c r="E2283" t="inlineStr">
        <is>
          <t>ÖSTERÅKER</t>
        </is>
      </c>
      <c r="G2283" t="n">
        <v>6.4</v>
      </c>
      <c r="H2283" t="n">
        <v>0</v>
      </c>
      <c r="I2283" t="n">
        <v>0</v>
      </c>
      <c r="J2283" t="n">
        <v>0</v>
      </c>
      <c r="K2283" t="n">
        <v>0</v>
      </c>
      <c r="L2283" t="n">
        <v>0</v>
      </c>
      <c r="M2283" t="n">
        <v>0</v>
      </c>
      <c r="N2283" t="n">
        <v>0</v>
      </c>
      <c r="O2283" t="n">
        <v>0</v>
      </c>
      <c r="P2283" t="n">
        <v>0</v>
      </c>
      <c r="Q2283" t="n">
        <v>0</v>
      </c>
      <c r="R2283" s="2" t="inlineStr"/>
    </row>
    <row r="2284" ht="15" customHeight="1">
      <c r="A2284" t="inlineStr">
        <is>
          <t>A 5501-2023</t>
        </is>
      </c>
      <c r="B2284" s="1" t="n">
        <v>44960</v>
      </c>
      <c r="C2284" s="1" t="n">
        <v>45224</v>
      </c>
      <c r="D2284" t="inlineStr">
        <is>
          <t>STOCKHOLMS LÄN</t>
        </is>
      </c>
      <c r="E2284" t="inlineStr">
        <is>
          <t>NORRTÄLJE</t>
        </is>
      </c>
      <c r="G2284" t="n">
        <v>9.5</v>
      </c>
      <c r="H2284" t="n">
        <v>0</v>
      </c>
      <c r="I2284" t="n">
        <v>0</v>
      </c>
      <c r="J2284" t="n">
        <v>0</v>
      </c>
      <c r="K2284" t="n">
        <v>0</v>
      </c>
      <c r="L2284" t="n">
        <v>0</v>
      </c>
      <c r="M2284" t="n">
        <v>0</v>
      </c>
      <c r="N2284" t="n">
        <v>0</v>
      </c>
      <c r="O2284" t="n">
        <v>0</v>
      </c>
      <c r="P2284" t="n">
        <v>0</v>
      </c>
      <c r="Q2284" t="n">
        <v>0</v>
      </c>
      <c r="R2284" s="2" t="inlineStr"/>
    </row>
    <row r="2285" ht="15" customHeight="1">
      <c r="A2285" t="inlineStr">
        <is>
          <t>A 5567-2023</t>
        </is>
      </c>
      <c r="B2285" s="1" t="n">
        <v>44960</v>
      </c>
      <c r="C2285" s="1" t="n">
        <v>45224</v>
      </c>
      <c r="D2285" t="inlineStr">
        <is>
          <t>STOCKHOLMS LÄN</t>
        </is>
      </c>
      <c r="E2285" t="inlineStr">
        <is>
          <t>NYNÄSHAMN</t>
        </is>
      </c>
      <c r="G2285" t="n">
        <v>10.1</v>
      </c>
      <c r="H2285" t="n">
        <v>0</v>
      </c>
      <c r="I2285" t="n">
        <v>0</v>
      </c>
      <c r="J2285" t="n">
        <v>0</v>
      </c>
      <c r="K2285" t="n">
        <v>0</v>
      </c>
      <c r="L2285" t="n">
        <v>0</v>
      </c>
      <c r="M2285" t="n">
        <v>0</v>
      </c>
      <c r="N2285" t="n">
        <v>0</v>
      </c>
      <c r="O2285" t="n">
        <v>0</v>
      </c>
      <c r="P2285" t="n">
        <v>0</v>
      </c>
      <c r="Q2285" t="n">
        <v>0</v>
      </c>
      <c r="R2285" s="2" t="inlineStr"/>
    </row>
    <row r="2286" ht="15" customHeight="1">
      <c r="A2286" t="inlineStr">
        <is>
          <t>A 6496-2023</t>
        </is>
      </c>
      <c r="B2286" s="1" t="n">
        <v>44960</v>
      </c>
      <c r="C2286" s="1" t="n">
        <v>45224</v>
      </c>
      <c r="D2286" t="inlineStr">
        <is>
          <t>STOCKHOLMS LÄN</t>
        </is>
      </c>
      <c r="E2286" t="inlineStr">
        <is>
          <t>NORRTÄLJE</t>
        </is>
      </c>
      <c r="G2286" t="n">
        <v>4.1</v>
      </c>
      <c r="H2286" t="n">
        <v>0</v>
      </c>
      <c r="I2286" t="n">
        <v>0</v>
      </c>
      <c r="J2286" t="n">
        <v>0</v>
      </c>
      <c r="K2286" t="n">
        <v>0</v>
      </c>
      <c r="L2286" t="n">
        <v>0</v>
      </c>
      <c r="M2286" t="n">
        <v>0</v>
      </c>
      <c r="N2286" t="n">
        <v>0</v>
      </c>
      <c r="O2286" t="n">
        <v>0</v>
      </c>
      <c r="P2286" t="n">
        <v>0</v>
      </c>
      <c r="Q2286" t="n">
        <v>0</v>
      </c>
      <c r="R2286" s="2" t="inlineStr"/>
    </row>
    <row r="2287" ht="15" customHeight="1">
      <c r="A2287" t="inlineStr">
        <is>
          <t>A 5732-2023</t>
        </is>
      </c>
      <c r="B2287" s="1" t="n">
        <v>44962</v>
      </c>
      <c r="C2287" s="1" t="n">
        <v>45224</v>
      </c>
      <c r="D2287" t="inlineStr">
        <is>
          <t>STOCKHOLMS LÄN</t>
        </is>
      </c>
      <c r="E2287" t="inlineStr">
        <is>
          <t>NORRTÄLJE</t>
        </is>
      </c>
      <c r="G2287" t="n">
        <v>0.5</v>
      </c>
      <c r="H2287" t="n">
        <v>0</v>
      </c>
      <c r="I2287" t="n">
        <v>0</v>
      </c>
      <c r="J2287" t="n">
        <v>0</v>
      </c>
      <c r="K2287" t="n">
        <v>0</v>
      </c>
      <c r="L2287" t="n">
        <v>0</v>
      </c>
      <c r="M2287" t="n">
        <v>0</v>
      </c>
      <c r="N2287" t="n">
        <v>0</v>
      </c>
      <c r="O2287" t="n">
        <v>0</v>
      </c>
      <c r="P2287" t="n">
        <v>0</v>
      </c>
      <c r="Q2287" t="n">
        <v>0</v>
      </c>
      <c r="R2287" s="2" t="inlineStr"/>
    </row>
    <row r="2288" ht="15" customHeight="1">
      <c r="A2288" t="inlineStr">
        <is>
          <t>A 5839-2023</t>
        </is>
      </c>
      <c r="B2288" s="1" t="n">
        <v>44963</v>
      </c>
      <c r="C2288" s="1" t="n">
        <v>45224</v>
      </c>
      <c r="D2288" t="inlineStr">
        <is>
          <t>STOCKHOLMS LÄN</t>
        </is>
      </c>
      <c r="E2288" t="inlineStr">
        <is>
          <t>NORRTÄLJE</t>
        </is>
      </c>
      <c r="G2288" t="n">
        <v>3.6</v>
      </c>
      <c r="H2288" t="n">
        <v>0</v>
      </c>
      <c r="I2288" t="n">
        <v>0</v>
      </c>
      <c r="J2288" t="n">
        <v>0</v>
      </c>
      <c r="K2288" t="n">
        <v>0</v>
      </c>
      <c r="L2288" t="n">
        <v>0</v>
      </c>
      <c r="M2288" t="n">
        <v>0</v>
      </c>
      <c r="N2288" t="n">
        <v>0</v>
      </c>
      <c r="O2288" t="n">
        <v>0</v>
      </c>
      <c r="P2288" t="n">
        <v>0</v>
      </c>
      <c r="Q2288" t="n">
        <v>0</v>
      </c>
      <c r="R2288" s="2" t="inlineStr"/>
    </row>
    <row r="2289" ht="15" customHeight="1">
      <c r="A2289" t="inlineStr">
        <is>
          <t>A 5823-2023</t>
        </is>
      </c>
      <c r="B2289" s="1" t="n">
        <v>44963</v>
      </c>
      <c r="C2289" s="1" t="n">
        <v>45224</v>
      </c>
      <c r="D2289" t="inlineStr">
        <is>
          <t>STOCKHOLMS LÄN</t>
        </is>
      </c>
      <c r="E2289" t="inlineStr">
        <is>
          <t>NORRTÄLJE</t>
        </is>
      </c>
      <c r="G2289" t="n">
        <v>0.7</v>
      </c>
      <c r="H2289" t="n">
        <v>0</v>
      </c>
      <c r="I2289" t="n">
        <v>0</v>
      </c>
      <c r="J2289" t="n">
        <v>0</v>
      </c>
      <c r="K2289" t="n">
        <v>0</v>
      </c>
      <c r="L2289" t="n">
        <v>0</v>
      </c>
      <c r="M2289" t="n">
        <v>0</v>
      </c>
      <c r="N2289" t="n">
        <v>0</v>
      </c>
      <c r="O2289" t="n">
        <v>0</v>
      </c>
      <c r="P2289" t="n">
        <v>0</v>
      </c>
      <c r="Q2289" t="n">
        <v>0</v>
      </c>
      <c r="R2289" s="2" t="inlineStr"/>
    </row>
    <row r="2290" ht="15" customHeight="1">
      <c r="A2290" t="inlineStr">
        <is>
          <t>A 6032-2023</t>
        </is>
      </c>
      <c r="B2290" s="1" t="n">
        <v>44964</v>
      </c>
      <c r="C2290" s="1" t="n">
        <v>45224</v>
      </c>
      <c r="D2290" t="inlineStr">
        <is>
          <t>STOCKHOLMS LÄN</t>
        </is>
      </c>
      <c r="E2290" t="inlineStr">
        <is>
          <t>SÖDERTÄLJE</t>
        </is>
      </c>
      <c r="G2290" t="n">
        <v>5.8</v>
      </c>
      <c r="H2290" t="n">
        <v>0</v>
      </c>
      <c r="I2290" t="n">
        <v>0</v>
      </c>
      <c r="J2290" t="n">
        <v>0</v>
      </c>
      <c r="K2290" t="n">
        <v>0</v>
      </c>
      <c r="L2290" t="n">
        <v>0</v>
      </c>
      <c r="M2290" t="n">
        <v>0</v>
      </c>
      <c r="N2290" t="n">
        <v>0</v>
      </c>
      <c r="O2290" t="n">
        <v>0</v>
      </c>
      <c r="P2290" t="n">
        <v>0</v>
      </c>
      <c r="Q2290" t="n">
        <v>0</v>
      </c>
      <c r="R2290" s="2" t="inlineStr"/>
    </row>
    <row r="2291" ht="15" customHeight="1">
      <c r="A2291" t="inlineStr">
        <is>
          <t>A 7230-2023</t>
        </is>
      </c>
      <c r="B2291" s="1" t="n">
        <v>44965</v>
      </c>
      <c r="C2291" s="1" t="n">
        <v>45224</v>
      </c>
      <c r="D2291" t="inlineStr">
        <is>
          <t>STOCKHOLMS LÄN</t>
        </is>
      </c>
      <c r="E2291" t="inlineStr">
        <is>
          <t>NORRTÄLJE</t>
        </is>
      </c>
      <c r="G2291" t="n">
        <v>1.3</v>
      </c>
      <c r="H2291" t="n">
        <v>0</v>
      </c>
      <c r="I2291" t="n">
        <v>0</v>
      </c>
      <c r="J2291" t="n">
        <v>0</v>
      </c>
      <c r="K2291" t="n">
        <v>0</v>
      </c>
      <c r="L2291" t="n">
        <v>0</v>
      </c>
      <c r="M2291" t="n">
        <v>0</v>
      </c>
      <c r="N2291" t="n">
        <v>0</v>
      </c>
      <c r="O2291" t="n">
        <v>0</v>
      </c>
      <c r="P2291" t="n">
        <v>0</v>
      </c>
      <c r="Q2291" t="n">
        <v>0</v>
      </c>
      <c r="R2291" s="2" t="inlineStr"/>
    </row>
    <row r="2292" ht="15" customHeight="1">
      <c r="A2292" t="inlineStr">
        <is>
          <t>A 6582-2023</t>
        </is>
      </c>
      <c r="B2292" s="1" t="n">
        <v>44966</v>
      </c>
      <c r="C2292" s="1" t="n">
        <v>45224</v>
      </c>
      <c r="D2292" t="inlineStr">
        <is>
          <t>STOCKHOLMS LÄN</t>
        </is>
      </c>
      <c r="E2292" t="inlineStr">
        <is>
          <t>ÖSTERÅKER</t>
        </is>
      </c>
      <c r="G2292" t="n">
        <v>2.6</v>
      </c>
      <c r="H2292" t="n">
        <v>0</v>
      </c>
      <c r="I2292" t="n">
        <v>0</v>
      </c>
      <c r="J2292" t="n">
        <v>0</v>
      </c>
      <c r="K2292" t="n">
        <v>0</v>
      </c>
      <c r="L2292" t="n">
        <v>0</v>
      </c>
      <c r="M2292" t="n">
        <v>0</v>
      </c>
      <c r="N2292" t="n">
        <v>0</v>
      </c>
      <c r="O2292" t="n">
        <v>0</v>
      </c>
      <c r="P2292" t="n">
        <v>0</v>
      </c>
      <c r="Q2292" t="n">
        <v>0</v>
      </c>
      <c r="R2292" s="2" t="inlineStr"/>
    </row>
    <row r="2293" ht="15" customHeight="1">
      <c r="A2293" t="inlineStr">
        <is>
          <t>A 6648-2023</t>
        </is>
      </c>
      <c r="B2293" s="1" t="n">
        <v>44966</v>
      </c>
      <c r="C2293" s="1" t="n">
        <v>45224</v>
      </c>
      <c r="D2293" t="inlineStr">
        <is>
          <t>STOCKHOLMS LÄN</t>
        </is>
      </c>
      <c r="E2293" t="inlineStr">
        <is>
          <t>HANINGE</t>
        </is>
      </c>
      <c r="G2293" t="n">
        <v>4</v>
      </c>
      <c r="H2293" t="n">
        <v>0</v>
      </c>
      <c r="I2293" t="n">
        <v>0</v>
      </c>
      <c r="J2293" t="n">
        <v>0</v>
      </c>
      <c r="K2293" t="n">
        <v>0</v>
      </c>
      <c r="L2293" t="n">
        <v>0</v>
      </c>
      <c r="M2293" t="n">
        <v>0</v>
      </c>
      <c r="N2293" t="n">
        <v>0</v>
      </c>
      <c r="O2293" t="n">
        <v>0</v>
      </c>
      <c r="P2293" t="n">
        <v>0</v>
      </c>
      <c r="Q2293" t="n">
        <v>0</v>
      </c>
      <c r="R2293" s="2" t="inlineStr"/>
    </row>
    <row r="2294" ht="15" customHeight="1">
      <c r="A2294" t="inlineStr">
        <is>
          <t>A 7694-2023</t>
        </is>
      </c>
      <c r="B2294" s="1" t="n">
        <v>44967</v>
      </c>
      <c r="C2294" s="1" t="n">
        <v>45224</v>
      </c>
      <c r="D2294" t="inlineStr">
        <is>
          <t>STOCKHOLMS LÄN</t>
        </is>
      </c>
      <c r="E2294" t="inlineStr">
        <is>
          <t>VAXHOLM</t>
        </is>
      </c>
      <c r="F2294" t="inlineStr">
        <is>
          <t>Övriga statliga verk och myndigheter</t>
        </is>
      </c>
      <c r="G2294" t="n">
        <v>2.2</v>
      </c>
      <c r="H2294" t="n">
        <v>0</v>
      </c>
      <c r="I2294" t="n">
        <v>0</v>
      </c>
      <c r="J2294" t="n">
        <v>0</v>
      </c>
      <c r="K2294" t="n">
        <v>0</v>
      </c>
      <c r="L2294" t="n">
        <v>0</v>
      </c>
      <c r="M2294" t="n">
        <v>0</v>
      </c>
      <c r="N2294" t="n">
        <v>0</v>
      </c>
      <c r="O2294" t="n">
        <v>0</v>
      </c>
      <c r="P2294" t="n">
        <v>0</v>
      </c>
      <c r="Q2294" t="n">
        <v>0</v>
      </c>
      <c r="R2294" s="2" t="inlineStr"/>
    </row>
    <row r="2295" ht="15" customHeight="1">
      <c r="A2295" t="inlineStr">
        <is>
          <t>A 7862-2023</t>
        </is>
      </c>
      <c r="B2295" s="1" t="n">
        <v>44970</v>
      </c>
      <c r="C2295" s="1" t="n">
        <v>45224</v>
      </c>
      <c r="D2295" t="inlineStr">
        <is>
          <t>STOCKHOLMS LÄN</t>
        </is>
      </c>
      <c r="E2295" t="inlineStr">
        <is>
          <t>VAXHOLM</t>
        </is>
      </c>
      <c r="F2295" t="inlineStr">
        <is>
          <t>Övriga statliga verk och myndigheter</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7101-2023</t>
        </is>
      </c>
      <c r="B2296" s="1" t="n">
        <v>44970</v>
      </c>
      <c r="C2296" s="1" t="n">
        <v>45224</v>
      </c>
      <c r="D2296" t="inlineStr">
        <is>
          <t>STOCKHOLMS LÄN</t>
        </is>
      </c>
      <c r="E2296" t="inlineStr">
        <is>
          <t>NORRTÄLJE</t>
        </is>
      </c>
      <c r="F2296" t="inlineStr">
        <is>
          <t>Sveaskog</t>
        </is>
      </c>
      <c r="G2296" t="n">
        <v>2</v>
      </c>
      <c r="H2296" t="n">
        <v>0</v>
      </c>
      <c r="I2296" t="n">
        <v>0</v>
      </c>
      <c r="J2296" t="n">
        <v>0</v>
      </c>
      <c r="K2296" t="n">
        <v>0</v>
      </c>
      <c r="L2296" t="n">
        <v>0</v>
      </c>
      <c r="M2296" t="n">
        <v>0</v>
      </c>
      <c r="N2296" t="n">
        <v>0</v>
      </c>
      <c r="O2296" t="n">
        <v>0</v>
      </c>
      <c r="P2296" t="n">
        <v>0</v>
      </c>
      <c r="Q2296" t="n">
        <v>0</v>
      </c>
      <c r="R2296" s="2" t="inlineStr"/>
    </row>
    <row r="2297" ht="15" customHeight="1">
      <c r="A2297" t="inlineStr">
        <is>
          <t>A 7190-2023</t>
        </is>
      </c>
      <c r="B2297" s="1" t="n">
        <v>44970</v>
      </c>
      <c r="C2297" s="1" t="n">
        <v>45224</v>
      </c>
      <c r="D2297" t="inlineStr">
        <is>
          <t>STOCKHOLMS LÄN</t>
        </is>
      </c>
      <c r="E2297" t="inlineStr">
        <is>
          <t>NORRTÄLJE</t>
        </is>
      </c>
      <c r="F2297" t="inlineStr">
        <is>
          <t>Sveaskog</t>
        </is>
      </c>
      <c r="G2297" t="n">
        <v>3.2</v>
      </c>
      <c r="H2297" t="n">
        <v>0</v>
      </c>
      <c r="I2297" t="n">
        <v>0</v>
      </c>
      <c r="J2297" t="n">
        <v>0</v>
      </c>
      <c r="K2297" t="n">
        <v>0</v>
      </c>
      <c r="L2297" t="n">
        <v>0</v>
      </c>
      <c r="M2297" t="n">
        <v>0</v>
      </c>
      <c r="N2297" t="n">
        <v>0</v>
      </c>
      <c r="O2297" t="n">
        <v>0</v>
      </c>
      <c r="P2297" t="n">
        <v>0</v>
      </c>
      <c r="Q2297" t="n">
        <v>0</v>
      </c>
      <c r="R2297" s="2" t="inlineStr"/>
    </row>
    <row r="2298" ht="15" customHeight="1">
      <c r="A2298" t="inlineStr">
        <is>
          <t>A 7093-2023</t>
        </is>
      </c>
      <c r="B2298" s="1" t="n">
        <v>44970</v>
      </c>
      <c r="C2298" s="1" t="n">
        <v>45224</v>
      </c>
      <c r="D2298" t="inlineStr">
        <is>
          <t>STOCKHOLMS LÄN</t>
        </is>
      </c>
      <c r="E2298" t="inlineStr">
        <is>
          <t>NORRTÄLJE</t>
        </is>
      </c>
      <c r="F2298" t="inlineStr">
        <is>
          <t>Sveaskog</t>
        </is>
      </c>
      <c r="G2298" t="n">
        <v>8.4</v>
      </c>
      <c r="H2298" t="n">
        <v>0</v>
      </c>
      <c r="I2298" t="n">
        <v>0</v>
      </c>
      <c r="J2298" t="n">
        <v>0</v>
      </c>
      <c r="K2298" t="n">
        <v>0</v>
      </c>
      <c r="L2298" t="n">
        <v>0</v>
      </c>
      <c r="M2298" t="n">
        <v>0</v>
      </c>
      <c r="N2298" t="n">
        <v>0</v>
      </c>
      <c r="O2298" t="n">
        <v>0</v>
      </c>
      <c r="P2298" t="n">
        <v>0</v>
      </c>
      <c r="Q2298" t="n">
        <v>0</v>
      </c>
      <c r="R2298" s="2" t="inlineStr"/>
    </row>
    <row r="2299" ht="15" customHeight="1">
      <c r="A2299" t="inlineStr">
        <is>
          <t>A 7120-2023</t>
        </is>
      </c>
      <c r="B2299" s="1" t="n">
        <v>44970</v>
      </c>
      <c r="C2299" s="1" t="n">
        <v>45224</v>
      </c>
      <c r="D2299" t="inlineStr">
        <is>
          <t>STOCKHOLMS LÄN</t>
        </is>
      </c>
      <c r="E2299" t="inlineStr">
        <is>
          <t>NORRTÄLJE</t>
        </is>
      </c>
      <c r="F2299" t="inlineStr">
        <is>
          <t>Sveaskog</t>
        </is>
      </c>
      <c r="G2299" t="n">
        <v>3.1</v>
      </c>
      <c r="H2299" t="n">
        <v>0</v>
      </c>
      <c r="I2299" t="n">
        <v>0</v>
      </c>
      <c r="J2299" t="n">
        <v>0</v>
      </c>
      <c r="K2299" t="n">
        <v>0</v>
      </c>
      <c r="L2299" t="n">
        <v>0</v>
      </c>
      <c r="M2299" t="n">
        <v>0</v>
      </c>
      <c r="N2299" t="n">
        <v>0</v>
      </c>
      <c r="O2299" t="n">
        <v>0</v>
      </c>
      <c r="P2299" t="n">
        <v>0</v>
      </c>
      <c r="Q2299" t="n">
        <v>0</v>
      </c>
      <c r="R2299" s="2" t="inlineStr"/>
    </row>
    <row r="2300" ht="15" customHeight="1">
      <c r="A2300" t="inlineStr">
        <is>
          <t>A 7571-2023</t>
        </is>
      </c>
      <c r="B2300" s="1" t="n">
        <v>44972</v>
      </c>
      <c r="C2300" s="1" t="n">
        <v>45224</v>
      </c>
      <c r="D2300" t="inlineStr">
        <is>
          <t>STOCKHOLMS LÄN</t>
        </is>
      </c>
      <c r="E2300" t="inlineStr">
        <is>
          <t>NYNÄSHAMN</t>
        </is>
      </c>
      <c r="G2300" t="n">
        <v>2.5</v>
      </c>
      <c r="H2300" t="n">
        <v>0</v>
      </c>
      <c r="I2300" t="n">
        <v>0</v>
      </c>
      <c r="J2300" t="n">
        <v>0</v>
      </c>
      <c r="K2300" t="n">
        <v>0</v>
      </c>
      <c r="L2300" t="n">
        <v>0</v>
      </c>
      <c r="M2300" t="n">
        <v>0</v>
      </c>
      <c r="N2300" t="n">
        <v>0</v>
      </c>
      <c r="O2300" t="n">
        <v>0</v>
      </c>
      <c r="P2300" t="n">
        <v>0</v>
      </c>
      <c r="Q2300" t="n">
        <v>0</v>
      </c>
      <c r="R2300" s="2" t="inlineStr"/>
    </row>
    <row r="2301" ht="15" customHeight="1">
      <c r="A2301" t="inlineStr">
        <is>
          <t>A 8756-2023</t>
        </is>
      </c>
      <c r="B2301" s="1" t="n">
        <v>44972</v>
      </c>
      <c r="C2301" s="1" t="n">
        <v>45224</v>
      </c>
      <c r="D2301" t="inlineStr">
        <is>
          <t>STOCKHOLMS LÄN</t>
        </is>
      </c>
      <c r="E2301" t="inlineStr">
        <is>
          <t>VÄRMDÖ</t>
        </is>
      </c>
      <c r="G2301" t="n">
        <v>1.5</v>
      </c>
      <c r="H2301" t="n">
        <v>0</v>
      </c>
      <c r="I2301" t="n">
        <v>0</v>
      </c>
      <c r="J2301" t="n">
        <v>0</v>
      </c>
      <c r="K2301" t="n">
        <v>0</v>
      </c>
      <c r="L2301" t="n">
        <v>0</v>
      </c>
      <c r="M2301" t="n">
        <v>0</v>
      </c>
      <c r="N2301" t="n">
        <v>0</v>
      </c>
      <c r="O2301" t="n">
        <v>0</v>
      </c>
      <c r="P2301" t="n">
        <v>0</v>
      </c>
      <c r="Q2301" t="n">
        <v>0</v>
      </c>
      <c r="R2301" s="2" t="inlineStr"/>
    </row>
    <row r="2302" ht="15" customHeight="1">
      <c r="A2302" t="inlineStr">
        <is>
          <t>A 7921-2023</t>
        </is>
      </c>
      <c r="B2302" s="1" t="n">
        <v>44973</v>
      </c>
      <c r="C2302" s="1" t="n">
        <v>45224</v>
      </c>
      <c r="D2302" t="inlineStr">
        <is>
          <t>STOCKHOLMS LÄN</t>
        </is>
      </c>
      <c r="E2302" t="inlineStr">
        <is>
          <t>NYKVARN</t>
        </is>
      </c>
      <c r="G2302" t="n">
        <v>2.3</v>
      </c>
      <c r="H2302" t="n">
        <v>0</v>
      </c>
      <c r="I2302" t="n">
        <v>0</v>
      </c>
      <c r="J2302" t="n">
        <v>0</v>
      </c>
      <c r="K2302" t="n">
        <v>0</v>
      </c>
      <c r="L2302" t="n">
        <v>0</v>
      </c>
      <c r="M2302" t="n">
        <v>0</v>
      </c>
      <c r="N2302" t="n">
        <v>0</v>
      </c>
      <c r="O2302" t="n">
        <v>0</v>
      </c>
      <c r="P2302" t="n">
        <v>0</v>
      </c>
      <c r="Q2302" t="n">
        <v>0</v>
      </c>
      <c r="R2302" s="2" t="inlineStr"/>
    </row>
    <row r="2303" ht="15" customHeight="1">
      <c r="A2303" t="inlineStr">
        <is>
          <t>A 8820-2023</t>
        </is>
      </c>
      <c r="B2303" s="1" t="n">
        <v>44973</v>
      </c>
      <c r="C2303" s="1" t="n">
        <v>45224</v>
      </c>
      <c r="D2303" t="inlineStr">
        <is>
          <t>STOCKHOLMS LÄN</t>
        </is>
      </c>
      <c r="E2303" t="inlineStr">
        <is>
          <t>VALLENTUNA</t>
        </is>
      </c>
      <c r="G2303" t="n">
        <v>7</v>
      </c>
      <c r="H2303" t="n">
        <v>0</v>
      </c>
      <c r="I2303" t="n">
        <v>0</v>
      </c>
      <c r="J2303" t="n">
        <v>0</v>
      </c>
      <c r="K2303" t="n">
        <v>0</v>
      </c>
      <c r="L2303" t="n">
        <v>0</v>
      </c>
      <c r="M2303" t="n">
        <v>0</v>
      </c>
      <c r="N2303" t="n">
        <v>0</v>
      </c>
      <c r="O2303" t="n">
        <v>0</v>
      </c>
      <c r="P2303" t="n">
        <v>0</v>
      </c>
      <c r="Q2303" t="n">
        <v>0</v>
      </c>
      <c r="R2303" s="2" t="inlineStr"/>
    </row>
    <row r="2304" ht="15" customHeight="1">
      <c r="A2304" t="inlineStr">
        <is>
          <t>A 7776-2023</t>
        </is>
      </c>
      <c r="B2304" s="1" t="n">
        <v>44973</v>
      </c>
      <c r="C2304" s="1" t="n">
        <v>45224</v>
      </c>
      <c r="D2304" t="inlineStr">
        <is>
          <t>STOCKHOLMS LÄN</t>
        </is>
      </c>
      <c r="E2304" t="inlineStr">
        <is>
          <t>NYNÄSHAMN</t>
        </is>
      </c>
      <c r="G2304" t="n">
        <v>0.7</v>
      </c>
      <c r="H2304" t="n">
        <v>0</v>
      </c>
      <c r="I2304" t="n">
        <v>0</v>
      </c>
      <c r="J2304" t="n">
        <v>0</v>
      </c>
      <c r="K2304" t="n">
        <v>0</v>
      </c>
      <c r="L2304" t="n">
        <v>0</v>
      </c>
      <c r="M2304" t="n">
        <v>0</v>
      </c>
      <c r="N2304" t="n">
        <v>0</v>
      </c>
      <c r="O2304" t="n">
        <v>0</v>
      </c>
      <c r="P2304" t="n">
        <v>0</v>
      </c>
      <c r="Q2304" t="n">
        <v>0</v>
      </c>
      <c r="R2304" s="2" t="inlineStr"/>
    </row>
    <row r="2305" ht="15" customHeight="1">
      <c r="A2305" t="inlineStr">
        <is>
          <t>A 8296-2023</t>
        </is>
      </c>
      <c r="B2305" s="1" t="n">
        <v>44974</v>
      </c>
      <c r="C2305" s="1" t="n">
        <v>45224</v>
      </c>
      <c r="D2305" t="inlineStr">
        <is>
          <t>STOCKHOLMS LÄN</t>
        </is>
      </c>
      <c r="E2305" t="inlineStr">
        <is>
          <t>NORRTÄLJE</t>
        </is>
      </c>
      <c r="G2305" t="n">
        <v>3.8</v>
      </c>
      <c r="H2305" t="n">
        <v>0</v>
      </c>
      <c r="I2305" t="n">
        <v>0</v>
      </c>
      <c r="J2305" t="n">
        <v>0</v>
      </c>
      <c r="K2305" t="n">
        <v>0</v>
      </c>
      <c r="L2305" t="n">
        <v>0</v>
      </c>
      <c r="M2305" t="n">
        <v>0</v>
      </c>
      <c r="N2305" t="n">
        <v>0</v>
      </c>
      <c r="O2305" t="n">
        <v>0</v>
      </c>
      <c r="P2305" t="n">
        <v>0</v>
      </c>
      <c r="Q2305" t="n">
        <v>0</v>
      </c>
      <c r="R2305" s="2" t="inlineStr"/>
    </row>
    <row r="2306" ht="15" customHeight="1">
      <c r="A2306" t="inlineStr">
        <is>
          <t>A 8586-2023</t>
        </is>
      </c>
      <c r="B2306" s="1" t="n">
        <v>44977</v>
      </c>
      <c r="C2306" s="1" t="n">
        <v>45224</v>
      </c>
      <c r="D2306" t="inlineStr">
        <is>
          <t>STOCKHOLMS LÄN</t>
        </is>
      </c>
      <c r="E2306" t="inlineStr">
        <is>
          <t>NORRTÄLJE</t>
        </is>
      </c>
      <c r="G2306" t="n">
        <v>0.6</v>
      </c>
      <c r="H2306" t="n">
        <v>0</v>
      </c>
      <c r="I2306" t="n">
        <v>0</v>
      </c>
      <c r="J2306" t="n">
        <v>0</v>
      </c>
      <c r="K2306" t="n">
        <v>0</v>
      </c>
      <c r="L2306" t="n">
        <v>0</v>
      </c>
      <c r="M2306" t="n">
        <v>0</v>
      </c>
      <c r="N2306" t="n">
        <v>0</v>
      </c>
      <c r="O2306" t="n">
        <v>0</v>
      </c>
      <c r="P2306" t="n">
        <v>0</v>
      </c>
      <c r="Q2306" t="n">
        <v>0</v>
      </c>
      <c r="R2306" s="2" t="inlineStr"/>
    </row>
    <row r="2307" ht="15" customHeight="1">
      <c r="A2307" t="inlineStr">
        <is>
          <t>A 8611-2023</t>
        </is>
      </c>
      <c r="B2307" s="1" t="n">
        <v>44977</v>
      </c>
      <c r="C2307" s="1" t="n">
        <v>45224</v>
      </c>
      <c r="D2307" t="inlineStr">
        <is>
          <t>STOCKHOLMS LÄN</t>
        </is>
      </c>
      <c r="E2307" t="inlineStr">
        <is>
          <t>SÖDERTÄLJE</t>
        </is>
      </c>
      <c r="G2307" t="n">
        <v>0.3</v>
      </c>
      <c r="H2307" t="n">
        <v>0</v>
      </c>
      <c r="I2307" t="n">
        <v>0</v>
      </c>
      <c r="J2307" t="n">
        <v>0</v>
      </c>
      <c r="K2307" t="n">
        <v>0</v>
      </c>
      <c r="L2307" t="n">
        <v>0</v>
      </c>
      <c r="M2307" t="n">
        <v>0</v>
      </c>
      <c r="N2307" t="n">
        <v>0</v>
      </c>
      <c r="O2307" t="n">
        <v>0</v>
      </c>
      <c r="P2307" t="n">
        <v>0</v>
      </c>
      <c r="Q2307" t="n">
        <v>0</v>
      </c>
      <c r="R2307" s="2" t="inlineStr"/>
    </row>
    <row r="2308" ht="15" customHeight="1">
      <c r="A2308" t="inlineStr">
        <is>
          <t>A 9224-2023</t>
        </is>
      </c>
      <c r="B2308" s="1" t="n">
        <v>44977</v>
      </c>
      <c r="C2308" s="1" t="n">
        <v>45224</v>
      </c>
      <c r="D2308" t="inlineStr">
        <is>
          <t>STOCKHOLMS LÄN</t>
        </is>
      </c>
      <c r="E2308" t="inlineStr">
        <is>
          <t>SIGTUNA</t>
        </is>
      </c>
      <c r="G2308" t="n">
        <v>2.2</v>
      </c>
      <c r="H2308" t="n">
        <v>0</v>
      </c>
      <c r="I2308" t="n">
        <v>0</v>
      </c>
      <c r="J2308" t="n">
        <v>0</v>
      </c>
      <c r="K2308" t="n">
        <v>0</v>
      </c>
      <c r="L2308" t="n">
        <v>0</v>
      </c>
      <c r="M2308" t="n">
        <v>0</v>
      </c>
      <c r="N2308" t="n">
        <v>0</v>
      </c>
      <c r="O2308" t="n">
        <v>0</v>
      </c>
      <c r="P2308" t="n">
        <v>0</v>
      </c>
      <c r="Q2308" t="n">
        <v>0</v>
      </c>
      <c r="R2308" s="2" t="inlineStr"/>
    </row>
    <row r="2309" ht="15" customHeight="1">
      <c r="A2309" t="inlineStr">
        <is>
          <t>A 9401-2023</t>
        </is>
      </c>
      <c r="B2309" s="1" t="n">
        <v>44977</v>
      </c>
      <c r="C2309" s="1" t="n">
        <v>45224</v>
      </c>
      <c r="D2309" t="inlineStr">
        <is>
          <t>STOCKHOLMS LÄN</t>
        </is>
      </c>
      <c r="E2309" t="inlineStr">
        <is>
          <t>NORRTÄLJE</t>
        </is>
      </c>
      <c r="G2309" t="n">
        <v>8.300000000000001</v>
      </c>
      <c r="H2309" t="n">
        <v>0</v>
      </c>
      <c r="I2309" t="n">
        <v>0</v>
      </c>
      <c r="J2309" t="n">
        <v>0</v>
      </c>
      <c r="K2309" t="n">
        <v>0</v>
      </c>
      <c r="L2309" t="n">
        <v>0</v>
      </c>
      <c r="M2309" t="n">
        <v>0</v>
      </c>
      <c r="N2309" t="n">
        <v>0</v>
      </c>
      <c r="O2309" t="n">
        <v>0</v>
      </c>
      <c r="P2309" t="n">
        <v>0</v>
      </c>
      <c r="Q2309" t="n">
        <v>0</v>
      </c>
      <c r="R2309" s="2" t="inlineStr"/>
    </row>
    <row r="2310" ht="15" customHeight="1">
      <c r="A2310" t="inlineStr">
        <is>
          <t>A 8939-2023</t>
        </is>
      </c>
      <c r="B2310" s="1" t="n">
        <v>44979</v>
      </c>
      <c r="C2310" s="1" t="n">
        <v>45224</v>
      </c>
      <c r="D2310" t="inlineStr">
        <is>
          <t>STOCKHOLMS LÄN</t>
        </is>
      </c>
      <c r="E2310" t="inlineStr">
        <is>
          <t>NYNÄSHAMN</t>
        </is>
      </c>
      <c r="G2310" t="n">
        <v>2.7</v>
      </c>
      <c r="H2310" t="n">
        <v>0</v>
      </c>
      <c r="I2310" t="n">
        <v>0</v>
      </c>
      <c r="J2310" t="n">
        <v>0</v>
      </c>
      <c r="K2310" t="n">
        <v>0</v>
      </c>
      <c r="L2310" t="n">
        <v>0</v>
      </c>
      <c r="M2310" t="n">
        <v>0</v>
      </c>
      <c r="N2310" t="n">
        <v>0</v>
      </c>
      <c r="O2310" t="n">
        <v>0</v>
      </c>
      <c r="P2310" t="n">
        <v>0</v>
      </c>
      <c r="Q2310" t="n">
        <v>0</v>
      </c>
      <c r="R2310" s="2" t="inlineStr"/>
    </row>
    <row r="2311" ht="15" customHeight="1">
      <c r="A2311" t="inlineStr">
        <is>
          <t>A 9011-2023</t>
        </is>
      </c>
      <c r="B2311" s="1" t="n">
        <v>44979</v>
      </c>
      <c r="C2311" s="1" t="n">
        <v>45224</v>
      </c>
      <c r="D2311" t="inlineStr">
        <is>
          <t>STOCKHOLMS LÄN</t>
        </is>
      </c>
      <c r="E2311" t="inlineStr">
        <is>
          <t>NYNÄSHAMN</t>
        </is>
      </c>
      <c r="F2311" t="inlineStr">
        <is>
          <t>Kommuner</t>
        </is>
      </c>
      <c r="G2311" t="n">
        <v>2.7</v>
      </c>
      <c r="H2311" t="n">
        <v>0</v>
      </c>
      <c r="I2311" t="n">
        <v>0</v>
      </c>
      <c r="J2311" t="n">
        <v>0</v>
      </c>
      <c r="K2311" t="n">
        <v>0</v>
      </c>
      <c r="L2311" t="n">
        <v>0</v>
      </c>
      <c r="M2311" t="n">
        <v>0</v>
      </c>
      <c r="N2311" t="n">
        <v>0</v>
      </c>
      <c r="O2311" t="n">
        <v>0</v>
      </c>
      <c r="P2311" t="n">
        <v>0</v>
      </c>
      <c r="Q2311" t="n">
        <v>0</v>
      </c>
      <c r="R2311" s="2" t="inlineStr"/>
    </row>
    <row r="2312" ht="15" customHeight="1">
      <c r="A2312" t="inlineStr">
        <is>
          <t>A 8899-2023</t>
        </is>
      </c>
      <c r="B2312" s="1" t="n">
        <v>44979</v>
      </c>
      <c r="C2312" s="1" t="n">
        <v>45224</v>
      </c>
      <c r="D2312" t="inlineStr">
        <is>
          <t>STOCKHOLMS LÄN</t>
        </is>
      </c>
      <c r="E2312" t="inlineStr">
        <is>
          <t>NORRTÄLJE</t>
        </is>
      </c>
      <c r="F2312" t="inlineStr">
        <is>
          <t>Naturvårdsverket</t>
        </is>
      </c>
      <c r="G2312" t="n">
        <v>14.9</v>
      </c>
      <c r="H2312" t="n">
        <v>0</v>
      </c>
      <c r="I2312" t="n">
        <v>0</v>
      </c>
      <c r="J2312" t="n">
        <v>0</v>
      </c>
      <c r="K2312" t="n">
        <v>0</v>
      </c>
      <c r="L2312" t="n">
        <v>0</v>
      </c>
      <c r="M2312" t="n">
        <v>0</v>
      </c>
      <c r="N2312" t="n">
        <v>0</v>
      </c>
      <c r="O2312" t="n">
        <v>0</v>
      </c>
      <c r="P2312" t="n">
        <v>0</v>
      </c>
      <c r="Q2312" t="n">
        <v>0</v>
      </c>
      <c r="R2312" s="2" t="inlineStr"/>
    </row>
    <row r="2313" ht="15" customHeight="1">
      <c r="A2313" t="inlineStr">
        <is>
          <t>A 9017-2023</t>
        </is>
      </c>
      <c r="B2313" s="1" t="n">
        <v>44979</v>
      </c>
      <c r="C2313" s="1" t="n">
        <v>45224</v>
      </c>
      <c r="D2313" t="inlineStr">
        <is>
          <t>STOCKHOLMS LÄN</t>
        </is>
      </c>
      <c r="E2313" t="inlineStr">
        <is>
          <t>NYNÄSHAMN</t>
        </is>
      </c>
      <c r="F2313" t="inlineStr">
        <is>
          <t>Kommuner</t>
        </is>
      </c>
      <c r="G2313" t="n">
        <v>2.7</v>
      </c>
      <c r="H2313" t="n">
        <v>0</v>
      </c>
      <c r="I2313" t="n">
        <v>0</v>
      </c>
      <c r="J2313" t="n">
        <v>0</v>
      </c>
      <c r="K2313" t="n">
        <v>0</v>
      </c>
      <c r="L2313" t="n">
        <v>0</v>
      </c>
      <c r="M2313" t="n">
        <v>0</v>
      </c>
      <c r="N2313" t="n">
        <v>0</v>
      </c>
      <c r="O2313" t="n">
        <v>0</v>
      </c>
      <c r="P2313" t="n">
        <v>0</v>
      </c>
      <c r="Q2313" t="n">
        <v>0</v>
      </c>
      <c r="R2313" s="2" t="inlineStr"/>
    </row>
    <row r="2314" ht="15" customHeight="1">
      <c r="A2314" t="inlineStr">
        <is>
          <t>A 9032-2023</t>
        </is>
      </c>
      <c r="B2314" s="1" t="n">
        <v>44979</v>
      </c>
      <c r="C2314" s="1" t="n">
        <v>45224</v>
      </c>
      <c r="D2314" t="inlineStr">
        <is>
          <t>STOCKHOLMS LÄN</t>
        </is>
      </c>
      <c r="E2314" t="inlineStr">
        <is>
          <t>BOTKYRKA</t>
        </is>
      </c>
      <c r="G2314" t="n">
        <v>2.6</v>
      </c>
      <c r="H2314" t="n">
        <v>0</v>
      </c>
      <c r="I2314" t="n">
        <v>0</v>
      </c>
      <c r="J2314" t="n">
        <v>0</v>
      </c>
      <c r="K2314" t="n">
        <v>0</v>
      </c>
      <c r="L2314" t="n">
        <v>0</v>
      </c>
      <c r="M2314" t="n">
        <v>0</v>
      </c>
      <c r="N2314" t="n">
        <v>0</v>
      </c>
      <c r="O2314" t="n">
        <v>0</v>
      </c>
      <c r="P2314" t="n">
        <v>0</v>
      </c>
      <c r="Q2314" t="n">
        <v>0</v>
      </c>
      <c r="R2314" s="2" t="inlineStr"/>
    </row>
    <row r="2315" ht="15" customHeight="1">
      <c r="A2315" t="inlineStr">
        <is>
          <t>A 8932-2023</t>
        </is>
      </c>
      <c r="B2315" s="1" t="n">
        <v>44979</v>
      </c>
      <c r="C2315" s="1" t="n">
        <v>45224</v>
      </c>
      <c r="D2315" t="inlineStr">
        <is>
          <t>STOCKHOLMS LÄN</t>
        </is>
      </c>
      <c r="E2315" t="inlineStr">
        <is>
          <t>NYNÄSHAMN</t>
        </is>
      </c>
      <c r="G2315" t="n">
        <v>2.3</v>
      </c>
      <c r="H2315" t="n">
        <v>0</v>
      </c>
      <c r="I2315" t="n">
        <v>0</v>
      </c>
      <c r="J2315" t="n">
        <v>0</v>
      </c>
      <c r="K2315" t="n">
        <v>0</v>
      </c>
      <c r="L2315" t="n">
        <v>0</v>
      </c>
      <c r="M2315" t="n">
        <v>0</v>
      </c>
      <c r="N2315" t="n">
        <v>0</v>
      </c>
      <c r="O2315" t="n">
        <v>0</v>
      </c>
      <c r="P2315" t="n">
        <v>0</v>
      </c>
      <c r="Q2315" t="n">
        <v>0</v>
      </c>
      <c r="R2315" s="2" t="inlineStr"/>
    </row>
    <row r="2316" ht="15" customHeight="1">
      <c r="A2316" t="inlineStr">
        <is>
          <t>A 9020-2023</t>
        </is>
      </c>
      <c r="B2316" s="1" t="n">
        <v>44979</v>
      </c>
      <c r="C2316" s="1" t="n">
        <v>45224</v>
      </c>
      <c r="D2316" t="inlineStr">
        <is>
          <t>STOCKHOLMS LÄN</t>
        </is>
      </c>
      <c r="E2316" t="inlineStr">
        <is>
          <t>NYNÄSHAMN</t>
        </is>
      </c>
      <c r="F2316" t="inlineStr">
        <is>
          <t>Kommuner</t>
        </is>
      </c>
      <c r="G2316" t="n">
        <v>8.1</v>
      </c>
      <c r="H2316" t="n">
        <v>0</v>
      </c>
      <c r="I2316" t="n">
        <v>0</v>
      </c>
      <c r="J2316" t="n">
        <v>0</v>
      </c>
      <c r="K2316" t="n">
        <v>0</v>
      </c>
      <c r="L2316" t="n">
        <v>0</v>
      </c>
      <c r="M2316" t="n">
        <v>0</v>
      </c>
      <c r="N2316" t="n">
        <v>0</v>
      </c>
      <c r="O2316" t="n">
        <v>0</v>
      </c>
      <c r="P2316" t="n">
        <v>0</v>
      </c>
      <c r="Q2316" t="n">
        <v>0</v>
      </c>
      <c r="R2316" s="2" t="inlineStr"/>
    </row>
    <row r="2317" ht="15" customHeight="1">
      <c r="A2317" t="inlineStr">
        <is>
          <t>A 9189-2023</t>
        </is>
      </c>
      <c r="B2317" s="1" t="n">
        <v>44980</v>
      </c>
      <c r="C2317" s="1" t="n">
        <v>45224</v>
      </c>
      <c r="D2317" t="inlineStr">
        <is>
          <t>STOCKHOLMS LÄN</t>
        </is>
      </c>
      <c r="E2317" t="inlineStr">
        <is>
          <t>NORRTÄLJE</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9329-2023</t>
        </is>
      </c>
      <c r="B2318" s="1" t="n">
        <v>44980</v>
      </c>
      <c r="C2318" s="1" t="n">
        <v>45224</v>
      </c>
      <c r="D2318" t="inlineStr">
        <is>
          <t>STOCKHOLMS LÄN</t>
        </is>
      </c>
      <c r="E2318" t="inlineStr">
        <is>
          <t>NORRTÄLJE</t>
        </is>
      </c>
      <c r="G2318" t="n">
        <v>1.3</v>
      </c>
      <c r="H2318" t="n">
        <v>0</v>
      </c>
      <c r="I2318" t="n">
        <v>0</v>
      </c>
      <c r="J2318" t="n">
        <v>0</v>
      </c>
      <c r="K2318" t="n">
        <v>0</v>
      </c>
      <c r="L2318" t="n">
        <v>0</v>
      </c>
      <c r="M2318" t="n">
        <v>0</v>
      </c>
      <c r="N2318" t="n">
        <v>0</v>
      </c>
      <c r="O2318" t="n">
        <v>0</v>
      </c>
      <c r="P2318" t="n">
        <v>0</v>
      </c>
      <c r="Q2318" t="n">
        <v>0</v>
      </c>
      <c r="R2318" s="2" t="inlineStr"/>
    </row>
    <row r="2319" ht="15" customHeight="1">
      <c r="A2319" t="inlineStr">
        <is>
          <t>A 9184-2023</t>
        </is>
      </c>
      <c r="B2319" s="1" t="n">
        <v>44980</v>
      </c>
      <c r="C2319" s="1" t="n">
        <v>45224</v>
      </c>
      <c r="D2319" t="inlineStr">
        <is>
          <t>STOCKHOLMS LÄN</t>
        </is>
      </c>
      <c r="E2319" t="inlineStr">
        <is>
          <t>NORRTÄLJE</t>
        </is>
      </c>
      <c r="G2319" t="n">
        <v>2.6</v>
      </c>
      <c r="H2319" t="n">
        <v>0</v>
      </c>
      <c r="I2319" t="n">
        <v>0</v>
      </c>
      <c r="J2319" t="n">
        <v>0</v>
      </c>
      <c r="K2319" t="n">
        <v>0</v>
      </c>
      <c r="L2319" t="n">
        <v>0</v>
      </c>
      <c r="M2319" t="n">
        <v>0</v>
      </c>
      <c r="N2319" t="n">
        <v>0</v>
      </c>
      <c r="O2319" t="n">
        <v>0</v>
      </c>
      <c r="P2319" t="n">
        <v>0</v>
      </c>
      <c r="Q2319" t="n">
        <v>0</v>
      </c>
      <c r="R2319" s="2" t="inlineStr"/>
    </row>
    <row r="2320" ht="15" customHeight="1">
      <c r="A2320" t="inlineStr">
        <is>
          <t>A 9255-2023</t>
        </is>
      </c>
      <c r="B2320" s="1" t="n">
        <v>44980</v>
      </c>
      <c r="C2320" s="1" t="n">
        <v>45224</v>
      </c>
      <c r="D2320" t="inlineStr">
        <is>
          <t>STOCKHOLMS LÄN</t>
        </is>
      </c>
      <c r="E2320" t="inlineStr">
        <is>
          <t>NORRTÄLJE</t>
        </is>
      </c>
      <c r="G2320" t="n">
        <v>4.7</v>
      </c>
      <c r="H2320" t="n">
        <v>0</v>
      </c>
      <c r="I2320" t="n">
        <v>0</v>
      </c>
      <c r="J2320" t="n">
        <v>0</v>
      </c>
      <c r="K2320" t="n">
        <v>0</v>
      </c>
      <c r="L2320" t="n">
        <v>0</v>
      </c>
      <c r="M2320" t="n">
        <v>0</v>
      </c>
      <c r="N2320" t="n">
        <v>0</v>
      </c>
      <c r="O2320" t="n">
        <v>0</v>
      </c>
      <c r="P2320" t="n">
        <v>0</v>
      </c>
      <c r="Q2320" t="n">
        <v>0</v>
      </c>
      <c r="R2320" s="2" t="inlineStr"/>
    </row>
    <row r="2321" ht="15" customHeight="1">
      <c r="A2321" t="inlineStr">
        <is>
          <t>A 9793-2023</t>
        </is>
      </c>
      <c r="B2321" s="1" t="n">
        <v>44984</v>
      </c>
      <c r="C2321" s="1" t="n">
        <v>45224</v>
      </c>
      <c r="D2321" t="inlineStr">
        <is>
          <t>STOCKHOLMS LÄN</t>
        </is>
      </c>
      <c r="E2321" t="inlineStr">
        <is>
          <t>NORRTÄLJE</t>
        </is>
      </c>
      <c r="G2321" t="n">
        <v>0.9</v>
      </c>
      <c r="H2321" t="n">
        <v>0</v>
      </c>
      <c r="I2321" t="n">
        <v>0</v>
      </c>
      <c r="J2321" t="n">
        <v>0</v>
      </c>
      <c r="K2321" t="n">
        <v>0</v>
      </c>
      <c r="L2321" t="n">
        <v>0</v>
      </c>
      <c r="M2321" t="n">
        <v>0</v>
      </c>
      <c r="N2321" t="n">
        <v>0</v>
      </c>
      <c r="O2321" t="n">
        <v>0</v>
      </c>
      <c r="P2321" t="n">
        <v>0</v>
      </c>
      <c r="Q2321" t="n">
        <v>0</v>
      </c>
      <c r="R2321" s="2" t="inlineStr"/>
    </row>
    <row r="2322" ht="15" customHeight="1">
      <c r="A2322" t="inlineStr">
        <is>
          <t>A 9945-2023</t>
        </is>
      </c>
      <c r="B2322" s="1" t="n">
        <v>44985</v>
      </c>
      <c r="C2322" s="1" t="n">
        <v>45224</v>
      </c>
      <c r="D2322" t="inlineStr">
        <is>
          <t>STOCKHOLMS LÄN</t>
        </is>
      </c>
      <c r="E2322" t="inlineStr">
        <is>
          <t>NORRTÄLJE</t>
        </is>
      </c>
      <c r="G2322" t="n">
        <v>1.7</v>
      </c>
      <c r="H2322" t="n">
        <v>0</v>
      </c>
      <c r="I2322" t="n">
        <v>0</v>
      </c>
      <c r="J2322" t="n">
        <v>0</v>
      </c>
      <c r="K2322" t="n">
        <v>0</v>
      </c>
      <c r="L2322" t="n">
        <v>0</v>
      </c>
      <c r="M2322" t="n">
        <v>0</v>
      </c>
      <c r="N2322" t="n">
        <v>0</v>
      </c>
      <c r="O2322" t="n">
        <v>0</v>
      </c>
      <c r="P2322" t="n">
        <v>0</v>
      </c>
      <c r="Q2322" t="n">
        <v>0</v>
      </c>
      <c r="R2322" s="2" t="inlineStr"/>
    </row>
    <row r="2323" ht="15" customHeight="1">
      <c r="A2323" t="inlineStr">
        <is>
          <t>A 9965-2023</t>
        </is>
      </c>
      <c r="B2323" s="1" t="n">
        <v>44985</v>
      </c>
      <c r="C2323" s="1" t="n">
        <v>45224</v>
      </c>
      <c r="D2323" t="inlineStr">
        <is>
          <t>STOCKHOLMS LÄN</t>
        </is>
      </c>
      <c r="E2323" t="inlineStr">
        <is>
          <t>NORRTÄLJE</t>
        </is>
      </c>
      <c r="G2323" t="n">
        <v>3.4</v>
      </c>
      <c r="H2323" t="n">
        <v>0</v>
      </c>
      <c r="I2323" t="n">
        <v>0</v>
      </c>
      <c r="J2323" t="n">
        <v>0</v>
      </c>
      <c r="K2323" t="n">
        <v>0</v>
      </c>
      <c r="L2323" t="n">
        <v>0</v>
      </c>
      <c r="M2323" t="n">
        <v>0</v>
      </c>
      <c r="N2323" t="n">
        <v>0</v>
      </c>
      <c r="O2323" t="n">
        <v>0</v>
      </c>
      <c r="P2323" t="n">
        <v>0</v>
      </c>
      <c r="Q2323" t="n">
        <v>0</v>
      </c>
      <c r="R2323" s="2" t="inlineStr"/>
    </row>
    <row r="2324" ht="15" customHeight="1">
      <c r="A2324" t="inlineStr">
        <is>
          <t>A 9914-2023</t>
        </is>
      </c>
      <c r="B2324" s="1" t="n">
        <v>44985</v>
      </c>
      <c r="C2324" s="1" t="n">
        <v>45224</v>
      </c>
      <c r="D2324" t="inlineStr">
        <is>
          <t>STOCKHOLMS LÄN</t>
        </is>
      </c>
      <c r="E2324" t="inlineStr">
        <is>
          <t>NORRTÄLJE</t>
        </is>
      </c>
      <c r="G2324" t="n">
        <v>4.2</v>
      </c>
      <c r="H2324" t="n">
        <v>0</v>
      </c>
      <c r="I2324" t="n">
        <v>0</v>
      </c>
      <c r="J2324" t="n">
        <v>0</v>
      </c>
      <c r="K2324" t="n">
        <v>0</v>
      </c>
      <c r="L2324" t="n">
        <v>0</v>
      </c>
      <c r="M2324" t="n">
        <v>0</v>
      </c>
      <c r="N2324" t="n">
        <v>0</v>
      </c>
      <c r="O2324" t="n">
        <v>0</v>
      </c>
      <c r="P2324" t="n">
        <v>0</v>
      </c>
      <c r="Q2324" t="n">
        <v>0</v>
      </c>
      <c r="R2324" s="2" t="inlineStr"/>
    </row>
    <row r="2325" ht="15" customHeight="1">
      <c r="A2325" t="inlineStr">
        <is>
          <t>A 10105-2023</t>
        </is>
      </c>
      <c r="B2325" s="1" t="n">
        <v>44986</v>
      </c>
      <c r="C2325" s="1" t="n">
        <v>45224</v>
      </c>
      <c r="D2325" t="inlineStr">
        <is>
          <t>STOCKHOLMS LÄN</t>
        </is>
      </c>
      <c r="E2325" t="inlineStr">
        <is>
          <t>NORRTÄLJE</t>
        </is>
      </c>
      <c r="G2325" t="n">
        <v>1.7</v>
      </c>
      <c r="H2325" t="n">
        <v>0</v>
      </c>
      <c r="I2325" t="n">
        <v>0</v>
      </c>
      <c r="J2325" t="n">
        <v>0</v>
      </c>
      <c r="K2325" t="n">
        <v>0</v>
      </c>
      <c r="L2325" t="n">
        <v>0</v>
      </c>
      <c r="M2325" t="n">
        <v>0</v>
      </c>
      <c r="N2325" t="n">
        <v>0</v>
      </c>
      <c r="O2325" t="n">
        <v>0</v>
      </c>
      <c r="P2325" t="n">
        <v>0</v>
      </c>
      <c r="Q2325" t="n">
        <v>0</v>
      </c>
      <c r="R2325" s="2" t="inlineStr"/>
    </row>
    <row r="2326" ht="15" customHeight="1">
      <c r="A2326" t="inlineStr">
        <is>
          <t>A 10336-2023</t>
        </is>
      </c>
      <c r="B2326" s="1" t="n">
        <v>44987</v>
      </c>
      <c r="C2326" s="1" t="n">
        <v>45224</v>
      </c>
      <c r="D2326" t="inlineStr">
        <is>
          <t>STOCKHOLMS LÄN</t>
        </is>
      </c>
      <c r="E2326" t="inlineStr">
        <is>
          <t>NYKVARN</t>
        </is>
      </c>
      <c r="F2326" t="inlineStr">
        <is>
          <t>Sveaskog</t>
        </is>
      </c>
      <c r="G2326" t="n">
        <v>8.4</v>
      </c>
      <c r="H2326" t="n">
        <v>0</v>
      </c>
      <c r="I2326" t="n">
        <v>0</v>
      </c>
      <c r="J2326" t="n">
        <v>0</v>
      </c>
      <c r="K2326" t="n">
        <v>0</v>
      </c>
      <c r="L2326" t="n">
        <v>0</v>
      </c>
      <c r="M2326" t="n">
        <v>0</v>
      </c>
      <c r="N2326" t="n">
        <v>0</v>
      </c>
      <c r="O2326" t="n">
        <v>0</v>
      </c>
      <c r="P2326" t="n">
        <v>0</v>
      </c>
      <c r="Q2326" t="n">
        <v>0</v>
      </c>
      <c r="R2326" s="2" t="inlineStr"/>
    </row>
    <row r="2327" ht="15" customHeight="1">
      <c r="A2327" t="inlineStr">
        <is>
          <t>A 10615-2023</t>
        </is>
      </c>
      <c r="B2327" s="1" t="n">
        <v>44988</v>
      </c>
      <c r="C2327" s="1" t="n">
        <v>45224</v>
      </c>
      <c r="D2327" t="inlineStr">
        <is>
          <t>STOCKHOLMS LÄN</t>
        </is>
      </c>
      <c r="E2327" t="inlineStr">
        <is>
          <t>NYNÄSHAMN</t>
        </is>
      </c>
      <c r="G2327" t="n">
        <v>0.6</v>
      </c>
      <c r="H2327" t="n">
        <v>0</v>
      </c>
      <c r="I2327" t="n">
        <v>0</v>
      </c>
      <c r="J2327" t="n">
        <v>0</v>
      </c>
      <c r="K2327" t="n">
        <v>0</v>
      </c>
      <c r="L2327" t="n">
        <v>0</v>
      </c>
      <c r="M2327" t="n">
        <v>0</v>
      </c>
      <c r="N2327" t="n">
        <v>0</v>
      </c>
      <c r="O2327" t="n">
        <v>0</v>
      </c>
      <c r="P2327" t="n">
        <v>0</v>
      </c>
      <c r="Q2327" t="n">
        <v>0</v>
      </c>
      <c r="R2327" s="2" t="inlineStr"/>
    </row>
    <row r="2328" ht="15" customHeight="1">
      <c r="A2328" t="inlineStr">
        <is>
          <t>A 11285-2023</t>
        </is>
      </c>
      <c r="B2328" s="1" t="n">
        <v>44992</v>
      </c>
      <c r="C2328" s="1" t="n">
        <v>45224</v>
      </c>
      <c r="D2328" t="inlineStr">
        <is>
          <t>STOCKHOLMS LÄN</t>
        </is>
      </c>
      <c r="E2328" t="inlineStr">
        <is>
          <t>SIGTUNA</t>
        </is>
      </c>
      <c r="G2328" t="n">
        <v>0.7</v>
      </c>
      <c r="H2328" t="n">
        <v>0</v>
      </c>
      <c r="I2328" t="n">
        <v>0</v>
      </c>
      <c r="J2328" t="n">
        <v>0</v>
      </c>
      <c r="K2328" t="n">
        <v>0</v>
      </c>
      <c r="L2328" t="n">
        <v>0</v>
      </c>
      <c r="M2328" t="n">
        <v>0</v>
      </c>
      <c r="N2328" t="n">
        <v>0</v>
      </c>
      <c r="O2328" t="n">
        <v>0</v>
      </c>
      <c r="P2328" t="n">
        <v>0</v>
      </c>
      <c r="Q2328" t="n">
        <v>0</v>
      </c>
      <c r="R2328" s="2" t="inlineStr"/>
    </row>
    <row r="2329" ht="15" customHeight="1">
      <c r="A2329" t="inlineStr">
        <is>
          <t>A 11280-2023</t>
        </is>
      </c>
      <c r="B2329" s="1" t="n">
        <v>44992</v>
      </c>
      <c r="C2329" s="1" t="n">
        <v>45224</v>
      </c>
      <c r="D2329" t="inlineStr">
        <is>
          <t>STOCKHOLMS LÄN</t>
        </is>
      </c>
      <c r="E2329" t="inlineStr">
        <is>
          <t>NORRTÄLJE</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12282-2023</t>
        </is>
      </c>
      <c r="B2330" s="1" t="n">
        <v>44995</v>
      </c>
      <c r="C2330" s="1" t="n">
        <v>45224</v>
      </c>
      <c r="D2330" t="inlineStr">
        <is>
          <t>STOCKHOLMS LÄN</t>
        </is>
      </c>
      <c r="E2330" t="inlineStr">
        <is>
          <t>BOTKYRKA</t>
        </is>
      </c>
      <c r="F2330" t="inlineStr">
        <is>
          <t>Övriga statliga verk och myndigheter</t>
        </is>
      </c>
      <c r="G2330" t="n">
        <v>0.6</v>
      </c>
      <c r="H2330" t="n">
        <v>0</v>
      </c>
      <c r="I2330" t="n">
        <v>0</v>
      </c>
      <c r="J2330" t="n">
        <v>0</v>
      </c>
      <c r="K2330" t="n">
        <v>0</v>
      </c>
      <c r="L2330" t="n">
        <v>0</v>
      </c>
      <c r="M2330" t="n">
        <v>0</v>
      </c>
      <c r="N2330" t="n">
        <v>0</v>
      </c>
      <c r="O2330" t="n">
        <v>0</v>
      </c>
      <c r="P2330" t="n">
        <v>0</v>
      </c>
      <c r="Q2330" t="n">
        <v>0</v>
      </c>
      <c r="R2330" s="2" t="inlineStr"/>
    </row>
    <row r="2331" ht="15" customHeight="1">
      <c r="A2331" t="inlineStr">
        <is>
          <t>A 11940-2023</t>
        </is>
      </c>
      <c r="B2331" s="1" t="n">
        <v>44995</v>
      </c>
      <c r="C2331" s="1" t="n">
        <v>45224</v>
      </c>
      <c r="D2331" t="inlineStr">
        <is>
          <t>STOCKHOLMS LÄN</t>
        </is>
      </c>
      <c r="E2331" t="inlineStr">
        <is>
          <t>NORRTÄLJE</t>
        </is>
      </c>
      <c r="G2331" t="n">
        <v>0.7</v>
      </c>
      <c r="H2331" t="n">
        <v>0</v>
      </c>
      <c r="I2331" t="n">
        <v>0</v>
      </c>
      <c r="J2331" t="n">
        <v>0</v>
      </c>
      <c r="K2331" t="n">
        <v>0</v>
      </c>
      <c r="L2331" t="n">
        <v>0</v>
      </c>
      <c r="M2331" t="n">
        <v>0</v>
      </c>
      <c r="N2331" t="n">
        <v>0</v>
      </c>
      <c r="O2331" t="n">
        <v>0</v>
      </c>
      <c r="P2331" t="n">
        <v>0</v>
      </c>
      <c r="Q2331" t="n">
        <v>0</v>
      </c>
      <c r="R2331" s="2" t="inlineStr"/>
    </row>
    <row r="2332" ht="15" customHeight="1">
      <c r="A2332" t="inlineStr">
        <is>
          <t>A 12562-2023</t>
        </is>
      </c>
      <c r="B2332" s="1" t="n">
        <v>45000</v>
      </c>
      <c r="C2332" s="1" t="n">
        <v>45224</v>
      </c>
      <c r="D2332" t="inlineStr">
        <is>
          <t>STOCKHOLMS LÄN</t>
        </is>
      </c>
      <c r="E2332" t="inlineStr">
        <is>
          <t>VALLENTUNA</t>
        </is>
      </c>
      <c r="G2332" t="n">
        <v>2.1</v>
      </c>
      <c r="H2332" t="n">
        <v>0</v>
      </c>
      <c r="I2332" t="n">
        <v>0</v>
      </c>
      <c r="J2332" t="n">
        <v>0</v>
      </c>
      <c r="K2332" t="n">
        <v>0</v>
      </c>
      <c r="L2332" t="n">
        <v>0</v>
      </c>
      <c r="M2332" t="n">
        <v>0</v>
      </c>
      <c r="N2332" t="n">
        <v>0</v>
      </c>
      <c r="O2332" t="n">
        <v>0</v>
      </c>
      <c r="P2332" t="n">
        <v>0</v>
      </c>
      <c r="Q2332" t="n">
        <v>0</v>
      </c>
      <c r="R2332" s="2" t="inlineStr"/>
    </row>
    <row r="2333" ht="15" customHeight="1">
      <c r="A2333" t="inlineStr">
        <is>
          <t>A 13202-2023</t>
        </is>
      </c>
      <c r="B2333" s="1" t="n">
        <v>45002</v>
      </c>
      <c r="C2333" s="1" t="n">
        <v>45224</v>
      </c>
      <c r="D2333" t="inlineStr">
        <is>
          <t>STOCKHOLMS LÄN</t>
        </is>
      </c>
      <c r="E2333" t="inlineStr">
        <is>
          <t>SÖDERTÄLJE</t>
        </is>
      </c>
      <c r="G2333" t="n">
        <v>8.1</v>
      </c>
      <c r="H2333" t="n">
        <v>0</v>
      </c>
      <c r="I2333" t="n">
        <v>0</v>
      </c>
      <c r="J2333" t="n">
        <v>0</v>
      </c>
      <c r="K2333" t="n">
        <v>0</v>
      </c>
      <c r="L2333" t="n">
        <v>0</v>
      </c>
      <c r="M2333" t="n">
        <v>0</v>
      </c>
      <c r="N2333" t="n">
        <v>0</v>
      </c>
      <c r="O2333" t="n">
        <v>0</v>
      </c>
      <c r="P2333" t="n">
        <v>0</v>
      </c>
      <c r="Q2333" t="n">
        <v>0</v>
      </c>
      <c r="R2333" s="2" t="inlineStr"/>
    </row>
    <row r="2334" ht="15" customHeight="1">
      <c r="A2334" t="inlineStr">
        <is>
          <t>A 13360-2023</t>
        </is>
      </c>
      <c r="B2334" s="1" t="n">
        <v>45005</v>
      </c>
      <c r="C2334" s="1" t="n">
        <v>45224</v>
      </c>
      <c r="D2334" t="inlineStr">
        <is>
          <t>STOCKHOLMS LÄN</t>
        </is>
      </c>
      <c r="E2334" t="inlineStr">
        <is>
          <t>NORRTÄLJE</t>
        </is>
      </c>
      <c r="G2334" t="n">
        <v>2.5</v>
      </c>
      <c r="H2334" t="n">
        <v>0</v>
      </c>
      <c r="I2334" t="n">
        <v>0</v>
      </c>
      <c r="J2334" t="n">
        <v>0</v>
      </c>
      <c r="K2334" t="n">
        <v>0</v>
      </c>
      <c r="L2334" t="n">
        <v>0</v>
      </c>
      <c r="M2334" t="n">
        <v>0</v>
      </c>
      <c r="N2334" t="n">
        <v>0</v>
      </c>
      <c r="O2334" t="n">
        <v>0</v>
      </c>
      <c r="P2334" t="n">
        <v>0</v>
      </c>
      <c r="Q2334" t="n">
        <v>0</v>
      </c>
      <c r="R2334" s="2" t="inlineStr"/>
    </row>
    <row r="2335" ht="15" customHeight="1">
      <c r="A2335" t="inlineStr">
        <is>
          <t>A 13354-2023</t>
        </is>
      </c>
      <c r="B2335" s="1" t="n">
        <v>45005</v>
      </c>
      <c r="C2335" s="1" t="n">
        <v>45224</v>
      </c>
      <c r="D2335" t="inlineStr">
        <is>
          <t>STOCKHOLMS LÄN</t>
        </is>
      </c>
      <c r="E2335" t="inlineStr">
        <is>
          <t>NORRTÄLJE</t>
        </is>
      </c>
      <c r="G2335" t="n">
        <v>1.7</v>
      </c>
      <c r="H2335" t="n">
        <v>0</v>
      </c>
      <c r="I2335" t="n">
        <v>0</v>
      </c>
      <c r="J2335" t="n">
        <v>0</v>
      </c>
      <c r="K2335" t="n">
        <v>0</v>
      </c>
      <c r="L2335" t="n">
        <v>0</v>
      </c>
      <c r="M2335" t="n">
        <v>0</v>
      </c>
      <c r="N2335" t="n">
        <v>0</v>
      </c>
      <c r="O2335" t="n">
        <v>0</v>
      </c>
      <c r="P2335" t="n">
        <v>0</v>
      </c>
      <c r="Q2335" t="n">
        <v>0</v>
      </c>
      <c r="R2335" s="2" t="inlineStr"/>
    </row>
    <row r="2336" ht="15" customHeight="1">
      <c r="A2336" t="inlineStr">
        <is>
          <t>A 13860-2023</t>
        </is>
      </c>
      <c r="B2336" s="1" t="n">
        <v>45007</v>
      </c>
      <c r="C2336" s="1" t="n">
        <v>45224</v>
      </c>
      <c r="D2336" t="inlineStr">
        <is>
          <t>STOCKHOLMS LÄN</t>
        </is>
      </c>
      <c r="E2336" t="inlineStr">
        <is>
          <t>NORRTÄLJE</t>
        </is>
      </c>
      <c r="G2336" t="n">
        <v>1.6</v>
      </c>
      <c r="H2336" t="n">
        <v>0</v>
      </c>
      <c r="I2336" t="n">
        <v>0</v>
      </c>
      <c r="J2336" t="n">
        <v>0</v>
      </c>
      <c r="K2336" t="n">
        <v>0</v>
      </c>
      <c r="L2336" t="n">
        <v>0</v>
      </c>
      <c r="M2336" t="n">
        <v>0</v>
      </c>
      <c r="N2336" t="n">
        <v>0</v>
      </c>
      <c r="O2336" t="n">
        <v>0</v>
      </c>
      <c r="P2336" t="n">
        <v>0</v>
      </c>
      <c r="Q2336" t="n">
        <v>0</v>
      </c>
      <c r="R2336" s="2" t="inlineStr"/>
    </row>
    <row r="2337" ht="15" customHeight="1">
      <c r="A2337" t="inlineStr">
        <is>
          <t>A 14015-2023</t>
        </is>
      </c>
      <c r="B2337" s="1" t="n">
        <v>45008</v>
      </c>
      <c r="C2337" s="1" t="n">
        <v>45224</v>
      </c>
      <c r="D2337" t="inlineStr">
        <is>
          <t>STOCKHOLMS LÄN</t>
        </is>
      </c>
      <c r="E2337" t="inlineStr">
        <is>
          <t>EKERÖ</t>
        </is>
      </c>
      <c r="G2337" t="n">
        <v>3</v>
      </c>
      <c r="H2337" t="n">
        <v>0</v>
      </c>
      <c r="I2337" t="n">
        <v>0</v>
      </c>
      <c r="J2337" t="n">
        <v>0</v>
      </c>
      <c r="K2337" t="n">
        <v>0</v>
      </c>
      <c r="L2337" t="n">
        <v>0</v>
      </c>
      <c r="M2337" t="n">
        <v>0</v>
      </c>
      <c r="N2337" t="n">
        <v>0</v>
      </c>
      <c r="O2337" t="n">
        <v>0</v>
      </c>
      <c r="P2337" t="n">
        <v>0</v>
      </c>
      <c r="Q2337" t="n">
        <v>0</v>
      </c>
      <c r="R2337" s="2" t="inlineStr"/>
    </row>
    <row r="2338" ht="15" customHeight="1">
      <c r="A2338" t="inlineStr">
        <is>
          <t>A 13977-2023</t>
        </is>
      </c>
      <c r="B2338" s="1" t="n">
        <v>45008</v>
      </c>
      <c r="C2338" s="1" t="n">
        <v>45224</v>
      </c>
      <c r="D2338" t="inlineStr">
        <is>
          <t>STOCKHOLMS LÄN</t>
        </is>
      </c>
      <c r="E2338" t="inlineStr">
        <is>
          <t>NORRTÄLJE</t>
        </is>
      </c>
      <c r="G2338" t="n">
        <v>0.9</v>
      </c>
      <c r="H2338" t="n">
        <v>0</v>
      </c>
      <c r="I2338" t="n">
        <v>0</v>
      </c>
      <c r="J2338" t="n">
        <v>0</v>
      </c>
      <c r="K2338" t="n">
        <v>0</v>
      </c>
      <c r="L2338" t="n">
        <v>0</v>
      </c>
      <c r="M2338" t="n">
        <v>0</v>
      </c>
      <c r="N2338" t="n">
        <v>0</v>
      </c>
      <c r="O2338" t="n">
        <v>0</v>
      </c>
      <c r="P2338" t="n">
        <v>0</v>
      </c>
      <c r="Q2338" t="n">
        <v>0</v>
      </c>
      <c r="R2338" s="2" t="inlineStr"/>
    </row>
    <row r="2339" ht="15" customHeight="1">
      <c r="A2339" t="inlineStr">
        <is>
          <t>A 14014-2023</t>
        </is>
      </c>
      <c r="B2339" s="1" t="n">
        <v>45008</v>
      </c>
      <c r="C2339" s="1" t="n">
        <v>45224</v>
      </c>
      <c r="D2339" t="inlineStr">
        <is>
          <t>STOCKHOLMS LÄN</t>
        </is>
      </c>
      <c r="E2339" t="inlineStr">
        <is>
          <t>EKERÖ</t>
        </is>
      </c>
      <c r="G2339" t="n">
        <v>4.7</v>
      </c>
      <c r="H2339" t="n">
        <v>0</v>
      </c>
      <c r="I2339" t="n">
        <v>0</v>
      </c>
      <c r="J2339" t="n">
        <v>0</v>
      </c>
      <c r="K2339" t="n">
        <v>0</v>
      </c>
      <c r="L2339" t="n">
        <v>0</v>
      </c>
      <c r="M2339" t="n">
        <v>0</v>
      </c>
      <c r="N2339" t="n">
        <v>0</v>
      </c>
      <c r="O2339" t="n">
        <v>0</v>
      </c>
      <c r="P2339" t="n">
        <v>0</v>
      </c>
      <c r="Q2339" t="n">
        <v>0</v>
      </c>
      <c r="R2339" s="2" t="inlineStr"/>
    </row>
    <row r="2340" ht="15" customHeight="1">
      <c r="A2340" t="inlineStr">
        <is>
          <t>A 14092-2023</t>
        </is>
      </c>
      <c r="B2340" s="1" t="n">
        <v>45009</v>
      </c>
      <c r="C2340" s="1" t="n">
        <v>45224</v>
      </c>
      <c r="D2340" t="inlineStr">
        <is>
          <t>STOCKHOLMS LÄN</t>
        </is>
      </c>
      <c r="E2340" t="inlineStr">
        <is>
          <t>SÖDERTÄLJE</t>
        </is>
      </c>
      <c r="F2340" t="inlineStr">
        <is>
          <t>Kyrkan</t>
        </is>
      </c>
      <c r="G2340" t="n">
        <v>4.1</v>
      </c>
      <c r="H2340" t="n">
        <v>0</v>
      </c>
      <c r="I2340" t="n">
        <v>0</v>
      </c>
      <c r="J2340" t="n">
        <v>0</v>
      </c>
      <c r="K2340" t="n">
        <v>0</v>
      </c>
      <c r="L2340" t="n">
        <v>0</v>
      </c>
      <c r="M2340" t="n">
        <v>0</v>
      </c>
      <c r="N2340" t="n">
        <v>0</v>
      </c>
      <c r="O2340" t="n">
        <v>0</v>
      </c>
      <c r="P2340" t="n">
        <v>0</v>
      </c>
      <c r="Q2340" t="n">
        <v>0</v>
      </c>
      <c r="R2340" s="2" t="inlineStr"/>
    </row>
    <row r="2341" ht="15" customHeight="1">
      <c r="A2341" t="inlineStr">
        <is>
          <t>A 14135-2023</t>
        </is>
      </c>
      <c r="B2341" s="1" t="n">
        <v>45009</v>
      </c>
      <c r="C2341" s="1" t="n">
        <v>45224</v>
      </c>
      <c r="D2341" t="inlineStr">
        <is>
          <t>STOCKHOLMS LÄN</t>
        </is>
      </c>
      <c r="E2341" t="inlineStr">
        <is>
          <t>NORRTÄLJE</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14244-2023</t>
        </is>
      </c>
      <c r="B2342" s="1" t="n">
        <v>45009</v>
      </c>
      <c r="C2342" s="1" t="n">
        <v>45224</v>
      </c>
      <c r="D2342" t="inlineStr">
        <is>
          <t>STOCKHOLMS LÄN</t>
        </is>
      </c>
      <c r="E2342" t="inlineStr">
        <is>
          <t>VÄRMDÖ</t>
        </is>
      </c>
      <c r="G2342" t="n">
        <v>1.9</v>
      </c>
      <c r="H2342" t="n">
        <v>0</v>
      </c>
      <c r="I2342" t="n">
        <v>0</v>
      </c>
      <c r="J2342" t="n">
        <v>0</v>
      </c>
      <c r="K2342" t="n">
        <v>0</v>
      </c>
      <c r="L2342" t="n">
        <v>0</v>
      </c>
      <c r="M2342" t="n">
        <v>0</v>
      </c>
      <c r="N2342" t="n">
        <v>0</v>
      </c>
      <c r="O2342" t="n">
        <v>0</v>
      </c>
      <c r="P2342" t="n">
        <v>0</v>
      </c>
      <c r="Q2342" t="n">
        <v>0</v>
      </c>
      <c r="R2342" s="2" t="inlineStr"/>
    </row>
    <row r="2343" ht="15" customHeight="1">
      <c r="A2343" t="inlineStr">
        <is>
          <t>A 14824-2023</t>
        </is>
      </c>
      <c r="B2343" s="1" t="n">
        <v>45013</v>
      </c>
      <c r="C2343" s="1" t="n">
        <v>45224</v>
      </c>
      <c r="D2343" t="inlineStr">
        <is>
          <t>STOCKHOLMS LÄN</t>
        </is>
      </c>
      <c r="E2343" t="inlineStr">
        <is>
          <t>UPPLANDS-BRO</t>
        </is>
      </c>
      <c r="F2343" t="inlineStr">
        <is>
          <t>Allmännings- och besparingsskogar</t>
        </is>
      </c>
      <c r="G2343" t="n">
        <v>2.1</v>
      </c>
      <c r="H2343" t="n">
        <v>0</v>
      </c>
      <c r="I2343" t="n">
        <v>0</v>
      </c>
      <c r="J2343" t="n">
        <v>0</v>
      </c>
      <c r="K2343" t="n">
        <v>0</v>
      </c>
      <c r="L2343" t="n">
        <v>0</v>
      </c>
      <c r="M2343" t="n">
        <v>0</v>
      </c>
      <c r="N2343" t="n">
        <v>0</v>
      </c>
      <c r="O2343" t="n">
        <v>0</v>
      </c>
      <c r="P2343" t="n">
        <v>0</v>
      </c>
      <c r="Q2343" t="n">
        <v>0</v>
      </c>
      <c r="R2343" s="2" t="inlineStr"/>
    </row>
    <row r="2344" ht="15" customHeight="1">
      <c r="A2344" t="inlineStr">
        <is>
          <t>A 15260-2023</t>
        </is>
      </c>
      <c r="B2344" s="1" t="n">
        <v>45019</v>
      </c>
      <c r="C2344" s="1" t="n">
        <v>45224</v>
      </c>
      <c r="D2344" t="inlineStr">
        <is>
          <t>STOCKHOLMS LÄN</t>
        </is>
      </c>
      <c r="E2344" t="inlineStr">
        <is>
          <t>NACKA</t>
        </is>
      </c>
      <c r="G2344" t="n">
        <v>2.5</v>
      </c>
      <c r="H2344" t="n">
        <v>0</v>
      </c>
      <c r="I2344" t="n">
        <v>0</v>
      </c>
      <c r="J2344" t="n">
        <v>0</v>
      </c>
      <c r="K2344" t="n">
        <v>0</v>
      </c>
      <c r="L2344" t="n">
        <v>0</v>
      </c>
      <c r="M2344" t="n">
        <v>0</v>
      </c>
      <c r="N2344" t="n">
        <v>0</v>
      </c>
      <c r="O2344" t="n">
        <v>0</v>
      </c>
      <c r="P2344" t="n">
        <v>0</v>
      </c>
      <c r="Q2344" t="n">
        <v>0</v>
      </c>
      <c r="R2344" s="2" t="inlineStr"/>
    </row>
    <row r="2345" ht="15" customHeight="1">
      <c r="A2345" t="inlineStr">
        <is>
          <t>A 15300-2023</t>
        </is>
      </c>
      <c r="B2345" s="1" t="n">
        <v>45019</v>
      </c>
      <c r="C2345" s="1" t="n">
        <v>45224</v>
      </c>
      <c r="D2345" t="inlineStr">
        <is>
          <t>STOCKHOLMS LÄN</t>
        </is>
      </c>
      <c r="E2345" t="inlineStr">
        <is>
          <t>VALLENTUNA</t>
        </is>
      </c>
      <c r="G2345" t="n">
        <v>1.7</v>
      </c>
      <c r="H2345" t="n">
        <v>0</v>
      </c>
      <c r="I2345" t="n">
        <v>0</v>
      </c>
      <c r="J2345" t="n">
        <v>0</v>
      </c>
      <c r="K2345" t="n">
        <v>0</v>
      </c>
      <c r="L2345" t="n">
        <v>0</v>
      </c>
      <c r="M2345" t="n">
        <v>0</v>
      </c>
      <c r="N2345" t="n">
        <v>0</v>
      </c>
      <c r="O2345" t="n">
        <v>0</v>
      </c>
      <c r="P2345" t="n">
        <v>0</v>
      </c>
      <c r="Q2345" t="n">
        <v>0</v>
      </c>
      <c r="R2345" s="2" t="inlineStr"/>
    </row>
    <row r="2346" ht="15" customHeight="1">
      <c r="A2346" t="inlineStr">
        <is>
          <t>A 15692-2023</t>
        </is>
      </c>
      <c r="B2346" s="1" t="n">
        <v>45020</v>
      </c>
      <c r="C2346" s="1" t="n">
        <v>45224</v>
      </c>
      <c r="D2346" t="inlineStr">
        <is>
          <t>STOCKHOLMS LÄN</t>
        </is>
      </c>
      <c r="E2346" t="inlineStr">
        <is>
          <t>BOTKYRKA</t>
        </is>
      </c>
      <c r="G2346" t="n">
        <v>2.1</v>
      </c>
      <c r="H2346" t="n">
        <v>0</v>
      </c>
      <c r="I2346" t="n">
        <v>0</v>
      </c>
      <c r="J2346" t="n">
        <v>0</v>
      </c>
      <c r="K2346" t="n">
        <v>0</v>
      </c>
      <c r="L2346" t="n">
        <v>0</v>
      </c>
      <c r="M2346" t="n">
        <v>0</v>
      </c>
      <c r="N2346" t="n">
        <v>0</v>
      </c>
      <c r="O2346" t="n">
        <v>0</v>
      </c>
      <c r="P2346" t="n">
        <v>0</v>
      </c>
      <c r="Q2346" t="n">
        <v>0</v>
      </c>
      <c r="R2346" s="2" t="inlineStr"/>
    </row>
    <row r="2347" ht="15" customHeight="1">
      <c r="A2347" t="inlineStr">
        <is>
          <t>A 15459-2023</t>
        </is>
      </c>
      <c r="B2347" s="1" t="n">
        <v>45020</v>
      </c>
      <c r="C2347" s="1" t="n">
        <v>45224</v>
      </c>
      <c r="D2347" t="inlineStr">
        <is>
          <t>STOCKHOLMS LÄN</t>
        </is>
      </c>
      <c r="E2347" t="inlineStr">
        <is>
          <t>NORRTÄLJE</t>
        </is>
      </c>
      <c r="G2347" t="n">
        <v>1.2</v>
      </c>
      <c r="H2347" t="n">
        <v>0</v>
      </c>
      <c r="I2347" t="n">
        <v>0</v>
      </c>
      <c r="J2347" t="n">
        <v>0</v>
      </c>
      <c r="K2347" t="n">
        <v>0</v>
      </c>
      <c r="L2347" t="n">
        <v>0</v>
      </c>
      <c r="M2347" t="n">
        <v>0</v>
      </c>
      <c r="N2347" t="n">
        <v>0</v>
      </c>
      <c r="O2347" t="n">
        <v>0</v>
      </c>
      <c r="P2347" t="n">
        <v>0</v>
      </c>
      <c r="Q2347" t="n">
        <v>0</v>
      </c>
      <c r="R2347" s="2" t="inlineStr"/>
    </row>
    <row r="2348" ht="15" customHeight="1">
      <c r="A2348" t="inlineStr">
        <is>
          <t>A 15690-2023</t>
        </is>
      </c>
      <c r="B2348" s="1" t="n">
        <v>45020</v>
      </c>
      <c r="C2348" s="1" t="n">
        <v>45224</v>
      </c>
      <c r="D2348" t="inlineStr">
        <is>
          <t>STOCKHOLMS LÄN</t>
        </is>
      </c>
      <c r="E2348" t="inlineStr">
        <is>
          <t>BOTKYRKA</t>
        </is>
      </c>
      <c r="G2348" t="n">
        <v>5</v>
      </c>
      <c r="H2348" t="n">
        <v>0</v>
      </c>
      <c r="I2348" t="n">
        <v>0</v>
      </c>
      <c r="J2348" t="n">
        <v>0</v>
      </c>
      <c r="K2348" t="n">
        <v>0</v>
      </c>
      <c r="L2348" t="n">
        <v>0</v>
      </c>
      <c r="M2348" t="n">
        <v>0</v>
      </c>
      <c r="N2348" t="n">
        <v>0</v>
      </c>
      <c r="O2348" t="n">
        <v>0</v>
      </c>
      <c r="P2348" t="n">
        <v>0</v>
      </c>
      <c r="Q2348" t="n">
        <v>0</v>
      </c>
      <c r="R2348" s="2" t="inlineStr"/>
    </row>
    <row r="2349" ht="15" customHeight="1">
      <c r="A2349" t="inlineStr">
        <is>
          <t>A 15447-2023</t>
        </is>
      </c>
      <c r="B2349" s="1" t="n">
        <v>45020</v>
      </c>
      <c r="C2349" s="1" t="n">
        <v>45224</v>
      </c>
      <c r="D2349" t="inlineStr">
        <is>
          <t>STOCKHOLMS LÄN</t>
        </is>
      </c>
      <c r="E2349" t="inlineStr">
        <is>
          <t>NORRTÄLJE</t>
        </is>
      </c>
      <c r="G2349" t="n">
        <v>0.6</v>
      </c>
      <c r="H2349" t="n">
        <v>0</v>
      </c>
      <c r="I2349" t="n">
        <v>0</v>
      </c>
      <c r="J2349" t="n">
        <v>0</v>
      </c>
      <c r="K2349" t="n">
        <v>0</v>
      </c>
      <c r="L2349" t="n">
        <v>0</v>
      </c>
      <c r="M2349" t="n">
        <v>0</v>
      </c>
      <c r="N2349" t="n">
        <v>0</v>
      </c>
      <c r="O2349" t="n">
        <v>0</v>
      </c>
      <c r="P2349" t="n">
        <v>0</v>
      </c>
      <c r="Q2349" t="n">
        <v>0</v>
      </c>
      <c r="R2349" s="2" t="inlineStr"/>
    </row>
    <row r="2350" ht="15" customHeight="1">
      <c r="A2350" t="inlineStr">
        <is>
          <t>A 15452-2023</t>
        </is>
      </c>
      <c r="B2350" s="1" t="n">
        <v>45020</v>
      </c>
      <c r="C2350" s="1" t="n">
        <v>45224</v>
      </c>
      <c r="D2350" t="inlineStr">
        <is>
          <t>STOCKHOLMS LÄN</t>
        </is>
      </c>
      <c r="E2350" t="inlineStr">
        <is>
          <t>SIGTUNA</t>
        </is>
      </c>
      <c r="F2350" t="inlineStr">
        <is>
          <t>Allmännings- och besparingsskogar</t>
        </is>
      </c>
      <c r="G2350" t="n">
        <v>4.5</v>
      </c>
      <c r="H2350" t="n">
        <v>0</v>
      </c>
      <c r="I2350" t="n">
        <v>0</v>
      </c>
      <c r="J2350" t="n">
        <v>0</v>
      </c>
      <c r="K2350" t="n">
        <v>0</v>
      </c>
      <c r="L2350" t="n">
        <v>0</v>
      </c>
      <c r="M2350" t="n">
        <v>0</v>
      </c>
      <c r="N2350" t="n">
        <v>0</v>
      </c>
      <c r="O2350" t="n">
        <v>0</v>
      </c>
      <c r="P2350" t="n">
        <v>0</v>
      </c>
      <c r="Q2350" t="n">
        <v>0</v>
      </c>
      <c r="R2350" s="2" t="inlineStr"/>
    </row>
    <row r="2351" ht="15" customHeight="1">
      <c r="A2351" t="inlineStr">
        <is>
          <t>A 15576-2023</t>
        </is>
      </c>
      <c r="B2351" s="1" t="n">
        <v>45020</v>
      </c>
      <c r="C2351" s="1" t="n">
        <v>45224</v>
      </c>
      <c r="D2351" t="inlineStr">
        <is>
          <t>STOCKHOLMS LÄN</t>
        </is>
      </c>
      <c r="E2351" t="inlineStr">
        <is>
          <t>NYKVARN</t>
        </is>
      </c>
      <c r="F2351" t="inlineStr">
        <is>
          <t>Sveaskog</t>
        </is>
      </c>
      <c r="G2351" t="n">
        <v>3.7</v>
      </c>
      <c r="H2351" t="n">
        <v>0</v>
      </c>
      <c r="I2351" t="n">
        <v>0</v>
      </c>
      <c r="J2351" t="n">
        <v>0</v>
      </c>
      <c r="K2351" t="n">
        <v>0</v>
      </c>
      <c r="L2351" t="n">
        <v>0</v>
      </c>
      <c r="M2351" t="n">
        <v>0</v>
      </c>
      <c r="N2351" t="n">
        <v>0</v>
      </c>
      <c r="O2351" t="n">
        <v>0</v>
      </c>
      <c r="P2351" t="n">
        <v>0</v>
      </c>
      <c r="Q2351" t="n">
        <v>0</v>
      </c>
      <c r="R2351" s="2" t="inlineStr"/>
    </row>
    <row r="2352" ht="15" customHeight="1">
      <c r="A2352" t="inlineStr">
        <is>
          <t>A 15724-2023</t>
        </is>
      </c>
      <c r="B2352" s="1" t="n">
        <v>45021</v>
      </c>
      <c r="C2352" s="1" t="n">
        <v>45224</v>
      </c>
      <c r="D2352" t="inlineStr">
        <is>
          <t>STOCKHOLMS LÄN</t>
        </is>
      </c>
      <c r="E2352" t="inlineStr">
        <is>
          <t>UPPLANDS-BRO</t>
        </is>
      </c>
      <c r="G2352" t="n">
        <v>3.9</v>
      </c>
      <c r="H2352" t="n">
        <v>0</v>
      </c>
      <c r="I2352" t="n">
        <v>0</v>
      </c>
      <c r="J2352" t="n">
        <v>0</v>
      </c>
      <c r="K2352" t="n">
        <v>0</v>
      </c>
      <c r="L2352" t="n">
        <v>0</v>
      </c>
      <c r="M2352" t="n">
        <v>0</v>
      </c>
      <c r="N2352" t="n">
        <v>0</v>
      </c>
      <c r="O2352" t="n">
        <v>0</v>
      </c>
      <c r="P2352" t="n">
        <v>0</v>
      </c>
      <c r="Q2352" t="n">
        <v>0</v>
      </c>
      <c r="R2352" s="2" t="inlineStr"/>
    </row>
    <row r="2353" ht="15" customHeight="1">
      <c r="A2353" t="inlineStr">
        <is>
          <t>A 15655-2023</t>
        </is>
      </c>
      <c r="B2353" s="1" t="n">
        <v>45021</v>
      </c>
      <c r="C2353" s="1" t="n">
        <v>45224</v>
      </c>
      <c r="D2353" t="inlineStr">
        <is>
          <t>STOCKHOLMS LÄN</t>
        </is>
      </c>
      <c r="E2353" t="inlineStr">
        <is>
          <t>NORRTÄLJE</t>
        </is>
      </c>
      <c r="F2353" t="inlineStr">
        <is>
          <t>Holmen skog AB</t>
        </is>
      </c>
      <c r="G2353" t="n">
        <v>1.9</v>
      </c>
      <c r="H2353" t="n">
        <v>0</v>
      </c>
      <c r="I2353" t="n">
        <v>0</v>
      </c>
      <c r="J2353" t="n">
        <v>0</v>
      </c>
      <c r="K2353" t="n">
        <v>0</v>
      </c>
      <c r="L2353" t="n">
        <v>0</v>
      </c>
      <c r="M2353" t="n">
        <v>0</v>
      </c>
      <c r="N2353" t="n">
        <v>0</v>
      </c>
      <c r="O2353" t="n">
        <v>0</v>
      </c>
      <c r="P2353" t="n">
        <v>0</v>
      </c>
      <c r="Q2353" t="n">
        <v>0</v>
      </c>
      <c r="R2353" s="2" t="inlineStr"/>
    </row>
    <row r="2354" ht="15" customHeight="1">
      <c r="A2354" t="inlineStr">
        <is>
          <t>A 15915-2023</t>
        </is>
      </c>
      <c r="B2354" s="1" t="n">
        <v>45022</v>
      </c>
      <c r="C2354" s="1" t="n">
        <v>45224</v>
      </c>
      <c r="D2354" t="inlineStr">
        <is>
          <t>STOCKHOLMS LÄN</t>
        </is>
      </c>
      <c r="E2354" t="inlineStr">
        <is>
          <t>NORRTÄLJE</t>
        </is>
      </c>
      <c r="G2354" t="n">
        <v>2.9</v>
      </c>
      <c r="H2354" t="n">
        <v>0</v>
      </c>
      <c r="I2354" t="n">
        <v>0</v>
      </c>
      <c r="J2354" t="n">
        <v>0</v>
      </c>
      <c r="K2354" t="n">
        <v>0</v>
      </c>
      <c r="L2354" t="n">
        <v>0</v>
      </c>
      <c r="M2354" t="n">
        <v>0</v>
      </c>
      <c r="N2354" t="n">
        <v>0</v>
      </c>
      <c r="O2354" t="n">
        <v>0</v>
      </c>
      <c r="P2354" t="n">
        <v>0</v>
      </c>
      <c r="Q2354" t="n">
        <v>0</v>
      </c>
      <c r="R2354" s="2" t="inlineStr"/>
    </row>
    <row r="2355" ht="15" customHeight="1">
      <c r="A2355" t="inlineStr">
        <is>
          <t>A 15905-2023</t>
        </is>
      </c>
      <c r="B2355" s="1" t="n">
        <v>45022</v>
      </c>
      <c r="C2355" s="1" t="n">
        <v>45224</v>
      </c>
      <c r="D2355" t="inlineStr">
        <is>
          <t>STOCKHOLMS LÄN</t>
        </is>
      </c>
      <c r="E2355" t="inlineStr">
        <is>
          <t>NORRTÄLJE</t>
        </is>
      </c>
      <c r="G2355" t="n">
        <v>3.2</v>
      </c>
      <c r="H2355" t="n">
        <v>0</v>
      </c>
      <c r="I2355" t="n">
        <v>0</v>
      </c>
      <c r="J2355" t="n">
        <v>0</v>
      </c>
      <c r="K2355" t="n">
        <v>0</v>
      </c>
      <c r="L2355" t="n">
        <v>0</v>
      </c>
      <c r="M2355" t="n">
        <v>0</v>
      </c>
      <c r="N2355" t="n">
        <v>0</v>
      </c>
      <c r="O2355" t="n">
        <v>0</v>
      </c>
      <c r="P2355" t="n">
        <v>0</v>
      </c>
      <c r="Q2355" t="n">
        <v>0</v>
      </c>
      <c r="R2355" s="2" t="inlineStr"/>
    </row>
    <row r="2356" ht="15" customHeight="1">
      <c r="A2356" t="inlineStr">
        <is>
          <t>A 16793-2023</t>
        </is>
      </c>
      <c r="B2356" s="1" t="n">
        <v>45028</v>
      </c>
      <c r="C2356" s="1" t="n">
        <v>45224</v>
      </c>
      <c r="D2356" t="inlineStr">
        <is>
          <t>STOCKHOLMS LÄN</t>
        </is>
      </c>
      <c r="E2356" t="inlineStr">
        <is>
          <t>NYNÄSHAMN</t>
        </is>
      </c>
      <c r="G2356" t="n">
        <v>0.8</v>
      </c>
      <c r="H2356" t="n">
        <v>0</v>
      </c>
      <c r="I2356" t="n">
        <v>0</v>
      </c>
      <c r="J2356" t="n">
        <v>0</v>
      </c>
      <c r="K2356" t="n">
        <v>0</v>
      </c>
      <c r="L2356" t="n">
        <v>0</v>
      </c>
      <c r="M2356" t="n">
        <v>0</v>
      </c>
      <c r="N2356" t="n">
        <v>0</v>
      </c>
      <c r="O2356" t="n">
        <v>0</v>
      </c>
      <c r="P2356" t="n">
        <v>0</v>
      </c>
      <c r="Q2356" t="n">
        <v>0</v>
      </c>
      <c r="R2356" s="2" t="inlineStr"/>
    </row>
    <row r="2357" ht="15" customHeight="1">
      <c r="A2357" t="inlineStr">
        <is>
          <t>A 16483-2023</t>
        </is>
      </c>
      <c r="B2357" s="1" t="n">
        <v>45029</v>
      </c>
      <c r="C2357" s="1" t="n">
        <v>45224</v>
      </c>
      <c r="D2357" t="inlineStr">
        <is>
          <t>STOCKHOLMS LÄN</t>
        </is>
      </c>
      <c r="E2357" t="inlineStr">
        <is>
          <t>BOTKYRKA</t>
        </is>
      </c>
      <c r="G2357" t="n">
        <v>3.1</v>
      </c>
      <c r="H2357" t="n">
        <v>0</v>
      </c>
      <c r="I2357" t="n">
        <v>0</v>
      </c>
      <c r="J2357" t="n">
        <v>0</v>
      </c>
      <c r="K2357" t="n">
        <v>0</v>
      </c>
      <c r="L2357" t="n">
        <v>0</v>
      </c>
      <c r="M2357" t="n">
        <v>0</v>
      </c>
      <c r="N2357" t="n">
        <v>0</v>
      </c>
      <c r="O2357" t="n">
        <v>0</v>
      </c>
      <c r="P2357" t="n">
        <v>0</v>
      </c>
      <c r="Q2357" t="n">
        <v>0</v>
      </c>
      <c r="R2357" s="2" t="inlineStr"/>
    </row>
    <row r="2358" ht="15" customHeight="1">
      <c r="A2358" t="inlineStr">
        <is>
          <t>A 16658-2023</t>
        </is>
      </c>
      <c r="B2358" s="1" t="n">
        <v>45030</v>
      </c>
      <c r="C2358" s="1" t="n">
        <v>45224</v>
      </c>
      <c r="D2358" t="inlineStr">
        <is>
          <t>STOCKHOLMS LÄN</t>
        </is>
      </c>
      <c r="E2358" t="inlineStr">
        <is>
          <t>SÖDERTÄLJE</t>
        </is>
      </c>
      <c r="G2358" t="n">
        <v>1.1</v>
      </c>
      <c r="H2358" t="n">
        <v>0</v>
      </c>
      <c r="I2358" t="n">
        <v>0</v>
      </c>
      <c r="J2358" t="n">
        <v>0</v>
      </c>
      <c r="K2358" t="n">
        <v>0</v>
      </c>
      <c r="L2358" t="n">
        <v>0</v>
      </c>
      <c r="M2358" t="n">
        <v>0</v>
      </c>
      <c r="N2358" t="n">
        <v>0</v>
      </c>
      <c r="O2358" t="n">
        <v>0</v>
      </c>
      <c r="P2358" t="n">
        <v>0</v>
      </c>
      <c r="Q2358" t="n">
        <v>0</v>
      </c>
      <c r="R2358" s="2" t="inlineStr"/>
    </row>
    <row r="2359" ht="15" customHeight="1">
      <c r="A2359" t="inlineStr">
        <is>
          <t>A 16842-2023</t>
        </is>
      </c>
      <c r="B2359" s="1" t="n">
        <v>45033</v>
      </c>
      <c r="C2359" s="1" t="n">
        <v>45224</v>
      </c>
      <c r="D2359" t="inlineStr">
        <is>
          <t>STOCKHOLMS LÄN</t>
        </is>
      </c>
      <c r="E2359" t="inlineStr">
        <is>
          <t>HANINGE</t>
        </is>
      </c>
      <c r="G2359" t="n">
        <v>3.2</v>
      </c>
      <c r="H2359" t="n">
        <v>0</v>
      </c>
      <c r="I2359" t="n">
        <v>0</v>
      </c>
      <c r="J2359" t="n">
        <v>0</v>
      </c>
      <c r="K2359" t="n">
        <v>0</v>
      </c>
      <c r="L2359" t="n">
        <v>0</v>
      </c>
      <c r="M2359" t="n">
        <v>0</v>
      </c>
      <c r="N2359" t="n">
        <v>0</v>
      </c>
      <c r="O2359" t="n">
        <v>0</v>
      </c>
      <c r="P2359" t="n">
        <v>0</v>
      </c>
      <c r="Q2359" t="n">
        <v>0</v>
      </c>
      <c r="R2359" s="2" t="inlineStr"/>
    </row>
    <row r="2360" ht="15" customHeight="1">
      <c r="A2360" t="inlineStr">
        <is>
          <t>A 16977-2023</t>
        </is>
      </c>
      <c r="B2360" s="1" t="n">
        <v>45033</v>
      </c>
      <c r="C2360" s="1" t="n">
        <v>45224</v>
      </c>
      <c r="D2360" t="inlineStr">
        <is>
          <t>STOCKHOLMS LÄN</t>
        </is>
      </c>
      <c r="E2360" t="inlineStr">
        <is>
          <t>NORRTÄLJE</t>
        </is>
      </c>
      <c r="G2360" t="n">
        <v>3.4</v>
      </c>
      <c r="H2360" t="n">
        <v>0</v>
      </c>
      <c r="I2360" t="n">
        <v>0</v>
      </c>
      <c r="J2360" t="n">
        <v>0</v>
      </c>
      <c r="K2360" t="n">
        <v>0</v>
      </c>
      <c r="L2360" t="n">
        <v>0</v>
      </c>
      <c r="M2360" t="n">
        <v>0</v>
      </c>
      <c r="N2360" t="n">
        <v>0</v>
      </c>
      <c r="O2360" t="n">
        <v>0</v>
      </c>
      <c r="P2360" t="n">
        <v>0</v>
      </c>
      <c r="Q2360" t="n">
        <v>0</v>
      </c>
      <c r="R2360" s="2" t="inlineStr"/>
    </row>
    <row r="2361" ht="15" customHeight="1">
      <c r="A2361" t="inlineStr">
        <is>
          <t>A 16980-2023</t>
        </is>
      </c>
      <c r="B2361" s="1" t="n">
        <v>45033</v>
      </c>
      <c r="C2361" s="1" t="n">
        <v>45224</v>
      </c>
      <c r="D2361" t="inlineStr">
        <is>
          <t>STOCKHOLMS LÄN</t>
        </is>
      </c>
      <c r="E2361" t="inlineStr">
        <is>
          <t>NORRTÄLJE</t>
        </is>
      </c>
      <c r="G2361" t="n">
        <v>2.3</v>
      </c>
      <c r="H2361" t="n">
        <v>0</v>
      </c>
      <c r="I2361" t="n">
        <v>0</v>
      </c>
      <c r="J2361" t="n">
        <v>0</v>
      </c>
      <c r="K2361" t="n">
        <v>0</v>
      </c>
      <c r="L2361" t="n">
        <v>0</v>
      </c>
      <c r="M2361" t="n">
        <v>0</v>
      </c>
      <c r="N2361" t="n">
        <v>0</v>
      </c>
      <c r="O2361" t="n">
        <v>0</v>
      </c>
      <c r="P2361" t="n">
        <v>0</v>
      </c>
      <c r="Q2361" t="n">
        <v>0</v>
      </c>
      <c r="R2361" s="2" t="inlineStr"/>
    </row>
    <row r="2362" ht="15" customHeight="1">
      <c r="A2362" t="inlineStr">
        <is>
          <t>A 17025-2023</t>
        </is>
      </c>
      <c r="B2362" s="1" t="n">
        <v>45034</v>
      </c>
      <c r="C2362" s="1" t="n">
        <v>45224</v>
      </c>
      <c r="D2362" t="inlineStr">
        <is>
          <t>STOCKHOLMS LÄN</t>
        </is>
      </c>
      <c r="E2362" t="inlineStr">
        <is>
          <t>NYKVARN</t>
        </is>
      </c>
      <c r="F2362" t="inlineStr">
        <is>
          <t>Kommuner</t>
        </is>
      </c>
      <c r="G2362" t="n">
        <v>0.8</v>
      </c>
      <c r="H2362" t="n">
        <v>0</v>
      </c>
      <c r="I2362" t="n">
        <v>0</v>
      </c>
      <c r="J2362" t="n">
        <v>0</v>
      </c>
      <c r="K2362" t="n">
        <v>0</v>
      </c>
      <c r="L2362" t="n">
        <v>0</v>
      </c>
      <c r="M2362" t="n">
        <v>0</v>
      </c>
      <c r="N2362" t="n">
        <v>0</v>
      </c>
      <c r="O2362" t="n">
        <v>0</v>
      </c>
      <c r="P2362" t="n">
        <v>0</v>
      </c>
      <c r="Q2362" t="n">
        <v>0</v>
      </c>
      <c r="R2362" s="2" t="inlineStr"/>
    </row>
    <row r="2363" ht="15" customHeight="1">
      <c r="A2363" t="inlineStr">
        <is>
          <t>A 17779-2023</t>
        </is>
      </c>
      <c r="B2363" s="1" t="n">
        <v>45036</v>
      </c>
      <c r="C2363" s="1" t="n">
        <v>45224</v>
      </c>
      <c r="D2363" t="inlineStr">
        <is>
          <t>STOCKHOLMS LÄN</t>
        </is>
      </c>
      <c r="E2363" t="inlineStr">
        <is>
          <t>NYKVARN</t>
        </is>
      </c>
      <c r="G2363" t="n">
        <v>2.9</v>
      </c>
      <c r="H2363" t="n">
        <v>0</v>
      </c>
      <c r="I2363" t="n">
        <v>0</v>
      </c>
      <c r="J2363" t="n">
        <v>0</v>
      </c>
      <c r="K2363" t="n">
        <v>0</v>
      </c>
      <c r="L2363" t="n">
        <v>0</v>
      </c>
      <c r="M2363" t="n">
        <v>0</v>
      </c>
      <c r="N2363" t="n">
        <v>0</v>
      </c>
      <c r="O2363" t="n">
        <v>0</v>
      </c>
      <c r="P2363" t="n">
        <v>0</v>
      </c>
      <c r="Q2363" t="n">
        <v>0</v>
      </c>
      <c r="R2363" s="2" t="inlineStr"/>
    </row>
    <row r="2364" ht="15" customHeight="1">
      <c r="A2364" t="inlineStr">
        <is>
          <t>A 17984-2023</t>
        </is>
      </c>
      <c r="B2364" s="1" t="n">
        <v>45040</v>
      </c>
      <c r="C2364" s="1" t="n">
        <v>45224</v>
      </c>
      <c r="D2364" t="inlineStr">
        <is>
          <t>STOCKHOLMS LÄN</t>
        </is>
      </c>
      <c r="E2364" t="inlineStr">
        <is>
          <t>NORRTÄLJE</t>
        </is>
      </c>
      <c r="F2364" t="inlineStr">
        <is>
          <t>Holmen skog AB</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18023-2023</t>
        </is>
      </c>
      <c r="B2365" s="1" t="n">
        <v>45040</v>
      </c>
      <c r="C2365" s="1" t="n">
        <v>45224</v>
      </c>
      <c r="D2365" t="inlineStr">
        <is>
          <t>STOCKHOLMS LÄN</t>
        </is>
      </c>
      <c r="E2365" t="inlineStr">
        <is>
          <t>NORRTÄLJE</t>
        </is>
      </c>
      <c r="F2365" t="inlineStr">
        <is>
          <t>Sveaskog</t>
        </is>
      </c>
      <c r="G2365" t="n">
        <v>5.6</v>
      </c>
      <c r="H2365" t="n">
        <v>0</v>
      </c>
      <c r="I2365" t="n">
        <v>0</v>
      </c>
      <c r="J2365" t="n">
        <v>0</v>
      </c>
      <c r="K2365" t="n">
        <v>0</v>
      </c>
      <c r="L2365" t="n">
        <v>0</v>
      </c>
      <c r="M2365" t="n">
        <v>0</v>
      </c>
      <c r="N2365" t="n">
        <v>0</v>
      </c>
      <c r="O2365" t="n">
        <v>0</v>
      </c>
      <c r="P2365" t="n">
        <v>0</v>
      </c>
      <c r="Q2365" t="n">
        <v>0</v>
      </c>
      <c r="R2365" s="2" t="inlineStr"/>
    </row>
    <row r="2366" ht="15" customHeight="1">
      <c r="A2366" t="inlineStr">
        <is>
          <t>A 18592-2023</t>
        </is>
      </c>
      <c r="B2366" s="1" t="n">
        <v>45043</v>
      </c>
      <c r="C2366" s="1" t="n">
        <v>45224</v>
      </c>
      <c r="D2366" t="inlineStr">
        <is>
          <t>STOCKHOLMS LÄN</t>
        </is>
      </c>
      <c r="E2366" t="inlineStr">
        <is>
          <t>SÖDERTÄLJE</t>
        </is>
      </c>
      <c r="G2366" t="n">
        <v>4.4</v>
      </c>
      <c r="H2366" t="n">
        <v>0</v>
      </c>
      <c r="I2366" t="n">
        <v>0</v>
      </c>
      <c r="J2366" t="n">
        <v>0</v>
      </c>
      <c r="K2366" t="n">
        <v>0</v>
      </c>
      <c r="L2366" t="n">
        <v>0</v>
      </c>
      <c r="M2366" t="n">
        <v>0</v>
      </c>
      <c r="N2366" t="n">
        <v>0</v>
      </c>
      <c r="O2366" t="n">
        <v>0</v>
      </c>
      <c r="P2366" t="n">
        <v>0</v>
      </c>
      <c r="Q2366" t="n">
        <v>0</v>
      </c>
      <c r="R2366" s="2" t="inlineStr"/>
    </row>
    <row r="2367" ht="15" customHeight="1">
      <c r="A2367" t="inlineStr">
        <is>
          <t>A 18723-2023</t>
        </is>
      </c>
      <c r="B2367" s="1" t="n">
        <v>45043</v>
      </c>
      <c r="C2367" s="1" t="n">
        <v>45224</v>
      </c>
      <c r="D2367" t="inlineStr">
        <is>
          <t>STOCKHOLMS LÄN</t>
        </is>
      </c>
      <c r="E2367" t="inlineStr">
        <is>
          <t>EKERÖ</t>
        </is>
      </c>
      <c r="G2367" t="n">
        <v>8.1</v>
      </c>
      <c r="H2367" t="n">
        <v>0</v>
      </c>
      <c r="I2367" t="n">
        <v>0</v>
      </c>
      <c r="J2367" t="n">
        <v>0</v>
      </c>
      <c r="K2367" t="n">
        <v>0</v>
      </c>
      <c r="L2367" t="n">
        <v>0</v>
      </c>
      <c r="M2367" t="n">
        <v>0</v>
      </c>
      <c r="N2367" t="n">
        <v>0</v>
      </c>
      <c r="O2367" t="n">
        <v>0</v>
      </c>
      <c r="P2367" t="n">
        <v>0</v>
      </c>
      <c r="Q2367" t="n">
        <v>0</v>
      </c>
      <c r="R2367" s="2" t="inlineStr"/>
    </row>
    <row r="2368" ht="15" customHeight="1">
      <c r="A2368" t="inlineStr">
        <is>
          <t>A 18793-2023</t>
        </is>
      </c>
      <c r="B2368" s="1" t="n">
        <v>45044</v>
      </c>
      <c r="C2368" s="1" t="n">
        <v>45224</v>
      </c>
      <c r="D2368" t="inlineStr">
        <is>
          <t>STOCKHOLMS LÄN</t>
        </is>
      </c>
      <c r="E2368" t="inlineStr">
        <is>
          <t>NYKVARN</t>
        </is>
      </c>
      <c r="F2368" t="inlineStr">
        <is>
          <t>Kyrkan</t>
        </is>
      </c>
      <c r="G2368" t="n">
        <v>2.1</v>
      </c>
      <c r="H2368" t="n">
        <v>0</v>
      </c>
      <c r="I2368" t="n">
        <v>0</v>
      </c>
      <c r="J2368" t="n">
        <v>0</v>
      </c>
      <c r="K2368" t="n">
        <v>0</v>
      </c>
      <c r="L2368" t="n">
        <v>0</v>
      </c>
      <c r="M2368" t="n">
        <v>0</v>
      </c>
      <c r="N2368" t="n">
        <v>0</v>
      </c>
      <c r="O2368" t="n">
        <v>0</v>
      </c>
      <c r="P2368" t="n">
        <v>0</v>
      </c>
      <c r="Q2368" t="n">
        <v>0</v>
      </c>
      <c r="R2368" s="2" t="inlineStr"/>
    </row>
    <row r="2369" ht="15" customHeight="1">
      <c r="A2369" t="inlineStr">
        <is>
          <t>A 18956-2023</t>
        </is>
      </c>
      <c r="B2369" s="1" t="n">
        <v>45044</v>
      </c>
      <c r="C2369" s="1" t="n">
        <v>45224</v>
      </c>
      <c r="D2369" t="inlineStr">
        <is>
          <t>STOCKHOLMS LÄN</t>
        </is>
      </c>
      <c r="E2369" t="inlineStr">
        <is>
          <t>BOTKYRKA</t>
        </is>
      </c>
      <c r="F2369" t="inlineStr">
        <is>
          <t>Kyrkan</t>
        </is>
      </c>
      <c r="G2369" t="n">
        <v>11.2</v>
      </c>
      <c r="H2369" t="n">
        <v>0</v>
      </c>
      <c r="I2369" t="n">
        <v>0</v>
      </c>
      <c r="J2369" t="n">
        <v>0</v>
      </c>
      <c r="K2369" t="n">
        <v>0</v>
      </c>
      <c r="L2369" t="n">
        <v>0</v>
      </c>
      <c r="M2369" t="n">
        <v>0</v>
      </c>
      <c r="N2369" t="n">
        <v>0</v>
      </c>
      <c r="O2369" t="n">
        <v>0</v>
      </c>
      <c r="P2369" t="n">
        <v>0</v>
      </c>
      <c r="Q2369" t="n">
        <v>0</v>
      </c>
      <c r="R2369" s="2" t="inlineStr"/>
    </row>
    <row r="2370" ht="15" customHeight="1">
      <c r="A2370" t="inlineStr">
        <is>
          <t>A 18895-2023</t>
        </is>
      </c>
      <c r="B2370" s="1" t="n">
        <v>45044</v>
      </c>
      <c r="C2370" s="1" t="n">
        <v>45224</v>
      </c>
      <c r="D2370" t="inlineStr">
        <is>
          <t>STOCKHOLMS LÄN</t>
        </is>
      </c>
      <c r="E2370" t="inlineStr">
        <is>
          <t>NORRTÄLJE</t>
        </is>
      </c>
      <c r="F2370" t="inlineStr">
        <is>
          <t>Kommuner</t>
        </is>
      </c>
      <c r="G2370" t="n">
        <v>12.7</v>
      </c>
      <c r="H2370" t="n">
        <v>0</v>
      </c>
      <c r="I2370" t="n">
        <v>0</v>
      </c>
      <c r="J2370" t="n">
        <v>0</v>
      </c>
      <c r="K2370" t="n">
        <v>0</v>
      </c>
      <c r="L2370" t="n">
        <v>0</v>
      </c>
      <c r="M2370" t="n">
        <v>0</v>
      </c>
      <c r="N2370" t="n">
        <v>0</v>
      </c>
      <c r="O2370" t="n">
        <v>0</v>
      </c>
      <c r="P2370" t="n">
        <v>0</v>
      </c>
      <c r="Q2370" t="n">
        <v>0</v>
      </c>
      <c r="R2370" s="2" t="inlineStr"/>
    </row>
    <row r="2371" ht="15" customHeight="1">
      <c r="A2371" t="inlineStr">
        <is>
          <t>A 18795-2023</t>
        </is>
      </c>
      <c r="B2371" s="1" t="n">
        <v>45044</v>
      </c>
      <c r="C2371" s="1" t="n">
        <v>45224</v>
      </c>
      <c r="D2371" t="inlineStr">
        <is>
          <t>STOCKHOLMS LÄN</t>
        </is>
      </c>
      <c r="E2371" t="inlineStr">
        <is>
          <t>NYKVARN</t>
        </is>
      </c>
      <c r="F2371" t="inlineStr">
        <is>
          <t>Kyrkan</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19058-2023</t>
        </is>
      </c>
      <c r="B2372" s="1" t="n">
        <v>45048</v>
      </c>
      <c r="C2372" s="1" t="n">
        <v>45224</v>
      </c>
      <c r="D2372" t="inlineStr">
        <is>
          <t>STOCKHOLMS LÄN</t>
        </is>
      </c>
      <c r="E2372" t="inlineStr">
        <is>
          <t>NORRTÄLJE</t>
        </is>
      </c>
      <c r="G2372" t="n">
        <v>3.7</v>
      </c>
      <c r="H2372" t="n">
        <v>0</v>
      </c>
      <c r="I2372" t="n">
        <v>0</v>
      </c>
      <c r="J2372" t="n">
        <v>0</v>
      </c>
      <c r="K2372" t="n">
        <v>0</v>
      </c>
      <c r="L2372" t="n">
        <v>0</v>
      </c>
      <c r="M2372" t="n">
        <v>0</v>
      </c>
      <c r="N2372" t="n">
        <v>0</v>
      </c>
      <c r="O2372" t="n">
        <v>0</v>
      </c>
      <c r="P2372" t="n">
        <v>0</v>
      </c>
      <c r="Q2372" t="n">
        <v>0</v>
      </c>
      <c r="R2372" s="2" t="inlineStr"/>
    </row>
    <row r="2373" ht="15" customHeight="1">
      <c r="A2373" t="inlineStr">
        <is>
          <t>A 19074-2023</t>
        </is>
      </c>
      <c r="B2373" s="1" t="n">
        <v>45048</v>
      </c>
      <c r="C2373" s="1" t="n">
        <v>45224</v>
      </c>
      <c r="D2373" t="inlineStr">
        <is>
          <t>STOCKHOLMS LÄN</t>
        </is>
      </c>
      <c r="E2373" t="inlineStr">
        <is>
          <t>NORRTÄLJE</t>
        </is>
      </c>
      <c r="G2373" t="n">
        <v>2</v>
      </c>
      <c r="H2373" t="n">
        <v>0</v>
      </c>
      <c r="I2373" t="n">
        <v>0</v>
      </c>
      <c r="J2373" t="n">
        <v>0</v>
      </c>
      <c r="K2373" t="n">
        <v>0</v>
      </c>
      <c r="L2373" t="n">
        <v>0</v>
      </c>
      <c r="M2373" t="n">
        <v>0</v>
      </c>
      <c r="N2373" t="n">
        <v>0</v>
      </c>
      <c r="O2373" t="n">
        <v>0</v>
      </c>
      <c r="P2373" t="n">
        <v>0</v>
      </c>
      <c r="Q2373" t="n">
        <v>0</v>
      </c>
      <c r="R2373" s="2" t="inlineStr"/>
    </row>
    <row r="2374" ht="15" customHeight="1">
      <c r="A2374" t="inlineStr">
        <is>
          <t>A 19138-2023</t>
        </is>
      </c>
      <c r="B2374" s="1" t="n">
        <v>45048</v>
      </c>
      <c r="C2374" s="1" t="n">
        <v>45224</v>
      </c>
      <c r="D2374" t="inlineStr">
        <is>
          <t>STOCKHOLMS LÄN</t>
        </is>
      </c>
      <c r="E2374" t="inlineStr">
        <is>
          <t>VÄRMDÖ</t>
        </is>
      </c>
      <c r="G2374" t="n">
        <v>0.8</v>
      </c>
      <c r="H2374" t="n">
        <v>0</v>
      </c>
      <c r="I2374" t="n">
        <v>0</v>
      </c>
      <c r="J2374" t="n">
        <v>0</v>
      </c>
      <c r="K2374" t="n">
        <v>0</v>
      </c>
      <c r="L2374" t="n">
        <v>0</v>
      </c>
      <c r="M2374" t="n">
        <v>0</v>
      </c>
      <c r="N2374" t="n">
        <v>0</v>
      </c>
      <c r="O2374" t="n">
        <v>0</v>
      </c>
      <c r="P2374" t="n">
        <v>0</v>
      </c>
      <c r="Q2374" t="n">
        <v>0</v>
      </c>
      <c r="R2374" s="2" t="inlineStr"/>
    </row>
    <row r="2375" ht="15" customHeight="1">
      <c r="A2375" t="inlineStr">
        <is>
          <t>A 19220-2023</t>
        </is>
      </c>
      <c r="B2375" s="1" t="n">
        <v>45048</v>
      </c>
      <c r="C2375" s="1" t="n">
        <v>45224</v>
      </c>
      <c r="D2375" t="inlineStr">
        <is>
          <t>STOCKHOLMS LÄN</t>
        </is>
      </c>
      <c r="E2375" t="inlineStr">
        <is>
          <t>HANINGE</t>
        </is>
      </c>
      <c r="G2375" t="n">
        <v>1.4</v>
      </c>
      <c r="H2375" t="n">
        <v>0</v>
      </c>
      <c r="I2375" t="n">
        <v>0</v>
      </c>
      <c r="J2375" t="n">
        <v>0</v>
      </c>
      <c r="K2375" t="n">
        <v>0</v>
      </c>
      <c r="L2375" t="n">
        <v>0</v>
      </c>
      <c r="M2375" t="n">
        <v>0</v>
      </c>
      <c r="N2375" t="n">
        <v>0</v>
      </c>
      <c r="O2375" t="n">
        <v>0</v>
      </c>
      <c r="P2375" t="n">
        <v>0</v>
      </c>
      <c r="Q2375" t="n">
        <v>0</v>
      </c>
      <c r="R2375" s="2" t="inlineStr"/>
    </row>
    <row r="2376" ht="15" customHeight="1">
      <c r="A2376" t="inlineStr">
        <is>
          <t>A 19488-2023</t>
        </is>
      </c>
      <c r="B2376" s="1" t="n">
        <v>45050</v>
      </c>
      <c r="C2376" s="1" t="n">
        <v>45224</v>
      </c>
      <c r="D2376" t="inlineStr">
        <is>
          <t>STOCKHOLMS LÄN</t>
        </is>
      </c>
      <c r="E2376" t="inlineStr">
        <is>
          <t>NYKVARN</t>
        </is>
      </c>
      <c r="F2376" t="inlineStr">
        <is>
          <t>Sveaskog</t>
        </is>
      </c>
      <c r="G2376" t="n">
        <v>8.9</v>
      </c>
      <c r="H2376" t="n">
        <v>0</v>
      </c>
      <c r="I2376" t="n">
        <v>0</v>
      </c>
      <c r="J2376" t="n">
        <v>0</v>
      </c>
      <c r="K2376" t="n">
        <v>0</v>
      </c>
      <c r="L2376" t="n">
        <v>0</v>
      </c>
      <c r="M2376" t="n">
        <v>0</v>
      </c>
      <c r="N2376" t="n">
        <v>0</v>
      </c>
      <c r="O2376" t="n">
        <v>0</v>
      </c>
      <c r="P2376" t="n">
        <v>0</v>
      </c>
      <c r="Q2376" t="n">
        <v>0</v>
      </c>
      <c r="R2376" s="2" t="inlineStr"/>
    </row>
    <row r="2377" ht="15" customHeight="1">
      <c r="A2377" t="inlineStr">
        <is>
          <t>A 19577-2023</t>
        </is>
      </c>
      <c r="B2377" s="1" t="n">
        <v>45050</v>
      </c>
      <c r="C2377" s="1" t="n">
        <v>45224</v>
      </c>
      <c r="D2377" t="inlineStr">
        <is>
          <t>STOCKHOLMS LÄN</t>
        </is>
      </c>
      <c r="E2377" t="inlineStr">
        <is>
          <t>BOTKYRKA</t>
        </is>
      </c>
      <c r="F2377" t="inlineStr">
        <is>
          <t>Kyrkan</t>
        </is>
      </c>
      <c r="G2377" t="n">
        <v>1.1</v>
      </c>
      <c r="H2377" t="n">
        <v>0</v>
      </c>
      <c r="I2377" t="n">
        <v>0</v>
      </c>
      <c r="J2377" t="n">
        <v>0</v>
      </c>
      <c r="K2377" t="n">
        <v>0</v>
      </c>
      <c r="L2377" t="n">
        <v>0</v>
      </c>
      <c r="M2377" t="n">
        <v>0</v>
      </c>
      <c r="N2377" t="n">
        <v>0</v>
      </c>
      <c r="O2377" t="n">
        <v>0</v>
      </c>
      <c r="P2377" t="n">
        <v>0</v>
      </c>
      <c r="Q2377" t="n">
        <v>0</v>
      </c>
      <c r="R2377" s="2" t="inlineStr"/>
    </row>
    <row r="2378" ht="15" customHeight="1">
      <c r="A2378" t="inlineStr">
        <is>
          <t>A 19464-2023</t>
        </is>
      </c>
      <c r="B2378" s="1" t="n">
        <v>45050</v>
      </c>
      <c r="C2378" s="1" t="n">
        <v>45224</v>
      </c>
      <c r="D2378" t="inlineStr">
        <is>
          <t>STOCKHOLMS LÄN</t>
        </is>
      </c>
      <c r="E2378" t="inlineStr">
        <is>
          <t>TÄBY</t>
        </is>
      </c>
      <c r="G2378" t="n">
        <v>4.1</v>
      </c>
      <c r="H2378" t="n">
        <v>0</v>
      </c>
      <c r="I2378" t="n">
        <v>0</v>
      </c>
      <c r="J2378" t="n">
        <v>0</v>
      </c>
      <c r="K2378" t="n">
        <v>0</v>
      </c>
      <c r="L2378" t="n">
        <v>0</v>
      </c>
      <c r="M2378" t="n">
        <v>0</v>
      </c>
      <c r="N2378" t="n">
        <v>0</v>
      </c>
      <c r="O2378" t="n">
        <v>0</v>
      </c>
      <c r="P2378" t="n">
        <v>0</v>
      </c>
      <c r="Q2378" t="n">
        <v>0</v>
      </c>
      <c r="R2378" s="2" t="inlineStr"/>
    </row>
    <row r="2379" ht="15" customHeight="1">
      <c r="A2379" t="inlineStr">
        <is>
          <t>A 19487-2023</t>
        </is>
      </c>
      <c r="B2379" s="1" t="n">
        <v>45050</v>
      </c>
      <c r="C2379" s="1" t="n">
        <v>45224</v>
      </c>
      <c r="D2379" t="inlineStr">
        <is>
          <t>STOCKHOLMS LÄN</t>
        </is>
      </c>
      <c r="E2379" t="inlineStr">
        <is>
          <t>NYKVARN</t>
        </is>
      </c>
      <c r="F2379" t="inlineStr">
        <is>
          <t>Sveaskog</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19490-2023</t>
        </is>
      </c>
      <c r="B2380" s="1" t="n">
        <v>45050</v>
      </c>
      <c r="C2380" s="1" t="n">
        <v>45224</v>
      </c>
      <c r="D2380" t="inlineStr">
        <is>
          <t>STOCKHOLMS LÄN</t>
        </is>
      </c>
      <c r="E2380" t="inlineStr">
        <is>
          <t>NYKVARN</t>
        </is>
      </c>
      <c r="F2380" t="inlineStr">
        <is>
          <t>Sveaskog</t>
        </is>
      </c>
      <c r="G2380" t="n">
        <v>8</v>
      </c>
      <c r="H2380" t="n">
        <v>0</v>
      </c>
      <c r="I2380" t="n">
        <v>0</v>
      </c>
      <c r="J2380" t="n">
        <v>0</v>
      </c>
      <c r="K2380" t="n">
        <v>0</v>
      </c>
      <c r="L2380" t="n">
        <v>0</v>
      </c>
      <c r="M2380" t="n">
        <v>0</v>
      </c>
      <c r="N2380" t="n">
        <v>0</v>
      </c>
      <c r="O2380" t="n">
        <v>0</v>
      </c>
      <c r="P2380" t="n">
        <v>0</v>
      </c>
      <c r="Q2380" t="n">
        <v>0</v>
      </c>
      <c r="R2380" s="2" t="inlineStr"/>
    </row>
    <row r="2381" ht="15" customHeight="1">
      <c r="A2381" t="inlineStr">
        <is>
          <t>A 19501-2023</t>
        </is>
      </c>
      <c r="B2381" s="1" t="n">
        <v>45050</v>
      </c>
      <c r="C2381" s="1" t="n">
        <v>45224</v>
      </c>
      <c r="D2381" t="inlineStr">
        <is>
          <t>STOCKHOLMS LÄN</t>
        </is>
      </c>
      <c r="E2381" t="inlineStr">
        <is>
          <t>VALLENTUNA</t>
        </is>
      </c>
      <c r="G2381" t="n">
        <v>4.6</v>
      </c>
      <c r="H2381" t="n">
        <v>0</v>
      </c>
      <c r="I2381" t="n">
        <v>0</v>
      </c>
      <c r="J2381" t="n">
        <v>0</v>
      </c>
      <c r="K2381" t="n">
        <v>0</v>
      </c>
      <c r="L2381" t="n">
        <v>0</v>
      </c>
      <c r="M2381" t="n">
        <v>0</v>
      </c>
      <c r="N2381" t="n">
        <v>0</v>
      </c>
      <c r="O2381" t="n">
        <v>0</v>
      </c>
      <c r="P2381" t="n">
        <v>0</v>
      </c>
      <c r="Q2381" t="n">
        <v>0</v>
      </c>
      <c r="R2381" s="2" t="inlineStr"/>
    </row>
    <row r="2382" ht="15" customHeight="1">
      <c r="A2382" t="inlineStr">
        <is>
          <t>A 19702-2023</t>
        </is>
      </c>
      <c r="B2382" s="1" t="n">
        <v>45051</v>
      </c>
      <c r="C2382" s="1" t="n">
        <v>45224</v>
      </c>
      <c r="D2382" t="inlineStr">
        <is>
          <t>STOCKHOLMS LÄN</t>
        </is>
      </c>
      <c r="E2382" t="inlineStr">
        <is>
          <t>NORRTÄLJE</t>
        </is>
      </c>
      <c r="G2382" t="n">
        <v>2.6</v>
      </c>
      <c r="H2382" t="n">
        <v>0</v>
      </c>
      <c r="I2382" t="n">
        <v>0</v>
      </c>
      <c r="J2382" t="n">
        <v>0</v>
      </c>
      <c r="K2382" t="n">
        <v>0</v>
      </c>
      <c r="L2382" t="n">
        <v>0</v>
      </c>
      <c r="M2382" t="n">
        <v>0</v>
      </c>
      <c r="N2382" t="n">
        <v>0</v>
      </c>
      <c r="O2382" t="n">
        <v>0</v>
      </c>
      <c r="P2382" t="n">
        <v>0</v>
      </c>
      <c r="Q2382" t="n">
        <v>0</v>
      </c>
      <c r="R2382" s="2" t="inlineStr"/>
    </row>
    <row r="2383" ht="15" customHeight="1">
      <c r="A2383" t="inlineStr">
        <is>
          <t>A 19632-2023</t>
        </is>
      </c>
      <c r="B2383" s="1" t="n">
        <v>45051</v>
      </c>
      <c r="C2383" s="1" t="n">
        <v>45224</v>
      </c>
      <c r="D2383" t="inlineStr">
        <is>
          <t>STOCKHOLMS LÄN</t>
        </is>
      </c>
      <c r="E2383" t="inlineStr">
        <is>
          <t>NORRTÄLJE</t>
        </is>
      </c>
      <c r="G2383" t="n">
        <v>6.9</v>
      </c>
      <c r="H2383" t="n">
        <v>0</v>
      </c>
      <c r="I2383" t="n">
        <v>0</v>
      </c>
      <c r="J2383" t="n">
        <v>0</v>
      </c>
      <c r="K2383" t="n">
        <v>0</v>
      </c>
      <c r="L2383" t="n">
        <v>0</v>
      </c>
      <c r="M2383" t="n">
        <v>0</v>
      </c>
      <c r="N2383" t="n">
        <v>0</v>
      </c>
      <c r="O2383" t="n">
        <v>0</v>
      </c>
      <c r="P2383" t="n">
        <v>0</v>
      </c>
      <c r="Q2383" t="n">
        <v>0</v>
      </c>
      <c r="R2383" s="2" t="inlineStr"/>
    </row>
    <row r="2384" ht="15" customHeight="1">
      <c r="A2384" t="inlineStr">
        <is>
          <t>A 19719-2023</t>
        </is>
      </c>
      <c r="B2384" s="1" t="n">
        <v>45051</v>
      </c>
      <c r="C2384" s="1" t="n">
        <v>45224</v>
      </c>
      <c r="D2384" t="inlineStr">
        <is>
          <t>STOCKHOLMS LÄN</t>
        </is>
      </c>
      <c r="E2384" t="inlineStr">
        <is>
          <t>NORRTÄLJE</t>
        </is>
      </c>
      <c r="G2384" t="n">
        <v>0.8</v>
      </c>
      <c r="H2384" t="n">
        <v>0</v>
      </c>
      <c r="I2384" t="n">
        <v>0</v>
      </c>
      <c r="J2384" t="n">
        <v>0</v>
      </c>
      <c r="K2384" t="n">
        <v>0</v>
      </c>
      <c r="L2384" t="n">
        <v>0</v>
      </c>
      <c r="M2384" t="n">
        <v>0</v>
      </c>
      <c r="N2384" t="n">
        <v>0</v>
      </c>
      <c r="O2384" t="n">
        <v>0</v>
      </c>
      <c r="P2384" t="n">
        <v>0</v>
      </c>
      <c r="Q2384" t="n">
        <v>0</v>
      </c>
      <c r="R2384" s="2" t="inlineStr"/>
    </row>
    <row r="2385" ht="15" customHeight="1">
      <c r="A2385" t="inlineStr">
        <is>
          <t>A 19854-2023</t>
        </is>
      </c>
      <c r="B2385" s="1" t="n">
        <v>45053</v>
      </c>
      <c r="C2385" s="1" t="n">
        <v>45224</v>
      </c>
      <c r="D2385" t="inlineStr">
        <is>
          <t>STOCKHOLMS LÄN</t>
        </is>
      </c>
      <c r="E2385" t="inlineStr">
        <is>
          <t>NORRTÄLJE</t>
        </is>
      </c>
      <c r="G2385" t="n">
        <v>15.8</v>
      </c>
      <c r="H2385" t="n">
        <v>0</v>
      </c>
      <c r="I2385" t="n">
        <v>0</v>
      </c>
      <c r="J2385" t="n">
        <v>0</v>
      </c>
      <c r="K2385" t="n">
        <v>0</v>
      </c>
      <c r="L2385" t="n">
        <v>0</v>
      </c>
      <c r="M2385" t="n">
        <v>0</v>
      </c>
      <c r="N2385" t="n">
        <v>0</v>
      </c>
      <c r="O2385" t="n">
        <v>0</v>
      </c>
      <c r="P2385" t="n">
        <v>0</v>
      </c>
      <c r="Q2385" t="n">
        <v>0</v>
      </c>
      <c r="R2385" s="2" t="inlineStr"/>
    </row>
    <row r="2386" ht="15" customHeight="1">
      <c r="A2386" t="inlineStr">
        <is>
          <t>A 20015-2023</t>
        </is>
      </c>
      <c r="B2386" s="1" t="n">
        <v>45054</v>
      </c>
      <c r="C2386" s="1" t="n">
        <v>45224</v>
      </c>
      <c r="D2386" t="inlineStr">
        <is>
          <t>STOCKHOLMS LÄN</t>
        </is>
      </c>
      <c r="E2386" t="inlineStr">
        <is>
          <t>NORRTÄLJE</t>
        </is>
      </c>
      <c r="G2386" t="n">
        <v>8.300000000000001</v>
      </c>
      <c r="H2386" t="n">
        <v>0</v>
      </c>
      <c r="I2386" t="n">
        <v>0</v>
      </c>
      <c r="J2386" t="n">
        <v>0</v>
      </c>
      <c r="K2386" t="n">
        <v>0</v>
      </c>
      <c r="L2386" t="n">
        <v>0</v>
      </c>
      <c r="M2386" t="n">
        <v>0</v>
      </c>
      <c r="N2386" t="n">
        <v>0</v>
      </c>
      <c r="O2386" t="n">
        <v>0</v>
      </c>
      <c r="P2386" t="n">
        <v>0</v>
      </c>
      <c r="Q2386" t="n">
        <v>0</v>
      </c>
      <c r="R2386" s="2" t="inlineStr"/>
    </row>
    <row r="2387" ht="15" customHeight="1">
      <c r="A2387" t="inlineStr">
        <is>
          <t>A 20375-2023</t>
        </is>
      </c>
      <c r="B2387" s="1" t="n">
        <v>45054</v>
      </c>
      <c r="C2387" s="1" t="n">
        <v>45224</v>
      </c>
      <c r="D2387" t="inlineStr">
        <is>
          <t>STOCKHOLMS LÄN</t>
        </is>
      </c>
      <c r="E2387" t="inlineStr">
        <is>
          <t>SIGTUNA</t>
        </is>
      </c>
      <c r="G2387" t="n">
        <v>2.3</v>
      </c>
      <c r="H2387" t="n">
        <v>0</v>
      </c>
      <c r="I2387" t="n">
        <v>0</v>
      </c>
      <c r="J2387" t="n">
        <v>0</v>
      </c>
      <c r="K2387" t="n">
        <v>0</v>
      </c>
      <c r="L2387" t="n">
        <v>0</v>
      </c>
      <c r="M2387" t="n">
        <v>0</v>
      </c>
      <c r="N2387" t="n">
        <v>0</v>
      </c>
      <c r="O2387" t="n">
        <v>0</v>
      </c>
      <c r="P2387" t="n">
        <v>0</v>
      </c>
      <c r="Q2387" t="n">
        <v>0</v>
      </c>
      <c r="R2387" s="2" t="inlineStr"/>
    </row>
    <row r="2388" ht="15" customHeight="1">
      <c r="A2388" t="inlineStr">
        <is>
          <t>A 19903-2023</t>
        </is>
      </c>
      <c r="B2388" s="1" t="n">
        <v>45054</v>
      </c>
      <c r="C2388" s="1" t="n">
        <v>45224</v>
      </c>
      <c r="D2388" t="inlineStr">
        <is>
          <t>STOCKHOLMS LÄN</t>
        </is>
      </c>
      <c r="E2388" t="inlineStr">
        <is>
          <t>NYKVARN</t>
        </is>
      </c>
      <c r="G2388" t="n">
        <v>7.2</v>
      </c>
      <c r="H2388" t="n">
        <v>0</v>
      </c>
      <c r="I2388" t="n">
        <v>0</v>
      </c>
      <c r="J2388" t="n">
        <v>0</v>
      </c>
      <c r="K2388" t="n">
        <v>0</v>
      </c>
      <c r="L2388" t="n">
        <v>0</v>
      </c>
      <c r="M2388" t="n">
        <v>0</v>
      </c>
      <c r="N2388" t="n">
        <v>0</v>
      </c>
      <c r="O2388" t="n">
        <v>0</v>
      </c>
      <c r="P2388" t="n">
        <v>0</v>
      </c>
      <c r="Q2388" t="n">
        <v>0</v>
      </c>
      <c r="R2388" s="2" t="inlineStr"/>
    </row>
    <row r="2389" ht="15" customHeight="1">
      <c r="A2389" t="inlineStr">
        <is>
          <t>A 19951-2023</t>
        </is>
      </c>
      <c r="B2389" s="1" t="n">
        <v>45054</v>
      </c>
      <c r="C2389" s="1" t="n">
        <v>45224</v>
      </c>
      <c r="D2389" t="inlineStr">
        <is>
          <t>STOCKHOLMS LÄN</t>
        </is>
      </c>
      <c r="E2389" t="inlineStr">
        <is>
          <t>NORRTÄLJE</t>
        </is>
      </c>
      <c r="G2389" t="n">
        <v>2.5</v>
      </c>
      <c r="H2389" t="n">
        <v>0</v>
      </c>
      <c r="I2389" t="n">
        <v>0</v>
      </c>
      <c r="J2389" t="n">
        <v>0</v>
      </c>
      <c r="K2389" t="n">
        <v>0</v>
      </c>
      <c r="L2389" t="n">
        <v>0</v>
      </c>
      <c r="M2389" t="n">
        <v>0</v>
      </c>
      <c r="N2389" t="n">
        <v>0</v>
      </c>
      <c r="O2389" t="n">
        <v>0</v>
      </c>
      <c r="P2389" t="n">
        <v>0</v>
      </c>
      <c r="Q2389" t="n">
        <v>0</v>
      </c>
      <c r="R2389" s="2" t="inlineStr"/>
    </row>
    <row r="2390" ht="15" customHeight="1">
      <c r="A2390" t="inlineStr">
        <is>
          <t>A 20053-2023</t>
        </is>
      </c>
      <c r="B2390" s="1" t="n">
        <v>45054</v>
      </c>
      <c r="C2390" s="1" t="n">
        <v>45224</v>
      </c>
      <c r="D2390" t="inlineStr">
        <is>
          <t>STOCKHOLMS LÄN</t>
        </is>
      </c>
      <c r="E2390" t="inlineStr">
        <is>
          <t>VÄRMDÖ</t>
        </is>
      </c>
      <c r="F2390" t="inlineStr">
        <is>
          <t>Övriga Aktiebolag</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19971-2023</t>
        </is>
      </c>
      <c r="B2391" s="1" t="n">
        <v>45054</v>
      </c>
      <c r="C2391" s="1" t="n">
        <v>45224</v>
      </c>
      <c r="D2391" t="inlineStr">
        <is>
          <t>STOCKHOLMS LÄN</t>
        </is>
      </c>
      <c r="E2391" t="inlineStr">
        <is>
          <t>NORRTÄLJE</t>
        </is>
      </c>
      <c r="G2391" t="n">
        <v>3.3</v>
      </c>
      <c r="H2391" t="n">
        <v>0</v>
      </c>
      <c r="I2391" t="n">
        <v>0</v>
      </c>
      <c r="J2391" t="n">
        <v>0</v>
      </c>
      <c r="K2391" t="n">
        <v>0</v>
      </c>
      <c r="L2391" t="n">
        <v>0</v>
      </c>
      <c r="M2391" t="n">
        <v>0</v>
      </c>
      <c r="N2391" t="n">
        <v>0</v>
      </c>
      <c r="O2391" t="n">
        <v>0</v>
      </c>
      <c r="P2391" t="n">
        <v>0</v>
      </c>
      <c r="Q2391" t="n">
        <v>0</v>
      </c>
      <c r="R2391" s="2" t="inlineStr"/>
    </row>
    <row r="2392" ht="15" customHeight="1">
      <c r="A2392" t="inlineStr">
        <is>
          <t>A 19994-2023</t>
        </is>
      </c>
      <c r="B2392" s="1" t="n">
        <v>45054</v>
      </c>
      <c r="C2392" s="1" t="n">
        <v>45224</v>
      </c>
      <c r="D2392" t="inlineStr">
        <is>
          <t>STOCKHOLMS LÄN</t>
        </is>
      </c>
      <c r="E2392" t="inlineStr">
        <is>
          <t>NORRTÄLJE</t>
        </is>
      </c>
      <c r="G2392" t="n">
        <v>4.3</v>
      </c>
      <c r="H2392" t="n">
        <v>0</v>
      </c>
      <c r="I2392" t="n">
        <v>0</v>
      </c>
      <c r="J2392" t="n">
        <v>0</v>
      </c>
      <c r="K2392" t="n">
        <v>0</v>
      </c>
      <c r="L2392" t="n">
        <v>0</v>
      </c>
      <c r="M2392" t="n">
        <v>0</v>
      </c>
      <c r="N2392" t="n">
        <v>0</v>
      </c>
      <c r="O2392" t="n">
        <v>0</v>
      </c>
      <c r="P2392" t="n">
        <v>0</v>
      </c>
      <c r="Q2392" t="n">
        <v>0</v>
      </c>
      <c r="R2392" s="2" t="inlineStr"/>
    </row>
    <row r="2393" ht="15" customHeight="1">
      <c r="A2393" t="inlineStr">
        <is>
          <t>A 20004-2023</t>
        </is>
      </c>
      <c r="B2393" s="1" t="n">
        <v>45054</v>
      </c>
      <c r="C2393" s="1" t="n">
        <v>45224</v>
      </c>
      <c r="D2393" t="inlineStr">
        <is>
          <t>STOCKHOLMS LÄN</t>
        </is>
      </c>
      <c r="E2393" t="inlineStr">
        <is>
          <t>NORRTÄLJE</t>
        </is>
      </c>
      <c r="G2393" t="n">
        <v>1.9</v>
      </c>
      <c r="H2393" t="n">
        <v>0</v>
      </c>
      <c r="I2393" t="n">
        <v>0</v>
      </c>
      <c r="J2393" t="n">
        <v>0</v>
      </c>
      <c r="K2393" t="n">
        <v>0</v>
      </c>
      <c r="L2393" t="n">
        <v>0</v>
      </c>
      <c r="M2393" t="n">
        <v>0</v>
      </c>
      <c r="N2393" t="n">
        <v>0</v>
      </c>
      <c r="O2393" t="n">
        <v>0</v>
      </c>
      <c r="P2393" t="n">
        <v>0</v>
      </c>
      <c r="Q2393" t="n">
        <v>0</v>
      </c>
      <c r="R2393" s="2" t="inlineStr"/>
    </row>
    <row r="2394" ht="15" customHeight="1">
      <c r="A2394" t="inlineStr">
        <is>
          <t>A 20363-2023</t>
        </is>
      </c>
      <c r="B2394" s="1" t="n">
        <v>45054</v>
      </c>
      <c r="C2394" s="1" t="n">
        <v>45224</v>
      </c>
      <c r="D2394" t="inlineStr">
        <is>
          <t>STOCKHOLMS LÄN</t>
        </is>
      </c>
      <c r="E2394" t="inlineStr">
        <is>
          <t>SIGTUNA</t>
        </is>
      </c>
      <c r="G2394" t="n">
        <v>3.2</v>
      </c>
      <c r="H2394" t="n">
        <v>0</v>
      </c>
      <c r="I2394" t="n">
        <v>0</v>
      </c>
      <c r="J2394" t="n">
        <v>0</v>
      </c>
      <c r="K2394" t="n">
        <v>0</v>
      </c>
      <c r="L2394" t="n">
        <v>0</v>
      </c>
      <c r="M2394" t="n">
        <v>0</v>
      </c>
      <c r="N2394" t="n">
        <v>0</v>
      </c>
      <c r="O2394" t="n">
        <v>0</v>
      </c>
      <c r="P2394" t="n">
        <v>0</v>
      </c>
      <c r="Q2394" t="n">
        <v>0</v>
      </c>
      <c r="R2394" s="2" t="inlineStr"/>
    </row>
    <row r="2395" ht="15" customHeight="1">
      <c r="A2395" t="inlineStr">
        <is>
          <t>A 20304-2023</t>
        </is>
      </c>
      <c r="B2395" s="1" t="n">
        <v>45056</v>
      </c>
      <c r="C2395" s="1" t="n">
        <v>45224</v>
      </c>
      <c r="D2395" t="inlineStr">
        <is>
          <t>STOCKHOLMS LÄN</t>
        </is>
      </c>
      <c r="E2395" t="inlineStr">
        <is>
          <t>NORRTÄLJE</t>
        </is>
      </c>
      <c r="G2395" t="n">
        <v>1.5</v>
      </c>
      <c r="H2395" t="n">
        <v>0</v>
      </c>
      <c r="I2395" t="n">
        <v>0</v>
      </c>
      <c r="J2395" t="n">
        <v>0</v>
      </c>
      <c r="K2395" t="n">
        <v>0</v>
      </c>
      <c r="L2395" t="n">
        <v>0</v>
      </c>
      <c r="M2395" t="n">
        <v>0</v>
      </c>
      <c r="N2395" t="n">
        <v>0</v>
      </c>
      <c r="O2395" t="n">
        <v>0</v>
      </c>
      <c r="P2395" t="n">
        <v>0</v>
      </c>
      <c r="Q2395" t="n">
        <v>0</v>
      </c>
      <c r="R2395" s="2" t="inlineStr"/>
    </row>
    <row r="2396" ht="15" customHeight="1">
      <c r="A2396" t="inlineStr">
        <is>
          <t>A 20535-2023</t>
        </is>
      </c>
      <c r="B2396" s="1" t="n">
        <v>45057</v>
      </c>
      <c r="C2396" s="1" t="n">
        <v>45224</v>
      </c>
      <c r="D2396" t="inlineStr">
        <is>
          <t>STOCKHOLMS LÄN</t>
        </is>
      </c>
      <c r="E2396" t="inlineStr">
        <is>
          <t>NORRTÄLJE</t>
        </is>
      </c>
      <c r="G2396" t="n">
        <v>1.7</v>
      </c>
      <c r="H2396" t="n">
        <v>0</v>
      </c>
      <c r="I2396" t="n">
        <v>0</v>
      </c>
      <c r="J2396" t="n">
        <v>0</v>
      </c>
      <c r="K2396" t="n">
        <v>0</v>
      </c>
      <c r="L2396" t="n">
        <v>0</v>
      </c>
      <c r="M2396" t="n">
        <v>0</v>
      </c>
      <c r="N2396" t="n">
        <v>0</v>
      </c>
      <c r="O2396" t="n">
        <v>0</v>
      </c>
      <c r="P2396" t="n">
        <v>0</v>
      </c>
      <c r="Q2396" t="n">
        <v>0</v>
      </c>
      <c r="R2396" s="2" t="inlineStr"/>
    </row>
    <row r="2397" ht="15" customHeight="1">
      <c r="A2397" t="inlineStr">
        <is>
          <t>A 20960-2023</t>
        </is>
      </c>
      <c r="B2397" s="1" t="n">
        <v>45061</v>
      </c>
      <c r="C2397" s="1" t="n">
        <v>45224</v>
      </c>
      <c r="D2397" t="inlineStr">
        <is>
          <t>STOCKHOLMS LÄN</t>
        </is>
      </c>
      <c r="E2397" t="inlineStr">
        <is>
          <t>SIGTUNA</t>
        </is>
      </c>
      <c r="G2397" t="n">
        <v>0.6</v>
      </c>
      <c r="H2397" t="n">
        <v>0</v>
      </c>
      <c r="I2397" t="n">
        <v>0</v>
      </c>
      <c r="J2397" t="n">
        <v>0</v>
      </c>
      <c r="K2397" t="n">
        <v>0</v>
      </c>
      <c r="L2397" t="n">
        <v>0</v>
      </c>
      <c r="M2397" t="n">
        <v>0</v>
      </c>
      <c r="N2397" t="n">
        <v>0</v>
      </c>
      <c r="O2397" t="n">
        <v>0</v>
      </c>
      <c r="P2397" t="n">
        <v>0</v>
      </c>
      <c r="Q2397" t="n">
        <v>0</v>
      </c>
      <c r="R2397" s="2" t="inlineStr"/>
    </row>
    <row r="2398" ht="15" customHeight="1">
      <c r="A2398" t="inlineStr">
        <is>
          <t>A 20957-2023</t>
        </is>
      </c>
      <c r="B2398" s="1" t="n">
        <v>45061</v>
      </c>
      <c r="C2398" s="1" t="n">
        <v>45224</v>
      </c>
      <c r="D2398" t="inlineStr">
        <is>
          <t>STOCKHOLMS LÄN</t>
        </is>
      </c>
      <c r="E2398" t="inlineStr">
        <is>
          <t>SIGTUNA</t>
        </is>
      </c>
      <c r="G2398" t="n">
        <v>0.3</v>
      </c>
      <c r="H2398" t="n">
        <v>0</v>
      </c>
      <c r="I2398" t="n">
        <v>0</v>
      </c>
      <c r="J2398" t="n">
        <v>0</v>
      </c>
      <c r="K2398" t="n">
        <v>0</v>
      </c>
      <c r="L2398" t="n">
        <v>0</v>
      </c>
      <c r="M2398" t="n">
        <v>0</v>
      </c>
      <c r="N2398" t="n">
        <v>0</v>
      </c>
      <c r="O2398" t="n">
        <v>0</v>
      </c>
      <c r="P2398" t="n">
        <v>0</v>
      </c>
      <c r="Q2398" t="n">
        <v>0</v>
      </c>
      <c r="R2398" s="2" t="inlineStr"/>
    </row>
    <row r="2399" ht="15" customHeight="1">
      <c r="A2399" t="inlineStr">
        <is>
          <t>A 21285-2023</t>
        </is>
      </c>
      <c r="B2399" s="1" t="n">
        <v>45062</v>
      </c>
      <c r="C2399" s="1" t="n">
        <v>45224</v>
      </c>
      <c r="D2399" t="inlineStr">
        <is>
          <t>STOCKHOLMS LÄN</t>
        </is>
      </c>
      <c r="E2399" t="inlineStr">
        <is>
          <t>BOTKYRKA</t>
        </is>
      </c>
      <c r="G2399" t="n">
        <v>0.8</v>
      </c>
      <c r="H2399" t="n">
        <v>0</v>
      </c>
      <c r="I2399" t="n">
        <v>0</v>
      </c>
      <c r="J2399" t="n">
        <v>0</v>
      </c>
      <c r="K2399" t="n">
        <v>0</v>
      </c>
      <c r="L2399" t="n">
        <v>0</v>
      </c>
      <c r="M2399" t="n">
        <v>0</v>
      </c>
      <c r="N2399" t="n">
        <v>0</v>
      </c>
      <c r="O2399" t="n">
        <v>0</v>
      </c>
      <c r="P2399" t="n">
        <v>0</v>
      </c>
      <c r="Q2399" t="n">
        <v>0</v>
      </c>
      <c r="R2399" s="2" t="inlineStr"/>
    </row>
    <row r="2400" ht="15" customHeight="1">
      <c r="A2400" t="inlineStr">
        <is>
          <t>A 21237-2023</t>
        </is>
      </c>
      <c r="B2400" s="1" t="n">
        <v>45062</v>
      </c>
      <c r="C2400" s="1" t="n">
        <v>45224</v>
      </c>
      <c r="D2400" t="inlineStr">
        <is>
          <t>STOCKHOLMS LÄN</t>
        </is>
      </c>
      <c r="E2400" t="inlineStr">
        <is>
          <t>NORRTÄLJE</t>
        </is>
      </c>
      <c r="F2400" t="inlineStr">
        <is>
          <t>Övriga Aktiebolag</t>
        </is>
      </c>
      <c r="G2400" t="n">
        <v>3.9</v>
      </c>
      <c r="H2400" t="n">
        <v>0</v>
      </c>
      <c r="I2400" t="n">
        <v>0</v>
      </c>
      <c r="J2400" t="n">
        <v>0</v>
      </c>
      <c r="K2400" t="n">
        <v>0</v>
      </c>
      <c r="L2400" t="n">
        <v>0</v>
      </c>
      <c r="M2400" t="n">
        <v>0</v>
      </c>
      <c r="N2400" t="n">
        <v>0</v>
      </c>
      <c r="O2400" t="n">
        <v>0</v>
      </c>
      <c r="P2400" t="n">
        <v>0</v>
      </c>
      <c r="Q2400" t="n">
        <v>0</v>
      </c>
      <c r="R2400" s="2" t="inlineStr"/>
    </row>
    <row r="2401" ht="15" customHeight="1">
      <c r="A2401" t="inlineStr">
        <is>
          <t>A 21192-2023</t>
        </is>
      </c>
      <c r="B2401" s="1" t="n">
        <v>45062</v>
      </c>
      <c r="C2401" s="1" t="n">
        <v>45224</v>
      </c>
      <c r="D2401" t="inlineStr">
        <is>
          <t>STOCKHOLMS LÄN</t>
        </is>
      </c>
      <c r="E2401" t="inlineStr">
        <is>
          <t>NYNÄSHAMN</t>
        </is>
      </c>
      <c r="G2401" t="n">
        <v>4.8</v>
      </c>
      <c r="H2401" t="n">
        <v>0</v>
      </c>
      <c r="I2401" t="n">
        <v>0</v>
      </c>
      <c r="J2401" t="n">
        <v>0</v>
      </c>
      <c r="K2401" t="n">
        <v>0</v>
      </c>
      <c r="L2401" t="n">
        <v>0</v>
      </c>
      <c r="M2401" t="n">
        <v>0</v>
      </c>
      <c r="N2401" t="n">
        <v>0</v>
      </c>
      <c r="O2401" t="n">
        <v>0</v>
      </c>
      <c r="P2401" t="n">
        <v>0</v>
      </c>
      <c r="Q2401" t="n">
        <v>0</v>
      </c>
      <c r="R2401" s="2" t="inlineStr"/>
    </row>
    <row r="2402" ht="15" customHeight="1">
      <c r="A2402" t="inlineStr">
        <is>
          <t>A 21431-2023</t>
        </is>
      </c>
      <c r="B2402" s="1" t="n">
        <v>45063</v>
      </c>
      <c r="C2402" s="1" t="n">
        <v>45224</v>
      </c>
      <c r="D2402" t="inlineStr">
        <is>
          <t>STOCKHOLMS LÄN</t>
        </is>
      </c>
      <c r="E2402" t="inlineStr">
        <is>
          <t>NORRTÄLJE</t>
        </is>
      </c>
      <c r="F2402" t="inlineStr">
        <is>
          <t>Holmen skog AB</t>
        </is>
      </c>
      <c r="G2402" t="n">
        <v>4</v>
      </c>
      <c r="H2402" t="n">
        <v>0</v>
      </c>
      <c r="I2402" t="n">
        <v>0</v>
      </c>
      <c r="J2402" t="n">
        <v>0</v>
      </c>
      <c r="K2402" t="n">
        <v>0</v>
      </c>
      <c r="L2402" t="n">
        <v>0</v>
      </c>
      <c r="M2402" t="n">
        <v>0</v>
      </c>
      <c r="N2402" t="n">
        <v>0</v>
      </c>
      <c r="O2402" t="n">
        <v>0</v>
      </c>
      <c r="P2402" t="n">
        <v>0</v>
      </c>
      <c r="Q2402" t="n">
        <v>0</v>
      </c>
      <c r="R2402" s="2" t="inlineStr"/>
    </row>
    <row r="2403" ht="15" customHeight="1">
      <c r="A2403" t="inlineStr">
        <is>
          <t>A 21444-2023</t>
        </is>
      </c>
      <c r="B2403" s="1" t="n">
        <v>45063</v>
      </c>
      <c r="C2403" s="1" t="n">
        <v>45224</v>
      </c>
      <c r="D2403" t="inlineStr">
        <is>
          <t>STOCKHOLMS LÄN</t>
        </is>
      </c>
      <c r="E2403" t="inlineStr">
        <is>
          <t>VALLENTUNA</t>
        </is>
      </c>
      <c r="G2403" t="n">
        <v>1.7</v>
      </c>
      <c r="H2403" t="n">
        <v>0</v>
      </c>
      <c r="I2403" t="n">
        <v>0</v>
      </c>
      <c r="J2403" t="n">
        <v>0</v>
      </c>
      <c r="K2403" t="n">
        <v>0</v>
      </c>
      <c r="L2403" t="n">
        <v>0</v>
      </c>
      <c r="M2403" t="n">
        <v>0</v>
      </c>
      <c r="N2403" t="n">
        <v>0</v>
      </c>
      <c r="O2403" t="n">
        <v>0</v>
      </c>
      <c r="P2403" t="n">
        <v>0</v>
      </c>
      <c r="Q2403" t="n">
        <v>0</v>
      </c>
      <c r="R2403" s="2" t="inlineStr"/>
    </row>
    <row r="2404" ht="15" customHeight="1">
      <c r="A2404" t="inlineStr">
        <is>
          <t>A 21732-2023</t>
        </is>
      </c>
      <c r="B2404" s="1" t="n">
        <v>45063</v>
      </c>
      <c r="C2404" s="1" t="n">
        <v>45224</v>
      </c>
      <c r="D2404" t="inlineStr">
        <is>
          <t>STOCKHOLMS LÄN</t>
        </is>
      </c>
      <c r="E2404" t="inlineStr">
        <is>
          <t>NORRTÄLJE</t>
        </is>
      </c>
      <c r="G2404" t="n">
        <v>1.7</v>
      </c>
      <c r="H2404" t="n">
        <v>0</v>
      </c>
      <c r="I2404" t="n">
        <v>0</v>
      </c>
      <c r="J2404" t="n">
        <v>0</v>
      </c>
      <c r="K2404" t="n">
        <v>0</v>
      </c>
      <c r="L2404" t="n">
        <v>0</v>
      </c>
      <c r="M2404" t="n">
        <v>0</v>
      </c>
      <c r="N2404" t="n">
        <v>0</v>
      </c>
      <c r="O2404" t="n">
        <v>0</v>
      </c>
      <c r="P2404" t="n">
        <v>0</v>
      </c>
      <c r="Q2404" t="n">
        <v>0</v>
      </c>
      <c r="R2404" s="2" t="inlineStr"/>
    </row>
    <row r="2405" ht="15" customHeight="1">
      <c r="A2405" t="inlineStr">
        <is>
          <t>A 21435-2023</t>
        </is>
      </c>
      <c r="B2405" s="1" t="n">
        <v>45063</v>
      </c>
      <c r="C2405" s="1" t="n">
        <v>45224</v>
      </c>
      <c r="D2405" t="inlineStr">
        <is>
          <t>STOCKHOLMS LÄN</t>
        </is>
      </c>
      <c r="E2405" t="inlineStr">
        <is>
          <t>NORRTÄLJE</t>
        </is>
      </c>
      <c r="G2405" t="n">
        <v>19.1</v>
      </c>
      <c r="H2405" t="n">
        <v>0</v>
      </c>
      <c r="I2405" t="n">
        <v>0</v>
      </c>
      <c r="J2405" t="n">
        <v>0</v>
      </c>
      <c r="K2405" t="n">
        <v>0</v>
      </c>
      <c r="L2405" t="n">
        <v>0</v>
      </c>
      <c r="M2405" t="n">
        <v>0</v>
      </c>
      <c r="N2405" t="n">
        <v>0</v>
      </c>
      <c r="O2405" t="n">
        <v>0</v>
      </c>
      <c r="P2405" t="n">
        <v>0</v>
      </c>
      <c r="Q2405" t="n">
        <v>0</v>
      </c>
      <c r="R2405" s="2" t="inlineStr"/>
    </row>
    <row r="2406" ht="15" customHeight="1">
      <c r="A2406" t="inlineStr">
        <is>
          <t>A 21445-2023</t>
        </is>
      </c>
      <c r="B2406" s="1" t="n">
        <v>45063</v>
      </c>
      <c r="C2406" s="1" t="n">
        <v>45224</v>
      </c>
      <c r="D2406" t="inlineStr">
        <is>
          <t>STOCKHOLMS LÄN</t>
        </is>
      </c>
      <c r="E2406" t="inlineStr">
        <is>
          <t>VALLENTUNA</t>
        </is>
      </c>
      <c r="G2406" t="n">
        <v>3.1</v>
      </c>
      <c r="H2406" t="n">
        <v>0</v>
      </c>
      <c r="I2406" t="n">
        <v>0</v>
      </c>
      <c r="J2406" t="n">
        <v>0</v>
      </c>
      <c r="K2406" t="n">
        <v>0</v>
      </c>
      <c r="L2406" t="n">
        <v>0</v>
      </c>
      <c r="M2406" t="n">
        <v>0</v>
      </c>
      <c r="N2406" t="n">
        <v>0</v>
      </c>
      <c r="O2406" t="n">
        <v>0</v>
      </c>
      <c r="P2406" t="n">
        <v>0</v>
      </c>
      <c r="Q2406" t="n">
        <v>0</v>
      </c>
      <c r="R2406" s="2" t="inlineStr"/>
    </row>
    <row r="2407" ht="15" customHeight="1">
      <c r="A2407" t="inlineStr">
        <is>
          <t>A 21733-2023</t>
        </is>
      </c>
      <c r="B2407" s="1" t="n">
        <v>45063</v>
      </c>
      <c r="C2407" s="1" t="n">
        <v>45224</v>
      </c>
      <c r="D2407" t="inlineStr">
        <is>
          <t>STOCKHOLMS LÄN</t>
        </is>
      </c>
      <c r="E2407" t="inlineStr">
        <is>
          <t>NORRTÄLJE</t>
        </is>
      </c>
      <c r="G2407" t="n">
        <v>1.1</v>
      </c>
      <c r="H2407" t="n">
        <v>0</v>
      </c>
      <c r="I2407" t="n">
        <v>0</v>
      </c>
      <c r="J2407" t="n">
        <v>0</v>
      </c>
      <c r="K2407" t="n">
        <v>0</v>
      </c>
      <c r="L2407" t="n">
        <v>0</v>
      </c>
      <c r="M2407" t="n">
        <v>0</v>
      </c>
      <c r="N2407" t="n">
        <v>0</v>
      </c>
      <c r="O2407" t="n">
        <v>0</v>
      </c>
      <c r="P2407" t="n">
        <v>0</v>
      </c>
      <c r="Q2407" t="n">
        <v>0</v>
      </c>
      <c r="R2407" s="2" t="inlineStr"/>
    </row>
    <row r="2408" ht="15" customHeight="1">
      <c r="A2408" t="inlineStr">
        <is>
          <t>A 21654-2023</t>
        </is>
      </c>
      <c r="B2408" s="1" t="n">
        <v>45063</v>
      </c>
      <c r="C2408" s="1" t="n">
        <v>45224</v>
      </c>
      <c r="D2408" t="inlineStr">
        <is>
          <t>STOCKHOLMS LÄN</t>
        </is>
      </c>
      <c r="E2408" t="inlineStr">
        <is>
          <t>SÖDERTÄLJE</t>
        </is>
      </c>
      <c r="G2408" t="n">
        <v>2.1</v>
      </c>
      <c r="H2408" t="n">
        <v>0</v>
      </c>
      <c r="I2408" t="n">
        <v>0</v>
      </c>
      <c r="J2408" t="n">
        <v>0</v>
      </c>
      <c r="K2408" t="n">
        <v>0</v>
      </c>
      <c r="L2408" t="n">
        <v>0</v>
      </c>
      <c r="M2408" t="n">
        <v>0</v>
      </c>
      <c r="N2408" t="n">
        <v>0</v>
      </c>
      <c r="O2408" t="n">
        <v>0</v>
      </c>
      <c r="P2408" t="n">
        <v>0</v>
      </c>
      <c r="Q2408" t="n">
        <v>0</v>
      </c>
      <c r="R2408" s="2" t="inlineStr"/>
    </row>
    <row r="2409" ht="15" customHeight="1">
      <c r="A2409" t="inlineStr">
        <is>
          <t>A 21731-2023</t>
        </is>
      </c>
      <c r="B2409" s="1" t="n">
        <v>45063</v>
      </c>
      <c r="C2409" s="1" t="n">
        <v>45224</v>
      </c>
      <c r="D2409" t="inlineStr">
        <is>
          <t>STOCKHOLMS LÄN</t>
        </is>
      </c>
      <c r="E2409" t="inlineStr">
        <is>
          <t>NORRTÄLJE</t>
        </is>
      </c>
      <c r="G2409" t="n">
        <v>2.3</v>
      </c>
      <c r="H2409" t="n">
        <v>0</v>
      </c>
      <c r="I2409" t="n">
        <v>0</v>
      </c>
      <c r="J2409" t="n">
        <v>0</v>
      </c>
      <c r="K2409" t="n">
        <v>0</v>
      </c>
      <c r="L2409" t="n">
        <v>0</v>
      </c>
      <c r="M2409" t="n">
        <v>0</v>
      </c>
      <c r="N2409" t="n">
        <v>0</v>
      </c>
      <c r="O2409" t="n">
        <v>0</v>
      </c>
      <c r="P2409" t="n">
        <v>0</v>
      </c>
      <c r="Q2409" t="n">
        <v>0</v>
      </c>
      <c r="R2409" s="2" t="inlineStr"/>
    </row>
    <row r="2410" ht="15" customHeight="1">
      <c r="A2410" t="inlineStr">
        <is>
          <t>A 21583-2023</t>
        </is>
      </c>
      <c r="B2410" s="1" t="n">
        <v>45063</v>
      </c>
      <c r="C2410" s="1" t="n">
        <v>45224</v>
      </c>
      <c r="D2410" t="inlineStr">
        <is>
          <t>STOCKHOLMS LÄN</t>
        </is>
      </c>
      <c r="E2410" t="inlineStr">
        <is>
          <t>VALLENTUNA</t>
        </is>
      </c>
      <c r="G2410" t="n">
        <v>2.1</v>
      </c>
      <c r="H2410" t="n">
        <v>0</v>
      </c>
      <c r="I2410" t="n">
        <v>0</v>
      </c>
      <c r="J2410" t="n">
        <v>0</v>
      </c>
      <c r="K2410" t="n">
        <v>0</v>
      </c>
      <c r="L2410" t="n">
        <v>0</v>
      </c>
      <c r="M2410" t="n">
        <v>0</v>
      </c>
      <c r="N2410" t="n">
        <v>0</v>
      </c>
      <c r="O2410" t="n">
        <v>0</v>
      </c>
      <c r="P2410" t="n">
        <v>0</v>
      </c>
      <c r="Q2410" t="n">
        <v>0</v>
      </c>
      <c r="R2410" s="2" t="inlineStr"/>
    </row>
    <row r="2411" ht="15" customHeight="1">
      <c r="A2411" t="inlineStr">
        <is>
          <t>A 21659-2023</t>
        </is>
      </c>
      <c r="B2411" s="1" t="n">
        <v>45063</v>
      </c>
      <c r="C2411" s="1" t="n">
        <v>45224</v>
      </c>
      <c r="D2411" t="inlineStr">
        <is>
          <t>STOCKHOLMS LÄN</t>
        </is>
      </c>
      <c r="E2411" t="inlineStr">
        <is>
          <t>UPPLANDS-BRO</t>
        </is>
      </c>
      <c r="G2411" t="n">
        <v>1.2</v>
      </c>
      <c r="H2411" t="n">
        <v>0</v>
      </c>
      <c r="I2411" t="n">
        <v>0</v>
      </c>
      <c r="J2411" t="n">
        <v>0</v>
      </c>
      <c r="K2411" t="n">
        <v>0</v>
      </c>
      <c r="L2411" t="n">
        <v>0</v>
      </c>
      <c r="M2411" t="n">
        <v>0</v>
      </c>
      <c r="N2411" t="n">
        <v>0</v>
      </c>
      <c r="O2411" t="n">
        <v>0</v>
      </c>
      <c r="P2411" t="n">
        <v>0</v>
      </c>
      <c r="Q2411" t="n">
        <v>0</v>
      </c>
      <c r="R2411" s="2" t="inlineStr"/>
    </row>
    <row r="2412" ht="15" customHeight="1">
      <c r="A2412" t="inlineStr">
        <is>
          <t>A 21765-2023</t>
        </is>
      </c>
      <c r="B2412" s="1" t="n">
        <v>45064</v>
      </c>
      <c r="C2412" s="1" t="n">
        <v>45224</v>
      </c>
      <c r="D2412" t="inlineStr">
        <is>
          <t>STOCKHOLMS LÄN</t>
        </is>
      </c>
      <c r="E2412" t="inlineStr">
        <is>
          <t>VALLENTUNA</t>
        </is>
      </c>
      <c r="G2412" t="n">
        <v>1.1</v>
      </c>
      <c r="H2412" t="n">
        <v>0</v>
      </c>
      <c r="I2412" t="n">
        <v>0</v>
      </c>
      <c r="J2412" t="n">
        <v>0</v>
      </c>
      <c r="K2412" t="n">
        <v>0</v>
      </c>
      <c r="L2412" t="n">
        <v>0</v>
      </c>
      <c r="M2412" t="n">
        <v>0</v>
      </c>
      <c r="N2412" t="n">
        <v>0</v>
      </c>
      <c r="O2412" t="n">
        <v>0</v>
      </c>
      <c r="P2412" t="n">
        <v>0</v>
      </c>
      <c r="Q2412" t="n">
        <v>0</v>
      </c>
      <c r="R2412" s="2" t="inlineStr"/>
    </row>
    <row r="2413" ht="15" customHeight="1">
      <c r="A2413" t="inlineStr">
        <is>
          <t>A 21716-2023</t>
        </is>
      </c>
      <c r="B2413" s="1" t="n">
        <v>45065</v>
      </c>
      <c r="C2413" s="1" t="n">
        <v>45224</v>
      </c>
      <c r="D2413" t="inlineStr">
        <is>
          <t>STOCKHOLMS LÄN</t>
        </is>
      </c>
      <c r="E2413" t="inlineStr">
        <is>
          <t>NORRTÄLJE</t>
        </is>
      </c>
      <c r="G2413" t="n">
        <v>2.6</v>
      </c>
      <c r="H2413" t="n">
        <v>0</v>
      </c>
      <c r="I2413" t="n">
        <v>0</v>
      </c>
      <c r="J2413" t="n">
        <v>0</v>
      </c>
      <c r="K2413" t="n">
        <v>0</v>
      </c>
      <c r="L2413" t="n">
        <v>0</v>
      </c>
      <c r="M2413" t="n">
        <v>0</v>
      </c>
      <c r="N2413" t="n">
        <v>0</v>
      </c>
      <c r="O2413" t="n">
        <v>0</v>
      </c>
      <c r="P2413" t="n">
        <v>0</v>
      </c>
      <c r="Q2413" t="n">
        <v>0</v>
      </c>
      <c r="R2413" s="2" t="inlineStr"/>
    </row>
    <row r="2414" ht="15" customHeight="1">
      <c r="A2414" t="inlineStr">
        <is>
          <t>A 21718-2023</t>
        </is>
      </c>
      <c r="B2414" s="1" t="n">
        <v>45065</v>
      </c>
      <c r="C2414" s="1" t="n">
        <v>45224</v>
      </c>
      <c r="D2414" t="inlineStr">
        <is>
          <t>STOCKHOLMS LÄN</t>
        </is>
      </c>
      <c r="E2414" t="inlineStr">
        <is>
          <t>NORRTÄLJE</t>
        </is>
      </c>
      <c r="G2414" t="n">
        <v>5.4</v>
      </c>
      <c r="H2414" t="n">
        <v>0</v>
      </c>
      <c r="I2414" t="n">
        <v>0</v>
      </c>
      <c r="J2414" t="n">
        <v>0</v>
      </c>
      <c r="K2414" t="n">
        <v>0</v>
      </c>
      <c r="L2414" t="n">
        <v>0</v>
      </c>
      <c r="M2414" t="n">
        <v>0</v>
      </c>
      <c r="N2414" t="n">
        <v>0</v>
      </c>
      <c r="O2414" t="n">
        <v>0</v>
      </c>
      <c r="P2414" t="n">
        <v>0</v>
      </c>
      <c r="Q2414" t="n">
        <v>0</v>
      </c>
      <c r="R2414" s="2" t="inlineStr"/>
    </row>
    <row r="2415" ht="15" customHeight="1">
      <c r="A2415" t="inlineStr">
        <is>
          <t>A 21744-2023</t>
        </is>
      </c>
      <c r="B2415" s="1" t="n">
        <v>45065</v>
      </c>
      <c r="C2415" s="1" t="n">
        <v>45224</v>
      </c>
      <c r="D2415" t="inlineStr">
        <is>
          <t>STOCKHOLMS LÄN</t>
        </is>
      </c>
      <c r="E2415" t="inlineStr">
        <is>
          <t>NORRTÄLJE</t>
        </is>
      </c>
      <c r="F2415" t="inlineStr">
        <is>
          <t>Holmen skog AB</t>
        </is>
      </c>
      <c r="G2415" t="n">
        <v>4.2</v>
      </c>
      <c r="H2415" t="n">
        <v>0</v>
      </c>
      <c r="I2415" t="n">
        <v>0</v>
      </c>
      <c r="J2415" t="n">
        <v>0</v>
      </c>
      <c r="K2415" t="n">
        <v>0</v>
      </c>
      <c r="L2415" t="n">
        <v>0</v>
      </c>
      <c r="M2415" t="n">
        <v>0</v>
      </c>
      <c r="N2415" t="n">
        <v>0</v>
      </c>
      <c r="O2415" t="n">
        <v>0</v>
      </c>
      <c r="P2415" t="n">
        <v>0</v>
      </c>
      <c r="Q2415" t="n">
        <v>0</v>
      </c>
      <c r="R2415" s="2" t="inlineStr"/>
    </row>
    <row r="2416" ht="15" customHeight="1">
      <c r="A2416" t="inlineStr">
        <is>
          <t>A 21720-2023</t>
        </is>
      </c>
      <c r="B2416" s="1" t="n">
        <v>45065</v>
      </c>
      <c r="C2416" s="1" t="n">
        <v>45224</v>
      </c>
      <c r="D2416" t="inlineStr">
        <is>
          <t>STOCKHOLMS LÄN</t>
        </is>
      </c>
      <c r="E2416" t="inlineStr">
        <is>
          <t>NORRTÄLJE</t>
        </is>
      </c>
      <c r="G2416" t="n">
        <v>13.6</v>
      </c>
      <c r="H2416" t="n">
        <v>0</v>
      </c>
      <c r="I2416" t="n">
        <v>0</v>
      </c>
      <c r="J2416" t="n">
        <v>0</v>
      </c>
      <c r="K2416" t="n">
        <v>0</v>
      </c>
      <c r="L2416" t="n">
        <v>0</v>
      </c>
      <c r="M2416" t="n">
        <v>0</v>
      </c>
      <c r="N2416" t="n">
        <v>0</v>
      </c>
      <c r="O2416" t="n">
        <v>0</v>
      </c>
      <c r="P2416" t="n">
        <v>0</v>
      </c>
      <c r="Q2416" t="n">
        <v>0</v>
      </c>
      <c r="R2416" s="2" t="inlineStr"/>
    </row>
    <row r="2417" ht="15" customHeight="1">
      <c r="A2417" t="inlineStr">
        <is>
          <t>A 21825-2023</t>
        </is>
      </c>
      <c r="B2417" s="1" t="n">
        <v>45068</v>
      </c>
      <c r="C2417" s="1" t="n">
        <v>45224</v>
      </c>
      <c r="D2417" t="inlineStr">
        <is>
          <t>STOCKHOLMS LÄN</t>
        </is>
      </c>
      <c r="E2417" t="inlineStr">
        <is>
          <t>NORRTÄLJE</t>
        </is>
      </c>
      <c r="G2417" t="n">
        <v>5.9</v>
      </c>
      <c r="H2417" t="n">
        <v>0</v>
      </c>
      <c r="I2417" t="n">
        <v>0</v>
      </c>
      <c r="J2417" t="n">
        <v>0</v>
      </c>
      <c r="K2417" t="n">
        <v>0</v>
      </c>
      <c r="L2417" t="n">
        <v>0</v>
      </c>
      <c r="M2417" t="n">
        <v>0</v>
      </c>
      <c r="N2417" t="n">
        <v>0</v>
      </c>
      <c r="O2417" t="n">
        <v>0</v>
      </c>
      <c r="P2417" t="n">
        <v>0</v>
      </c>
      <c r="Q2417" t="n">
        <v>0</v>
      </c>
      <c r="R2417" s="2" t="inlineStr"/>
    </row>
    <row r="2418" ht="15" customHeight="1">
      <c r="A2418" t="inlineStr">
        <is>
          <t>A 21993-2023</t>
        </is>
      </c>
      <c r="B2418" s="1" t="n">
        <v>45068</v>
      </c>
      <c r="C2418" s="1" t="n">
        <v>45224</v>
      </c>
      <c r="D2418" t="inlineStr">
        <is>
          <t>STOCKHOLMS LÄN</t>
        </is>
      </c>
      <c r="E2418" t="inlineStr">
        <is>
          <t>NORRTÄLJE</t>
        </is>
      </c>
      <c r="G2418" t="n">
        <v>17.2</v>
      </c>
      <c r="H2418" t="n">
        <v>0</v>
      </c>
      <c r="I2418" t="n">
        <v>0</v>
      </c>
      <c r="J2418" t="n">
        <v>0</v>
      </c>
      <c r="K2418" t="n">
        <v>0</v>
      </c>
      <c r="L2418" t="n">
        <v>0</v>
      </c>
      <c r="M2418" t="n">
        <v>0</v>
      </c>
      <c r="N2418" t="n">
        <v>0</v>
      </c>
      <c r="O2418" t="n">
        <v>0</v>
      </c>
      <c r="P2418" t="n">
        <v>0</v>
      </c>
      <c r="Q2418" t="n">
        <v>0</v>
      </c>
      <c r="R2418" s="2" t="inlineStr"/>
    </row>
    <row r="2419" ht="15" customHeight="1">
      <c r="A2419" t="inlineStr">
        <is>
          <t>A 21832-2023</t>
        </is>
      </c>
      <c r="B2419" s="1" t="n">
        <v>45068</v>
      </c>
      <c r="C2419" s="1" t="n">
        <v>45224</v>
      </c>
      <c r="D2419" t="inlineStr">
        <is>
          <t>STOCKHOLMS LÄN</t>
        </is>
      </c>
      <c r="E2419" t="inlineStr">
        <is>
          <t>NORRTÄLJE</t>
        </is>
      </c>
      <c r="G2419" t="n">
        <v>7.8</v>
      </c>
      <c r="H2419" t="n">
        <v>0</v>
      </c>
      <c r="I2419" t="n">
        <v>0</v>
      </c>
      <c r="J2419" t="n">
        <v>0</v>
      </c>
      <c r="K2419" t="n">
        <v>0</v>
      </c>
      <c r="L2419" t="n">
        <v>0</v>
      </c>
      <c r="M2419" t="n">
        <v>0</v>
      </c>
      <c r="N2419" t="n">
        <v>0</v>
      </c>
      <c r="O2419" t="n">
        <v>0</v>
      </c>
      <c r="P2419" t="n">
        <v>0</v>
      </c>
      <c r="Q2419" t="n">
        <v>0</v>
      </c>
      <c r="R2419" s="2" t="inlineStr"/>
    </row>
    <row r="2420" ht="15" customHeight="1">
      <c r="A2420" t="inlineStr">
        <is>
          <t>A 21897-2023</t>
        </is>
      </c>
      <c r="B2420" s="1" t="n">
        <v>45068</v>
      </c>
      <c r="C2420" s="1" t="n">
        <v>45224</v>
      </c>
      <c r="D2420" t="inlineStr">
        <is>
          <t>STOCKHOLMS LÄN</t>
        </is>
      </c>
      <c r="E2420" t="inlineStr">
        <is>
          <t>NORRTÄLJE</t>
        </is>
      </c>
      <c r="G2420" t="n">
        <v>4.5</v>
      </c>
      <c r="H2420" t="n">
        <v>0</v>
      </c>
      <c r="I2420" t="n">
        <v>0</v>
      </c>
      <c r="J2420" t="n">
        <v>0</v>
      </c>
      <c r="K2420" t="n">
        <v>0</v>
      </c>
      <c r="L2420" t="n">
        <v>0</v>
      </c>
      <c r="M2420" t="n">
        <v>0</v>
      </c>
      <c r="N2420" t="n">
        <v>0</v>
      </c>
      <c r="O2420" t="n">
        <v>0</v>
      </c>
      <c r="P2420" t="n">
        <v>0</v>
      </c>
      <c r="Q2420" t="n">
        <v>0</v>
      </c>
      <c r="R2420" s="2" t="inlineStr"/>
    </row>
    <row r="2421" ht="15" customHeight="1">
      <c r="A2421" t="inlineStr">
        <is>
          <t>A 22054-2023</t>
        </is>
      </c>
      <c r="B2421" s="1" t="n">
        <v>45069</v>
      </c>
      <c r="C2421" s="1" t="n">
        <v>45224</v>
      </c>
      <c r="D2421" t="inlineStr">
        <is>
          <t>STOCKHOLMS LÄN</t>
        </is>
      </c>
      <c r="E2421" t="inlineStr">
        <is>
          <t>NYKVARN</t>
        </is>
      </c>
      <c r="G2421" t="n">
        <v>1.2</v>
      </c>
      <c r="H2421" t="n">
        <v>0</v>
      </c>
      <c r="I2421" t="n">
        <v>0</v>
      </c>
      <c r="J2421" t="n">
        <v>0</v>
      </c>
      <c r="K2421" t="n">
        <v>0</v>
      </c>
      <c r="L2421" t="n">
        <v>0</v>
      </c>
      <c r="M2421" t="n">
        <v>0</v>
      </c>
      <c r="N2421" t="n">
        <v>0</v>
      </c>
      <c r="O2421" t="n">
        <v>0</v>
      </c>
      <c r="P2421" t="n">
        <v>0</v>
      </c>
      <c r="Q2421" t="n">
        <v>0</v>
      </c>
      <c r="R2421" s="2" t="inlineStr"/>
    </row>
    <row r="2422" ht="15" customHeight="1">
      <c r="A2422" t="inlineStr">
        <is>
          <t>A 22157-2023</t>
        </is>
      </c>
      <c r="B2422" s="1" t="n">
        <v>45069</v>
      </c>
      <c r="C2422" s="1" t="n">
        <v>45224</v>
      </c>
      <c r="D2422" t="inlineStr">
        <is>
          <t>STOCKHOLMS LÄN</t>
        </is>
      </c>
      <c r="E2422" t="inlineStr">
        <is>
          <t>NORRTÄLJE</t>
        </is>
      </c>
      <c r="G2422" t="n">
        <v>0.6</v>
      </c>
      <c r="H2422" t="n">
        <v>0</v>
      </c>
      <c r="I2422" t="n">
        <v>0</v>
      </c>
      <c r="J2422" t="n">
        <v>0</v>
      </c>
      <c r="K2422" t="n">
        <v>0</v>
      </c>
      <c r="L2422" t="n">
        <v>0</v>
      </c>
      <c r="M2422" t="n">
        <v>0</v>
      </c>
      <c r="N2422" t="n">
        <v>0</v>
      </c>
      <c r="O2422" t="n">
        <v>0</v>
      </c>
      <c r="P2422" t="n">
        <v>0</v>
      </c>
      <c r="Q2422" t="n">
        <v>0</v>
      </c>
      <c r="R2422" s="2" t="inlineStr"/>
      <c r="U2422">
        <f>HYPERLINK("https://klasma.github.io/Logging_0188/knärot/A 22157-2023 karta knärot.png", "A 22157-2023")</f>
        <v/>
      </c>
      <c r="V2422">
        <f>HYPERLINK("https://klasma.github.io/Logging_0188/klagomål/A 22157-2023 FSC-klagomål.docx", "A 22157-2023")</f>
        <v/>
      </c>
      <c r="W2422">
        <f>HYPERLINK("https://klasma.github.io/Logging_0188/klagomålsmail/A 22157-2023 FSC-klagomål mail.docx", "A 22157-2023")</f>
        <v/>
      </c>
      <c r="X2422">
        <f>HYPERLINK("https://klasma.github.io/Logging_0188/tillsyn/A 22157-2023 tillsynsbegäran.docx", "A 22157-2023")</f>
        <v/>
      </c>
      <c r="Y2422">
        <f>HYPERLINK("https://klasma.github.io/Logging_0188/tillsynsmail/A 22157-2023 tillsynsbegäran mail.docx", "A 22157-2023")</f>
        <v/>
      </c>
    </row>
    <row r="2423" ht="15" customHeight="1">
      <c r="A2423" t="inlineStr">
        <is>
          <t>A 22175-2023</t>
        </is>
      </c>
      <c r="B2423" s="1" t="n">
        <v>45069</v>
      </c>
      <c r="C2423" s="1" t="n">
        <v>45224</v>
      </c>
      <c r="D2423" t="inlineStr">
        <is>
          <t>STOCKHOLMS LÄN</t>
        </is>
      </c>
      <c r="E2423" t="inlineStr">
        <is>
          <t>NORRTÄLJE</t>
        </is>
      </c>
      <c r="G2423" t="n">
        <v>32.7</v>
      </c>
      <c r="H2423" t="n">
        <v>0</v>
      </c>
      <c r="I2423" t="n">
        <v>0</v>
      </c>
      <c r="J2423" t="n">
        <v>0</v>
      </c>
      <c r="K2423" t="n">
        <v>0</v>
      </c>
      <c r="L2423" t="n">
        <v>0</v>
      </c>
      <c r="M2423" t="n">
        <v>0</v>
      </c>
      <c r="N2423" t="n">
        <v>0</v>
      </c>
      <c r="O2423" t="n">
        <v>0</v>
      </c>
      <c r="P2423" t="n">
        <v>0</v>
      </c>
      <c r="Q2423" t="n">
        <v>0</v>
      </c>
      <c r="R2423" s="2" t="inlineStr"/>
    </row>
    <row r="2424" ht="15" customHeight="1">
      <c r="A2424" t="inlineStr">
        <is>
          <t>A 22288-2023</t>
        </is>
      </c>
      <c r="B2424" s="1" t="n">
        <v>45070</v>
      </c>
      <c r="C2424" s="1" t="n">
        <v>45224</v>
      </c>
      <c r="D2424" t="inlineStr">
        <is>
          <t>STOCKHOLMS LÄN</t>
        </is>
      </c>
      <c r="E2424" t="inlineStr">
        <is>
          <t>HANINGE</t>
        </is>
      </c>
      <c r="G2424" t="n">
        <v>2.8</v>
      </c>
      <c r="H2424" t="n">
        <v>0</v>
      </c>
      <c r="I2424" t="n">
        <v>0</v>
      </c>
      <c r="J2424" t="n">
        <v>0</v>
      </c>
      <c r="K2424" t="n">
        <v>0</v>
      </c>
      <c r="L2424" t="n">
        <v>0</v>
      </c>
      <c r="M2424" t="n">
        <v>0</v>
      </c>
      <c r="N2424" t="n">
        <v>0</v>
      </c>
      <c r="O2424" t="n">
        <v>0</v>
      </c>
      <c r="P2424" t="n">
        <v>0</v>
      </c>
      <c r="Q2424" t="n">
        <v>0</v>
      </c>
      <c r="R2424" s="2" t="inlineStr"/>
    </row>
    <row r="2425" ht="15" customHeight="1">
      <c r="A2425" t="inlineStr">
        <is>
          <t>A 22456-2023</t>
        </is>
      </c>
      <c r="B2425" s="1" t="n">
        <v>45070</v>
      </c>
      <c r="C2425" s="1" t="n">
        <v>45224</v>
      </c>
      <c r="D2425" t="inlineStr">
        <is>
          <t>STOCKHOLMS LÄN</t>
        </is>
      </c>
      <c r="E2425" t="inlineStr">
        <is>
          <t>NORRTÄLJE</t>
        </is>
      </c>
      <c r="G2425" t="n">
        <v>3.1</v>
      </c>
      <c r="H2425" t="n">
        <v>0</v>
      </c>
      <c r="I2425" t="n">
        <v>0</v>
      </c>
      <c r="J2425" t="n">
        <v>0</v>
      </c>
      <c r="K2425" t="n">
        <v>0</v>
      </c>
      <c r="L2425" t="n">
        <v>0</v>
      </c>
      <c r="M2425" t="n">
        <v>0</v>
      </c>
      <c r="N2425" t="n">
        <v>0</v>
      </c>
      <c r="O2425" t="n">
        <v>0</v>
      </c>
      <c r="P2425" t="n">
        <v>0</v>
      </c>
      <c r="Q2425" t="n">
        <v>0</v>
      </c>
      <c r="R2425" s="2" t="inlineStr"/>
    </row>
    <row r="2426" ht="15" customHeight="1">
      <c r="A2426" t="inlineStr">
        <is>
          <t>A 22249-2023</t>
        </is>
      </c>
      <c r="B2426" s="1" t="n">
        <v>45070</v>
      </c>
      <c r="C2426" s="1" t="n">
        <v>45224</v>
      </c>
      <c r="D2426" t="inlineStr">
        <is>
          <t>STOCKHOLMS LÄN</t>
        </is>
      </c>
      <c r="E2426" t="inlineStr">
        <is>
          <t>NORRTÄLJE</t>
        </is>
      </c>
      <c r="F2426" t="inlineStr">
        <is>
          <t>Övriga Aktiebolag</t>
        </is>
      </c>
      <c r="G2426" t="n">
        <v>17.7</v>
      </c>
      <c r="H2426" t="n">
        <v>0</v>
      </c>
      <c r="I2426" t="n">
        <v>0</v>
      </c>
      <c r="J2426" t="n">
        <v>0</v>
      </c>
      <c r="K2426" t="n">
        <v>0</v>
      </c>
      <c r="L2426" t="n">
        <v>0</v>
      </c>
      <c r="M2426" t="n">
        <v>0</v>
      </c>
      <c r="N2426" t="n">
        <v>0</v>
      </c>
      <c r="O2426" t="n">
        <v>0</v>
      </c>
      <c r="P2426" t="n">
        <v>0</v>
      </c>
      <c r="Q2426" t="n">
        <v>0</v>
      </c>
      <c r="R2426" s="2" t="inlineStr"/>
    </row>
    <row r="2427" ht="15" customHeight="1">
      <c r="A2427" t="inlineStr">
        <is>
          <t>A 22398-2023</t>
        </is>
      </c>
      <c r="B2427" s="1" t="n">
        <v>45070</v>
      </c>
      <c r="C2427" s="1" t="n">
        <v>45224</v>
      </c>
      <c r="D2427" t="inlineStr">
        <is>
          <t>STOCKHOLMS LÄN</t>
        </is>
      </c>
      <c r="E2427" t="inlineStr">
        <is>
          <t>NORRTÄLJE</t>
        </is>
      </c>
      <c r="F2427" t="inlineStr">
        <is>
          <t>Övriga Aktiebolag</t>
        </is>
      </c>
      <c r="G2427" t="n">
        <v>6.7</v>
      </c>
      <c r="H2427" t="n">
        <v>0</v>
      </c>
      <c r="I2427" t="n">
        <v>0</v>
      </c>
      <c r="J2427" t="n">
        <v>0</v>
      </c>
      <c r="K2427" t="n">
        <v>0</v>
      </c>
      <c r="L2427" t="n">
        <v>0</v>
      </c>
      <c r="M2427" t="n">
        <v>0</v>
      </c>
      <c r="N2427" t="n">
        <v>0</v>
      </c>
      <c r="O2427" t="n">
        <v>0</v>
      </c>
      <c r="P2427" t="n">
        <v>0</v>
      </c>
      <c r="Q2427" t="n">
        <v>0</v>
      </c>
      <c r="R2427" s="2" t="inlineStr"/>
    </row>
    <row r="2428" ht="15" customHeight="1">
      <c r="A2428" t="inlineStr">
        <is>
          <t>A 22406-2023</t>
        </is>
      </c>
      <c r="B2428" s="1" t="n">
        <v>45070</v>
      </c>
      <c r="C2428" s="1" t="n">
        <v>45224</v>
      </c>
      <c r="D2428" t="inlineStr">
        <is>
          <t>STOCKHOLMS LÄN</t>
        </is>
      </c>
      <c r="E2428" t="inlineStr">
        <is>
          <t>NORRTÄLJE</t>
        </is>
      </c>
      <c r="G2428" t="n">
        <v>6.8</v>
      </c>
      <c r="H2428" t="n">
        <v>0</v>
      </c>
      <c r="I2428" t="n">
        <v>0</v>
      </c>
      <c r="J2428" t="n">
        <v>0</v>
      </c>
      <c r="K2428" t="n">
        <v>0</v>
      </c>
      <c r="L2428" t="n">
        <v>0</v>
      </c>
      <c r="M2428" t="n">
        <v>0</v>
      </c>
      <c r="N2428" t="n">
        <v>0</v>
      </c>
      <c r="O2428" t="n">
        <v>0</v>
      </c>
      <c r="P2428" t="n">
        <v>0</v>
      </c>
      <c r="Q2428" t="n">
        <v>0</v>
      </c>
      <c r="R2428" s="2" t="inlineStr"/>
    </row>
    <row r="2429" ht="15" customHeight="1">
      <c r="A2429" t="inlineStr">
        <is>
          <t>A 22376-2023</t>
        </is>
      </c>
      <c r="B2429" s="1" t="n">
        <v>45070</v>
      </c>
      <c r="C2429" s="1" t="n">
        <v>45224</v>
      </c>
      <c r="D2429" t="inlineStr">
        <is>
          <t>STOCKHOLMS LÄN</t>
        </is>
      </c>
      <c r="E2429" t="inlineStr">
        <is>
          <t>NORRTÄLJE</t>
        </is>
      </c>
      <c r="F2429" t="inlineStr">
        <is>
          <t>Kommuner</t>
        </is>
      </c>
      <c r="G2429" t="n">
        <v>6.4</v>
      </c>
      <c r="H2429" t="n">
        <v>0</v>
      </c>
      <c r="I2429" t="n">
        <v>0</v>
      </c>
      <c r="J2429" t="n">
        <v>0</v>
      </c>
      <c r="K2429" t="n">
        <v>0</v>
      </c>
      <c r="L2429" t="n">
        <v>0</v>
      </c>
      <c r="M2429" t="n">
        <v>0</v>
      </c>
      <c r="N2429" t="n">
        <v>0</v>
      </c>
      <c r="O2429" t="n">
        <v>0</v>
      </c>
      <c r="P2429" t="n">
        <v>0</v>
      </c>
      <c r="Q2429" t="n">
        <v>0</v>
      </c>
      <c r="R2429" s="2" t="inlineStr"/>
    </row>
    <row r="2430" ht="15" customHeight="1">
      <c r="A2430" t="inlineStr">
        <is>
          <t>A 22682-2023</t>
        </is>
      </c>
      <c r="B2430" s="1" t="n">
        <v>45071</v>
      </c>
      <c r="C2430" s="1" t="n">
        <v>45224</v>
      </c>
      <c r="D2430" t="inlineStr">
        <is>
          <t>STOCKHOLMS LÄN</t>
        </is>
      </c>
      <c r="E2430" t="inlineStr">
        <is>
          <t>VALLENTUNA</t>
        </is>
      </c>
      <c r="G2430" t="n">
        <v>8.6</v>
      </c>
      <c r="H2430" t="n">
        <v>0</v>
      </c>
      <c r="I2430" t="n">
        <v>0</v>
      </c>
      <c r="J2430" t="n">
        <v>0</v>
      </c>
      <c r="K2430" t="n">
        <v>0</v>
      </c>
      <c r="L2430" t="n">
        <v>0</v>
      </c>
      <c r="M2430" t="n">
        <v>0</v>
      </c>
      <c r="N2430" t="n">
        <v>0</v>
      </c>
      <c r="O2430" t="n">
        <v>0</v>
      </c>
      <c r="P2430" t="n">
        <v>0</v>
      </c>
      <c r="Q2430" t="n">
        <v>0</v>
      </c>
      <c r="R2430" s="2" t="inlineStr"/>
    </row>
    <row r="2431" ht="15" customHeight="1">
      <c r="A2431" t="inlineStr">
        <is>
          <t>A 22553-2023</t>
        </is>
      </c>
      <c r="B2431" s="1" t="n">
        <v>45071</v>
      </c>
      <c r="C2431" s="1" t="n">
        <v>45224</v>
      </c>
      <c r="D2431" t="inlineStr">
        <is>
          <t>STOCKHOLMS LÄN</t>
        </is>
      </c>
      <c r="E2431" t="inlineStr">
        <is>
          <t>NORRTÄLJE</t>
        </is>
      </c>
      <c r="G2431" t="n">
        <v>3.8</v>
      </c>
      <c r="H2431" t="n">
        <v>0</v>
      </c>
      <c r="I2431" t="n">
        <v>0</v>
      </c>
      <c r="J2431" t="n">
        <v>0</v>
      </c>
      <c r="K2431" t="n">
        <v>0</v>
      </c>
      <c r="L2431" t="n">
        <v>0</v>
      </c>
      <c r="M2431" t="n">
        <v>0</v>
      </c>
      <c r="N2431" t="n">
        <v>0</v>
      </c>
      <c r="O2431" t="n">
        <v>0</v>
      </c>
      <c r="P2431" t="n">
        <v>0</v>
      </c>
      <c r="Q2431" t="n">
        <v>0</v>
      </c>
      <c r="R2431" s="2" t="inlineStr"/>
    </row>
    <row r="2432" ht="15" customHeight="1">
      <c r="A2432" t="inlineStr">
        <is>
          <t>A 22683-2023</t>
        </is>
      </c>
      <c r="B2432" s="1" t="n">
        <v>45071</v>
      </c>
      <c r="C2432" s="1" t="n">
        <v>45224</v>
      </c>
      <c r="D2432" t="inlineStr">
        <is>
          <t>STOCKHOLMS LÄN</t>
        </is>
      </c>
      <c r="E2432" t="inlineStr">
        <is>
          <t>VALLENTUNA</t>
        </is>
      </c>
      <c r="G2432" t="n">
        <v>1.2</v>
      </c>
      <c r="H2432" t="n">
        <v>0</v>
      </c>
      <c r="I2432" t="n">
        <v>0</v>
      </c>
      <c r="J2432" t="n">
        <v>0</v>
      </c>
      <c r="K2432" t="n">
        <v>0</v>
      </c>
      <c r="L2432" t="n">
        <v>0</v>
      </c>
      <c r="M2432" t="n">
        <v>0</v>
      </c>
      <c r="N2432" t="n">
        <v>0</v>
      </c>
      <c r="O2432" t="n">
        <v>0</v>
      </c>
      <c r="P2432" t="n">
        <v>0</v>
      </c>
      <c r="Q2432" t="n">
        <v>0</v>
      </c>
      <c r="R2432" s="2" t="inlineStr"/>
    </row>
    <row r="2433" ht="15" customHeight="1">
      <c r="A2433" t="inlineStr">
        <is>
          <t>A 23060-2023</t>
        </is>
      </c>
      <c r="B2433" s="1" t="n">
        <v>45075</v>
      </c>
      <c r="C2433" s="1" t="n">
        <v>45224</v>
      </c>
      <c r="D2433" t="inlineStr">
        <is>
          <t>STOCKHOLMS LÄN</t>
        </is>
      </c>
      <c r="E2433" t="inlineStr">
        <is>
          <t>NORRTÄLJE</t>
        </is>
      </c>
      <c r="G2433" t="n">
        <v>0.5</v>
      </c>
      <c r="H2433" t="n">
        <v>0</v>
      </c>
      <c r="I2433" t="n">
        <v>0</v>
      </c>
      <c r="J2433" t="n">
        <v>0</v>
      </c>
      <c r="K2433" t="n">
        <v>0</v>
      </c>
      <c r="L2433" t="n">
        <v>0</v>
      </c>
      <c r="M2433" t="n">
        <v>0</v>
      </c>
      <c r="N2433" t="n">
        <v>0</v>
      </c>
      <c r="O2433" t="n">
        <v>0</v>
      </c>
      <c r="P2433" t="n">
        <v>0</v>
      </c>
      <c r="Q2433" t="n">
        <v>0</v>
      </c>
      <c r="R2433" s="2" t="inlineStr"/>
    </row>
    <row r="2434" ht="15" customHeight="1">
      <c r="A2434" t="inlineStr">
        <is>
          <t>A 23263-2023</t>
        </is>
      </c>
      <c r="B2434" s="1" t="n">
        <v>45075</v>
      </c>
      <c r="C2434" s="1" t="n">
        <v>45224</v>
      </c>
      <c r="D2434" t="inlineStr">
        <is>
          <t>STOCKHOLMS LÄN</t>
        </is>
      </c>
      <c r="E2434" t="inlineStr">
        <is>
          <t>NORRTÄLJE</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23090-2023</t>
        </is>
      </c>
      <c r="B2435" s="1" t="n">
        <v>45075</v>
      </c>
      <c r="C2435" s="1" t="n">
        <v>45224</v>
      </c>
      <c r="D2435" t="inlineStr">
        <is>
          <t>STOCKHOLMS LÄN</t>
        </is>
      </c>
      <c r="E2435" t="inlineStr">
        <is>
          <t>SÖDERTÄLJE</t>
        </is>
      </c>
      <c r="F2435" t="inlineStr">
        <is>
          <t>Sveaskog</t>
        </is>
      </c>
      <c r="G2435" t="n">
        <v>10.5</v>
      </c>
      <c r="H2435" t="n">
        <v>0</v>
      </c>
      <c r="I2435" t="n">
        <v>0</v>
      </c>
      <c r="J2435" t="n">
        <v>0</v>
      </c>
      <c r="K2435" t="n">
        <v>0</v>
      </c>
      <c r="L2435" t="n">
        <v>0</v>
      </c>
      <c r="M2435" t="n">
        <v>0</v>
      </c>
      <c r="N2435" t="n">
        <v>0</v>
      </c>
      <c r="O2435" t="n">
        <v>0</v>
      </c>
      <c r="P2435" t="n">
        <v>0</v>
      </c>
      <c r="Q2435" t="n">
        <v>0</v>
      </c>
      <c r="R2435" s="2" t="inlineStr"/>
    </row>
    <row r="2436" ht="15" customHeight="1">
      <c r="A2436" t="inlineStr">
        <is>
          <t>A 23056-2023</t>
        </is>
      </c>
      <c r="B2436" s="1" t="n">
        <v>45075</v>
      </c>
      <c r="C2436" s="1" t="n">
        <v>45224</v>
      </c>
      <c r="D2436" t="inlineStr">
        <is>
          <t>STOCKHOLMS LÄN</t>
        </is>
      </c>
      <c r="E2436" t="inlineStr">
        <is>
          <t>NORRTÄLJE</t>
        </is>
      </c>
      <c r="G2436" t="n">
        <v>1.7</v>
      </c>
      <c r="H2436" t="n">
        <v>0</v>
      </c>
      <c r="I2436" t="n">
        <v>0</v>
      </c>
      <c r="J2436" t="n">
        <v>0</v>
      </c>
      <c r="K2436" t="n">
        <v>0</v>
      </c>
      <c r="L2436" t="n">
        <v>0</v>
      </c>
      <c r="M2436" t="n">
        <v>0</v>
      </c>
      <c r="N2436" t="n">
        <v>0</v>
      </c>
      <c r="O2436" t="n">
        <v>0</v>
      </c>
      <c r="P2436" t="n">
        <v>0</v>
      </c>
      <c r="Q2436" t="n">
        <v>0</v>
      </c>
      <c r="R2436" s="2" t="inlineStr"/>
    </row>
    <row r="2437" ht="15" customHeight="1">
      <c r="A2437" t="inlineStr">
        <is>
          <t>A 23070-2023</t>
        </is>
      </c>
      <c r="B2437" s="1" t="n">
        <v>45075</v>
      </c>
      <c r="C2437" s="1" t="n">
        <v>45224</v>
      </c>
      <c r="D2437" t="inlineStr">
        <is>
          <t>STOCKHOLMS LÄN</t>
        </is>
      </c>
      <c r="E2437" t="inlineStr">
        <is>
          <t>NORRTÄLJE</t>
        </is>
      </c>
      <c r="G2437" t="n">
        <v>1.5</v>
      </c>
      <c r="H2437" t="n">
        <v>0</v>
      </c>
      <c r="I2437" t="n">
        <v>0</v>
      </c>
      <c r="J2437" t="n">
        <v>0</v>
      </c>
      <c r="K2437" t="n">
        <v>0</v>
      </c>
      <c r="L2437" t="n">
        <v>0</v>
      </c>
      <c r="M2437" t="n">
        <v>0</v>
      </c>
      <c r="N2437" t="n">
        <v>0</v>
      </c>
      <c r="O2437" t="n">
        <v>0</v>
      </c>
      <c r="P2437" t="n">
        <v>0</v>
      </c>
      <c r="Q2437" t="n">
        <v>0</v>
      </c>
      <c r="R2437" s="2" t="inlineStr"/>
    </row>
    <row r="2438" ht="15" customHeight="1">
      <c r="A2438" t="inlineStr">
        <is>
          <t>A 23092-2023</t>
        </is>
      </c>
      <c r="B2438" s="1" t="n">
        <v>45075</v>
      </c>
      <c r="C2438" s="1" t="n">
        <v>45224</v>
      </c>
      <c r="D2438" t="inlineStr">
        <is>
          <t>STOCKHOLMS LÄN</t>
        </is>
      </c>
      <c r="E2438" t="inlineStr">
        <is>
          <t>SÖDERTÄLJE</t>
        </is>
      </c>
      <c r="F2438" t="inlineStr">
        <is>
          <t>Sveaskog</t>
        </is>
      </c>
      <c r="G2438" t="n">
        <v>2.6</v>
      </c>
      <c r="H2438" t="n">
        <v>0</v>
      </c>
      <c r="I2438" t="n">
        <v>0</v>
      </c>
      <c r="J2438" t="n">
        <v>0</v>
      </c>
      <c r="K2438" t="n">
        <v>0</v>
      </c>
      <c r="L2438" t="n">
        <v>0</v>
      </c>
      <c r="M2438" t="n">
        <v>0</v>
      </c>
      <c r="N2438" t="n">
        <v>0</v>
      </c>
      <c r="O2438" t="n">
        <v>0</v>
      </c>
      <c r="P2438" t="n">
        <v>0</v>
      </c>
      <c r="Q2438" t="n">
        <v>0</v>
      </c>
      <c r="R2438" s="2" t="inlineStr"/>
    </row>
    <row r="2439" ht="15" customHeight="1">
      <c r="A2439" t="inlineStr">
        <is>
          <t>A 23264-2023</t>
        </is>
      </c>
      <c r="B2439" s="1" t="n">
        <v>45075</v>
      </c>
      <c r="C2439" s="1" t="n">
        <v>45224</v>
      </c>
      <c r="D2439" t="inlineStr">
        <is>
          <t>STOCKHOLMS LÄN</t>
        </is>
      </c>
      <c r="E2439" t="inlineStr">
        <is>
          <t>NORRTÄLJE</t>
        </is>
      </c>
      <c r="G2439" t="n">
        <v>2.9</v>
      </c>
      <c r="H2439" t="n">
        <v>0</v>
      </c>
      <c r="I2439" t="n">
        <v>0</v>
      </c>
      <c r="J2439" t="n">
        <v>0</v>
      </c>
      <c r="K2439" t="n">
        <v>0</v>
      </c>
      <c r="L2439" t="n">
        <v>0</v>
      </c>
      <c r="M2439" t="n">
        <v>0</v>
      </c>
      <c r="N2439" t="n">
        <v>0</v>
      </c>
      <c r="O2439" t="n">
        <v>0</v>
      </c>
      <c r="P2439" t="n">
        <v>0</v>
      </c>
      <c r="Q2439" t="n">
        <v>0</v>
      </c>
      <c r="R2439" s="2" t="inlineStr"/>
    </row>
    <row r="2440" ht="15" customHeight="1">
      <c r="A2440" t="inlineStr">
        <is>
          <t>A 23093-2023</t>
        </is>
      </c>
      <c r="B2440" s="1" t="n">
        <v>45075</v>
      </c>
      <c r="C2440" s="1" t="n">
        <v>45224</v>
      </c>
      <c r="D2440" t="inlineStr">
        <is>
          <t>STOCKHOLMS LÄN</t>
        </is>
      </c>
      <c r="E2440" t="inlineStr">
        <is>
          <t>SÖDERTÄLJE</t>
        </is>
      </c>
      <c r="F2440" t="inlineStr">
        <is>
          <t>Sveaskog</t>
        </is>
      </c>
      <c r="G2440" t="n">
        <v>7.6</v>
      </c>
      <c r="H2440" t="n">
        <v>0</v>
      </c>
      <c r="I2440" t="n">
        <v>0</v>
      </c>
      <c r="J2440" t="n">
        <v>0</v>
      </c>
      <c r="K2440" t="n">
        <v>0</v>
      </c>
      <c r="L2440" t="n">
        <v>0</v>
      </c>
      <c r="M2440" t="n">
        <v>0</v>
      </c>
      <c r="N2440" t="n">
        <v>0</v>
      </c>
      <c r="O2440" t="n">
        <v>0</v>
      </c>
      <c r="P2440" t="n">
        <v>0</v>
      </c>
      <c r="Q2440" t="n">
        <v>0</v>
      </c>
      <c r="R2440" s="2" t="inlineStr"/>
    </row>
    <row r="2441" ht="15" customHeight="1">
      <c r="A2441" t="inlineStr">
        <is>
          <t>A 23272-2023</t>
        </is>
      </c>
      <c r="B2441" s="1" t="n">
        <v>45075</v>
      </c>
      <c r="C2441" s="1" t="n">
        <v>45224</v>
      </c>
      <c r="D2441" t="inlineStr">
        <is>
          <t>STOCKHOLMS LÄN</t>
        </is>
      </c>
      <c r="E2441" t="inlineStr">
        <is>
          <t>NORRTÄLJE</t>
        </is>
      </c>
      <c r="G2441" t="n">
        <v>2</v>
      </c>
      <c r="H2441" t="n">
        <v>0</v>
      </c>
      <c r="I2441" t="n">
        <v>0</v>
      </c>
      <c r="J2441" t="n">
        <v>0</v>
      </c>
      <c r="K2441" t="n">
        <v>0</v>
      </c>
      <c r="L2441" t="n">
        <v>0</v>
      </c>
      <c r="M2441" t="n">
        <v>0</v>
      </c>
      <c r="N2441" t="n">
        <v>0</v>
      </c>
      <c r="O2441" t="n">
        <v>0</v>
      </c>
      <c r="P2441" t="n">
        <v>0</v>
      </c>
      <c r="Q2441" t="n">
        <v>0</v>
      </c>
      <c r="R2441" s="2" t="inlineStr"/>
    </row>
    <row r="2442" ht="15" customHeight="1">
      <c r="A2442" t="inlineStr">
        <is>
          <t>A 24264-2023</t>
        </is>
      </c>
      <c r="B2442" s="1" t="n">
        <v>45076</v>
      </c>
      <c r="C2442" s="1" t="n">
        <v>45224</v>
      </c>
      <c r="D2442" t="inlineStr">
        <is>
          <t>STOCKHOLMS LÄN</t>
        </is>
      </c>
      <c r="E2442" t="inlineStr">
        <is>
          <t>HUDDINGE</t>
        </is>
      </c>
      <c r="G2442" t="n">
        <v>7.3</v>
      </c>
      <c r="H2442" t="n">
        <v>0</v>
      </c>
      <c r="I2442" t="n">
        <v>0</v>
      </c>
      <c r="J2442" t="n">
        <v>0</v>
      </c>
      <c r="K2442" t="n">
        <v>0</v>
      </c>
      <c r="L2442" t="n">
        <v>0</v>
      </c>
      <c r="M2442" t="n">
        <v>0</v>
      </c>
      <c r="N2442" t="n">
        <v>0</v>
      </c>
      <c r="O2442" t="n">
        <v>0</v>
      </c>
      <c r="P2442" t="n">
        <v>0</v>
      </c>
      <c r="Q2442" t="n">
        <v>0</v>
      </c>
      <c r="R2442" s="2" t="inlineStr"/>
    </row>
    <row r="2443" ht="15" customHeight="1">
      <c r="A2443" t="inlineStr">
        <is>
          <t>A 24257-2023</t>
        </is>
      </c>
      <c r="B2443" s="1" t="n">
        <v>45076</v>
      </c>
      <c r="C2443" s="1" t="n">
        <v>45224</v>
      </c>
      <c r="D2443" t="inlineStr">
        <is>
          <t>STOCKHOLMS LÄN</t>
        </is>
      </c>
      <c r="E2443" t="inlineStr">
        <is>
          <t>HUDDINGE</t>
        </is>
      </c>
      <c r="G2443" t="n">
        <v>1</v>
      </c>
      <c r="H2443" t="n">
        <v>0</v>
      </c>
      <c r="I2443" t="n">
        <v>0</v>
      </c>
      <c r="J2443" t="n">
        <v>0</v>
      </c>
      <c r="K2443" t="n">
        <v>0</v>
      </c>
      <c r="L2443" t="n">
        <v>0</v>
      </c>
      <c r="M2443" t="n">
        <v>0</v>
      </c>
      <c r="N2443" t="n">
        <v>0</v>
      </c>
      <c r="O2443" t="n">
        <v>0</v>
      </c>
      <c r="P2443" t="n">
        <v>0</v>
      </c>
      <c r="Q2443" t="n">
        <v>0</v>
      </c>
      <c r="R2443" s="2" t="inlineStr"/>
    </row>
    <row r="2444" ht="15" customHeight="1">
      <c r="A2444" t="inlineStr">
        <is>
          <t>A 24363-2023</t>
        </is>
      </c>
      <c r="B2444" s="1" t="n">
        <v>45076</v>
      </c>
      <c r="C2444" s="1" t="n">
        <v>45224</v>
      </c>
      <c r="D2444" t="inlineStr">
        <is>
          <t>STOCKHOLMS LÄN</t>
        </is>
      </c>
      <c r="E2444" t="inlineStr">
        <is>
          <t>HUDDINGE</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24384-2023</t>
        </is>
      </c>
      <c r="B2445" s="1" t="n">
        <v>45076</v>
      </c>
      <c r="C2445" s="1" t="n">
        <v>45224</v>
      </c>
      <c r="D2445" t="inlineStr">
        <is>
          <t>STOCKHOLMS LÄN</t>
        </is>
      </c>
      <c r="E2445" t="inlineStr">
        <is>
          <t>HUDDINGE</t>
        </is>
      </c>
      <c r="G2445" t="n">
        <v>1</v>
      </c>
      <c r="H2445" t="n">
        <v>0</v>
      </c>
      <c r="I2445" t="n">
        <v>0</v>
      </c>
      <c r="J2445" t="n">
        <v>0</v>
      </c>
      <c r="K2445" t="n">
        <v>0</v>
      </c>
      <c r="L2445" t="n">
        <v>0</v>
      </c>
      <c r="M2445" t="n">
        <v>0</v>
      </c>
      <c r="N2445" t="n">
        <v>0</v>
      </c>
      <c r="O2445" t="n">
        <v>0</v>
      </c>
      <c r="P2445" t="n">
        <v>0</v>
      </c>
      <c r="Q2445" t="n">
        <v>0</v>
      </c>
      <c r="R2445" s="2" t="inlineStr"/>
    </row>
    <row r="2446" ht="15" customHeight="1">
      <c r="A2446" t="inlineStr">
        <is>
          <t>A 24254-2023</t>
        </is>
      </c>
      <c r="B2446" s="1" t="n">
        <v>45076</v>
      </c>
      <c r="C2446" s="1" t="n">
        <v>45224</v>
      </c>
      <c r="D2446" t="inlineStr">
        <is>
          <t>STOCKHOLMS LÄN</t>
        </is>
      </c>
      <c r="E2446" t="inlineStr">
        <is>
          <t>HUDDINGE</t>
        </is>
      </c>
      <c r="G2446" t="n">
        <v>1.2</v>
      </c>
      <c r="H2446" t="n">
        <v>0</v>
      </c>
      <c r="I2446" t="n">
        <v>0</v>
      </c>
      <c r="J2446" t="n">
        <v>0</v>
      </c>
      <c r="K2446" t="n">
        <v>0</v>
      </c>
      <c r="L2446" t="n">
        <v>0</v>
      </c>
      <c r="M2446" t="n">
        <v>0</v>
      </c>
      <c r="N2446" t="n">
        <v>0</v>
      </c>
      <c r="O2446" t="n">
        <v>0</v>
      </c>
      <c r="P2446" t="n">
        <v>0</v>
      </c>
      <c r="Q2446" t="n">
        <v>0</v>
      </c>
      <c r="R2446" s="2" t="inlineStr"/>
    </row>
    <row r="2447" ht="15" customHeight="1">
      <c r="A2447" t="inlineStr">
        <is>
          <t>A 24368-2023</t>
        </is>
      </c>
      <c r="B2447" s="1" t="n">
        <v>45076</v>
      </c>
      <c r="C2447" s="1" t="n">
        <v>45224</v>
      </c>
      <c r="D2447" t="inlineStr">
        <is>
          <t>STOCKHOLMS LÄN</t>
        </is>
      </c>
      <c r="E2447" t="inlineStr">
        <is>
          <t>HUDDINGE</t>
        </is>
      </c>
      <c r="G2447" t="n">
        <v>3</v>
      </c>
      <c r="H2447" t="n">
        <v>0</v>
      </c>
      <c r="I2447" t="n">
        <v>0</v>
      </c>
      <c r="J2447" t="n">
        <v>0</v>
      </c>
      <c r="K2447" t="n">
        <v>0</v>
      </c>
      <c r="L2447" t="n">
        <v>0</v>
      </c>
      <c r="M2447" t="n">
        <v>0</v>
      </c>
      <c r="N2447" t="n">
        <v>0</v>
      </c>
      <c r="O2447" t="n">
        <v>0</v>
      </c>
      <c r="P2447" t="n">
        <v>0</v>
      </c>
      <c r="Q2447" t="n">
        <v>0</v>
      </c>
      <c r="R2447" s="2" t="inlineStr"/>
    </row>
    <row r="2448" ht="15" customHeight="1">
      <c r="A2448" t="inlineStr">
        <is>
          <t>A 24262-2023</t>
        </is>
      </c>
      <c r="B2448" s="1" t="n">
        <v>45076</v>
      </c>
      <c r="C2448" s="1" t="n">
        <v>45224</v>
      </c>
      <c r="D2448" t="inlineStr">
        <is>
          <t>STOCKHOLMS LÄN</t>
        </is>
      </c>
      <c r="E2448" t="inlineStr">
        <is>
          <t>HUDDINGE</t>
        </is>
      </c>
      <c r="G2448" t="n">
        <v>2.5</v>
      </c>
      <c r="H2448" t="n">
        <v>0</v>
      </c>
      <c r="I2448" t="n">
        <v>0</v>
      </c>
      <c r="J2448" t="n">
        <v>0</v>
      </c>
      <c r="K2448" t="n">
        <v>0</v>
      </c>
      <c r="L2448" t="n">
        <v>0</v>
      </c>
      <c r="M2448" t="n">
        <v>0</v>
      </c>
      <c r="N2448" t="n">
        <v>0</v>
      </c>
      <c r="O2448" t="n">
        <v>0</v>
      </c>
      <c r="P2448" t="n">
        <v>0</v>
      </c>
      <c r="Q2448" t="n">
        <v>0</v>
      </c>
      <c r="R2448" s="2" t="inlineStr"/>
    </row>
    <row r="2449" ht="15" customHeight="1">
      <c r="A2449" t="inlineStr">
        <is>
          <t>A 24365-2023</t>
        </is>
      </c>
      <c r="B2449" s="1" t="n">
        <v>45076</v>
      </c>
      <c r="C2449" s="1" t="n">
        <v>45224</v>
      </c>
      <c r="D2449" t="inlineStr">
        <is>
          <t>STOCKHOLMS LÄN</t>
        </is>
      </c>
      <c r="E2449" t="inlineStr">
        <is>
          <t>HUDDINGE</t>
        </is>
      </c>
      <c r="G2449" t="n">
        <v>0.7</v>
      </c>
      <c r="H2449" t="n">
        <v>0</v>
      </c>
      <c r="I2449" t="n">
        <v>0</v>
      </c>
      <c r="J2449" t="n">
        <v>0</v>
      </c>
      <c r="K2449" t="n">
        <v>0</v>
      </c>
      <c r="L2449" t="n">
        <v>0</v>
      </c>
      <c r="M2449" t="n">
        <v>0</v>
      </c>
      <c r="N2449" t="n">
        <v>0</v>
      </c>
      <c r="O2449" t="n">
        <v>0</v>
      </c>
      <c r="P2449" t="n">
        <v>0</v>
      </c>
      <c r="Q2449" t="n">
        <v>0</v>
      </c>
      <c r="R2449" s="2" t="inlineStr"/>
    </row>
    <row r="2450" ht="15" customHeight="1">
      <c r="A2450" t="inlineStr">
        <is>
          <t>A 23699-2023</t>
        </is>
      </c>
      <c r="B2450" s="1" t="n">
        <v>45077</v>
      </c>
      <c r="C2450" s="1" t="n">
        <v>45224</v>
      </c>
      <c r="D2450" t="inlineStr">
        <is>
          <t>STOCKHOLMS LÄN</t>
        </is>
      </c>
      <c r="E2450" t="inlineStr">
        <is>
          <t>NORRTÄLJE</t>
        </is>
      </c>
      <c r="G2450" t="n">
        <v>2.4</v>
      </c>
      <c r="H2450" t="n">
        <v>0</v>
      </c>
      <c r="I2450" t="n">
        <v>0</v>
      </c>
      <c r="J2450" t="n">
        <v>0</v>
      </c>
      <c r="K2450" t="n">
        <v>0</v>
      </c>
      <c r="L2450" t="n">
        <v>0</v>
      </c>
      <c r="M2450" t="n">
        <v>0</v>
      </c>
      <c r="N2450" t="n">
        <v>0</v>
      </c>
      <c r="O2450" t="n">
        <v>0</v>
      </c>
      <c r="P2450" t="n">
        <v>0</v>
      </c>
      <c r="Q2450" t="n">
        <v>0</v>
      </c>
      <c r="R2450" s="2" t="inlineStr"/>
    </row>
    <row r="2451" ht="15" customHeight="1">
      <c r="A2451" t="inlineStr">
        <is>
          <t>A 23981-2023</t>
        </is>
      </c>
      <c r="B2451" s="1" t="n">
        <v>45078</v>
      </c>
      <c r="C2451" s="1" t="n">
        <v>45224</v>
      </c>
      <c r="D2451" t="inlineStr">
        <is>
          <t>STOCKHOLMS LÄN</t>
        </is>
      </c>
      <c r="E2451" t="inlineStr">
        <is>
          <t>SALEM</t>
        </is>
      </c>
      <c r="F2451" t="inlineStr">
        <is>
          <t>Kommuner</t>
        </is>
      </c>
      <c r="G2451" t="n">
        <v>5.8</v>
      </c>
      <c r="H2451" t="n">
        <v>0</v>
      </c>
      <c r="I2451" t="n">
        <v>0</v>
      </c>
      <c r="J2451" t="n">
        <v>0</v>
      </c>
      <c r="K2451" t="n">
        <v>0</v>
      </c>
      <c r="L2451" t="n">
        <v>0</v>
      </c>
      <c r="M2451" t="n">
        <v>0</v>
      </c>
      <c r="N2451" t="n">
        <v>0</v>
      </c>
      <c r="O2451" t="n">
        <v>0</v>
      </c>
      <c r="P2451" t="n">
        <v>0</v>
      </c>
      <c r="Q2451" t="n">
        <v>0</v>
      </c>
      <c r="R2451" s="2" t="inlineStr"/>
    </row>
    <row r="2452" ht="15" customHeight="1">
      <c r="A2452" t="inlineStr">
        <is>
          <t>A 23986-2023</t>
        </is>
      </c>
      <c r="B2452" s="1" t="n">
        <v>45078</v>
      </c>
      <c r="C2452" s="1" t="n">
        <v>45224</v>
      </c>
      <c r="D2452" t="inlineStr">
        <is>
          <t>STOCKHOLMS LÄN</t>
        </is>
      </c>
      <c r="E2452" t="inlineStr">
        <is>
          <t>VALLENTUNA</t>
        </is>
      </c>
      <c r="F2452" t="inlineStr">
        <is>
          <t>Kyrkan</t>
        </is>
      </c>
      <c r="G2452" t="n">
        <v>5.7</v>
      </c>
      <c r="H2452" t="n">
        <v>0</v>
      </c>
      <c r="I2452" t="n">
        <v>0</v>
      </c>
      <c r="J2452" t="n">
        <v>0</v>
      </c>
      <c r="K2452" t="n">
        <v>0</v>
      </c>
      <c r="L2452" t="n">
        <v>0</v>
      </c>
      <c r="M2452" t="n">
        <v>0</v>
      </c>
      <c r="N2452" t="n">
        <v>0</v>
      </c>
      <c r="O2452" t="n">
        <v>0</v>
      </c>
      <c r="P2452" t="n">
        <v>0</v>
      </c>
      <c r="Q2452" t="n">
        <v>0</v>
      </c>
      <c r="R2452" s="2" t="inlineStr"/>
    </row>
    <row r="2453" ht="15" customHeight="1">
      <c r="A2453" t="inlineStr">
        <is>
          <t>A 23992-2023</t>
        </is>
      </c>
      <c r="B2453" s="1" t="n">
        <v>45078</v>
      </c>
      <c r="C2453" s="1" t="n">
        <v>45224</v>
      </c>
      <c r="D2453" t="inlineStr">
        <is>
          <t>STOCKHOLMS LÄN</t>
        </is>
      </c>
      <c r="E2453" t="inlineStr">
        <is>
          <t>SALEM</t>
        </is>
      </c>
      <c r="F2453" t="inlineStr">
        <is>
          <t>Kommuner</t>
        </is>
      </c>
      <c r="G2453" t="n">
        <v>0.7</v>
      </c>
      <c r="H2453" t="n">
        <v>0</v>
      </c>
      <c r="I2453" t="n">
        <v>0</v>
      </c>
      <c r="J2453" t="n">
        <v>0</v>
      </c>
      <c r="K2453" t="n">
        <v>0</v>
      </c>
      <c r="L2453" t="n">
        <v>0</v>
      </c>
      <c r="M2453" t="n">
        <v>0</v>
      </c>
      <c r="N2453" t="n">
        <v>0</v>
      </c>
      <c r="O2453" t="n">
        <v>0</v>
      </c>
      <c r="P2453" t="n">
        <v>0</v>
      </c>
      <c r="Q2453" t="n">
        <v>0</v>
      </c>
      <c r="R2453" s="2" t="inlineStr"/>
    </row>
    <row r="2454" ht="15" customHeight="1">
      <c r="A2454" t="inlineStr">
        <is>
          <t>A 24735-2023</t>
        </is>
      </c>
      <c r="B2454" s="1" t="n">
        <v>45078</v>
      </c>
      <c r="C2454" s="1" t="n">
        <v>45224</v>
      </c>
      <c r="D2454" t="inlineStr">
        <is>
          <t>STOCKHOLMS LÄN</t>
        </is>
      </c>
      <c r="E2454" t="inlineStr">
        <is>
          <t>SÖDERTÄLJE</t>
        </is>
      </c>
      <c r="G2454" t="n">
        <v>3.7</v>
      </c>
      <c r="H2454" t="n">
        <v>0</v>
      </c>
      <c r="I2454" t="n">
        <v>0</v>
      </c>
      <c r="J2454" t="n">
        <v>0</v>
      </c>
      <c r="K2454" t="n">
        <v>0</v>
      </c>
      <c r="L2454" t="n">
        <v>0</v>
      </c>
      <c r="M2454" t="n">
        <v>0</v>
      </c>
      <c r="N2454" t="n">
        <v>0</v>
      </c>
      <c r="O2454" t="n">
        <v>0</v>
      </c>
      <c r="P2454" t="n">
        <v>0</v>
      </c>
      <c r="Q2454" t="n">
        <v>0</v>
      </c>
      <c r="R2454" s="2" t="inlineStr"/>
    </row>
    <row r="2455" ht="15" customHeight="1">
      <c r="A2455" t="inlineStr">
        <is>
          <t>A 24330-2023</t>
        </is>
      </c>
      <c r="B2455" s="1" t="n">
        <v>45081</v>
      </c>
      <c r="C2455" s="1" t="n">
        <v>45224</v>
      </c>
      <c r="D2455" t="inlineStr">
        <is>
          <t>STOCKHOLMS LÄN</t>
        </is>
      </c>
      <c r="E2455" t="inlineStr">
        <is>
          <t>NORRTÄLJE</t>
        </is>
      </c>
      <c r="G2455" t="n">
        <v>5</v>
      </c>
      <c r="H2455" t="n">
        <v>0</v>
      </c>
      <c r="I2455" t="n">
        <v>0</v>
      </c>
      <c r="J2455" t="n">
        <v>0</v>
      </c>
      <c r="K2455" t="n">
        <v>0</v>
      </c>
      <c r="L2455" t="n">
        <v>0</v>
      </c>
      <c r="M2455" t="n">
        <v>0</v>
      </c>
      <c r="N2455" t="n">
        <v>0</v>
      </c>
      <c r="O2455" t="n">
        <v>0</v>
      </c>
      <c r="P2455" t="n">
        <v>0</v>
      </c>
      <c r="Q2455" t="n">
        <v>0</v>
      </c>
      <c r="R2455" s="2" t="inlineStr"/>
    </row>
    <row r="2456" ht="15" customHeight="1">
      <c r="A2456" t="inlineStr">
        <is>
          <t>A 25549-2023</t>
        </is>
      </c>
      <c r="B2456" s="1" t="n">
        <v>45082</v>
      </c>
      <c r="C2456" s="1" t="n">
        <v>45224</v>
      </c>
      <c r="D2456" t="inlineStr">
        <is>
          <t>STOCKHOLMS LÄN</t>
        </is>
      </c>
      <c r="E2456" t="inlineStr">
        <is>
          <t>SÖDERTÄLJE</t>
        </is>
      </c>
      <c r="G2456" t="n">
        <v>12.2</v>
      </c>
      <c r="H2456" t="n">
        <v>0</v>
      </c>
      <c r="I2456" t="n">
        <v>0</v>
      </c>
      <c r="J2456" t="n">
        <v>0</v>
      </c>
      <c r="K2456" t="n">
        <v>0</v>
      </c>
      <c r="L2456" t="n">
        <v>0</v>
      </c>
      <c r="M2456" t="n">
        <v>0</v>
      </c>
      <c r="N2456" t="n">
        <v>0</v>
      </c>
      <c r="O2456" t="n">
        <v>0</v>
      </c>
      <c r="P2456" t="n">
        <v>0</v>
      </c>
      <c r="Q2456" t="n">
        <v>0</v>
      </c>
      <c r="R2456" s="2" t="inlineStr"/>
    </row>
    <row r="2457" ht="15" customHeight="1">
      <c r="A2457" t="inlineStr">
        <is>
          <t>A 24499-2023</t>
        </is>
      </c>
      <c r="B2457" s="1" t="n">
        <v>45082</v>
      </c>
      <c r="C2457" s="1" t="n">
        <v>45224</v>
      </c>
      <c r="D2457" t="inlineStr">
        <is>
          <t>STOCKHOLMS LÄN</t>
        </is>
      </c>
      <c r="E2457" t="inlineStr">
        <is>
          <t>ÖSTERÅKER</t>
        </is>
      </c>
      <c r="G2457" t="n">
        <v>0.1</v>
      </c>
      <c r="H2457" t="n">
        <v>0</v>
      </c>
      <c r="I2457" t="n">
        <v>0</v>
      </c>
      <c r="J2457" t="n">
        <v>0</v>
      </c>
      <c r="K2457" t="n">
        <v>0</v>
      </c>
      <c r="L2457" t="n">
        <v>0</v>
      </c>
      <c r="M2457" t="n">
        <v>0</v>
      </c>
      <c r="N2457" t="n">
        <v>0</v>
      </c>
      <c r="O2457" t="n">
        <v>0</v>
      </c>
      <c r="P2457" t="n">
        <v>0</v>
      </c>
      <c r="Q2457" t="n">
        <v>0</v>
      </c>
      <c r="R2457" s="2" t="inlineStr"/>
    </row>
    <row r="2458" ht="15" customHeight="1">
      <c r="A2458" t="inlineStr">
        <is>
          <t>A 24501-2023</t>
        </is>
      </c>
      <c r="B2458" s="1" t="n">
        <v>45082</v>
      </c>
      <c r="C2458" s="1" t="n">
        <v>45224</v>
      </c>
      <c r="D2458" t="inlineStr">
        <is>
          <t>STOCKHOLMS LÄN</t>
        </is>
      </c>
      <c r="E2458" t="inlineStr">
        <is>
          <t>NORRTÄLJE</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25531-2023</t>
        </is>
      </c>
      <c r="B2459" s="1" t="n">
        <v>45082</v>
      </c>
      <c r="C2459" s="1" t="n">
        <v>45224</v>
      </c>
      <c r="D2459" t="inlineStr">
        <is>
          <t>STOCKHOLMS LÄN</t>
        </is>
      </c>
      <c r="E2459" t="inlineStr">
        <is>
          <t>SIGTUNA</t>
        </is>
      </c>
      <c r="G2459" t="n">
        <v>6.4</v>
      </c>
      <c r="H2459" t="n">
        <v>0</v>
      </c>
      <c r="I2459" t="n">
        <v>0</v>
      </c>
      <c r="J2459" t="n">
        <v>0</v>
      </c>
      <c r="K2459" t="n">
        <v>0</v>
      </c>
      <c r="L2459" t="n">
        <v>0</v>
      </c>
      <c r="M2459" t="n">
        <v>0</v>
      </c>
      <c r="N2459" t="n">
        <v>0</v>
      </c>
      <c r="O2459" t="n">
        <v>0</v>
      </c>
      <c r="P2459" t="n">
        <v>0</v>
      </c>
      <c r="Q2459" t="n">
        <v>0</v>
      </c>
      <c r="R2459" s="2" t="inlineStr"/>
    </row>
    <row r="2460" ht="15" customHeight="1">
      <c r="A2460" t="inlineStr">
        <is>
          <t>A 24789-2023</t>
        </is>
      </c>
      <c r="B2460" s="1" t="n">
        <v>45084</v>
      </c>
      <c r="C2460" s="1" t="n">
        <v>45224</v>
      </c>
      <c r="D2460" t="inlineStr">
        <is>
          <t>STOCKHOLMS LÄN</t>
        </is>
      </c>
      <c r="E2460" t="inlineStr">
        <is>
          <t>NORRTÄLJE</t>
        </is>
      </c>
      <c r="F2460" t="inlineStr">
        <is>
          <t>Sveaskog</t>
        </is>
      </c>
      <c r="G2460" t="n">
        <v>4.5</v>
      </c>
      <c r="H2460" t="n">
        <v>0</v>
      </c>
      <c r="I2460" t="n">
        <v>0</v>
      </c>
      <c r="J2460" t="n">
        <v>0</v>
      </c>
      <c r="K2460" t="n">
        <v>0</v>
      </c>
      <c r="L2460" t="n">
        <v>0</v>
      </c>
      <c r="M2460" t="n">
        <v>0</v>
      </c>
      <c r="N2460" t="n">
        <v>0</v>
      </c>
      <c r="O2460" t="n">
        <v>0</v>
      </c>
      <c r="P2460" t="n">
        <v>0</v>
      </c>
      <c r="Q2460" t="n">
        <v>0</v>
      </c>
      <c r="R2460" s="2" t="inlineStr"/>
    </row>
    <row r="2461" ht="15" customHeight="1">
      <c r="A2461" t="inlineStr">
        <is>
          <t>A 25754-2023</t>
        </is>
      </c>
      <c r="B2461" s="1" t="n">
        <v>45084</v>
      </c>
      <c r="C2461" s="1" t="n">
        <v>45224</v>
      </c>
      <c r="D2461" t="inlineStr">
        <is>
          <t>STOCKHOLMS LÄN</t>
        </is>
      </c>
      <c r="E2461" t="inlineStr">
        <is>
          <t>NYKVARN</t>
        </is>
      </c>
      <c r="G2461" t="n">
        <v>1.2</v>
      </c>
      <c r="H2461" t="n">
        <v>0</v>
      </c>
      <c r="I2461" t="n">
        <v>0</v>
      </c>
      <c r="J2461" t="n">
        <v>0</v>
      </c>
      <c r="K2461" t="n">
        <v>0</v>
      </c>
      <c r="L2461" t="n">
        <v>0</v>
      </c>
      <c r="M2461" t="n">
        <v>0</v>
      </c>
      <c r="N2461" t="n">
        <v>0</v>
      </c>
      <c r="O2461" t="n">
        <v>0</v>
      </c>
      <c r="P2461" t="n">
        <v>0</v>
      </c>
      <c r="Q2461" t="n">
        <v>0</v>
      </c>
      <c r="R2461" s="2" t="inlineStr"/>
    </row>
    <row r="2462" ht="15" customHeight="1">
      <c r="A2462" t="inlineStr">
        <is>
          <t>A 24636-2023</t>
        </is>
      </c>
      <c r="B2462" s="1" t="n">
        <v>45084</v>
      </c>
      <c r="C2462" s="1" t="n">
        <v>45224</v>
      </c>
      <c r="D2462" t="inlineStr">
        <is>
          <t>STOCKHOLMS LÄN</t>
        </is>
      </c>
      <c r="E2462" t="inlineStr">
        <is>
          <t>SIGTUNA</t>
        </is>
      </c>
      <c r="G2462" t="n">
        <v>0.9</v>
      </c>
      <c r="H2462" t="n">
        <v>0</v>
      </c>
      <c r="I2462" t="n">
        <v>0</v>
      </c>
      <c r="J2462" t="n">
        <v>0</v>
      </c>
      <c r="K2462" t="n">
        <v>0</v>
      </c>
      <c r="L2462" t="n">
        <v>0</v>
      </c>
      <c r="M2462" t="n">
        <v>0</v>
      </c>
      <c r="N2462" t="n">
        <v>0</v>
      </c>
      <c r="O2462" t="n">
        <v>0</v>
      </c>
      <c r="P2462" t="n">
        <v>0</v>
      </c>
      <c r="Q2462" t="n">
        <v>0</v>
      </c>
      <c r="R2462" s="2" t="inlineStr"/>
    </row>
    <row r="2463" ht="15" customHeight="1">
      <c r="A2463" t="inlineStr">
        <is>
          <t>A 24707-2023</t>
        </is>
      </c>
      <c r="B2463" s="1" t="n">
        <v>45084</v>
      </c>
      <c r="C2463" s="1" t="n">
        <v>45224</v>
      </c>
      <c r="D2463" t="inlineStr">
        <is>
          <t>STOCKHOLMS LÄN</t>
        </is>
      </c>
      <c r="E2463" t="inlineStr">
        <is>
          <t>VALLENTUNA</t>
        </is>
      </c>
      <c r="G2463" t="n">
        <v>1.1</v>
      </c>
      <c r="H2463" t="n">
        <v>0</v>
      </c>
      <c r="I2463" t="n">
        <v>0</v>
      </c>
      <c r="J2463" t="n">
        <v>0</v>
      </c>
      <c r="K2463" t="n">
        <v>0</v>
      </c>
      <c r="L2463" t="n">
        <v>0</v>
      </c>
      <c r="M2463" t="n">
        <v>0</v>
      </c>
      <c r="N2463" t="n">
        <v>0</v>
      </c>
      <c r="O2463" t="n">
        <v>0</v>
      </c>
      <c r="P2463" t="n">
        <v>0</v>
      </c>
      <c r="Q2463" t="n">
        <v>0</v>
      </c>
      <c r="R2463" s="2" t="inlineStr"/>
    </row>
    <row r="2464" ht="15" customHeight="1">
      <c r="A2464" t="inlineStr">
        <is>
          <t>A 24749-2023</t>
        </is>
      </c>
      <c r="B2464" s="1" t="n">
        <v>45084</v>
      </c>
      <c r="C2464" s="1" t="n">
        <v>45224</v>
      </c>
      <c r="D2464" t="inlineStr">
        <is>
          <t>STOCKHOLMS LÄN</t>
        </is>
      </c>
      <c r="E2464" t="inlineStr">
        <is>
          <t>VALLENTUNA</t>
        </is>
      </c>
      <c r="G2464" t="n">
        <v>3.4</v>
      </c>
      <c r="H2464" t="n">
        <v>0</v>
      </c>
      <c r="I2464" t="n">
        <v>0</v>
      </c>
      <c r="J2464" t="n">
        <v>0</v>
      </c>
      <c r="K2464" t="n">
        <v>0</v>
      </c>
      <c r="L2464" t="n">
        <v>0</v>
      </c>
      <c r="M2464" t="n">
        <v>0</v>
      </c>
      <c r="N2464" t="n">
        <v>0</v>
      </c>
      <c r="O2464" t="n">
        <v>0</v>
      </c>
      <c r="P2464" t="n">
        <v>0</v>
      </c>
      <c r="Q2464" t="n">
        <v>0</v>
      </c>
      <c r="R2464" s="2" t="inlineStr"/>
    </row>
    <row r="2465" ht="15" customHeight="1">
      <c r="A2465" t="inlineStr">
        <is>
          <t>A 24788-2023</t>
        </is>
      </c>
      <c r="B2465" s="1" t="n">
        <v>45084</v>
      </c>
      <c r="C2465" s="1" t="n">
        <v>45224</v>
      </c>
      <c r="D2465" t="inlineStr">
        <is>
          <t>STOCKHOLMS LÄN</t>
        </is>
      </c>
      <c r="E2465" t="inlineStr">
        <is>
          <t>NORRTÄLJE</t>
        </is>
      </c>
      <c r="F2465" t="inlineStr">
        <is>
          <t>Sveaskog</t>
        </is>
      </c>
      <c r="G2465" t="n">
        <v>4.7</v>
      </c>
      <c r="H2465" t="n">
        <v>0</v>
      </c>
      <c r="I2465" t="n">
        <v>0</v>
      </c>
      <c r="J2465" t="n">
        <v>0</v>
      </c>
      <c r="K2465" t="n">
        <v>0</v>
      </c>
      <c r="L2465" t="n">
        <v>0</v>
      </c>
      <c r="M2465" t="n">
        <v>0</v>
      </c>
      <c r="N2465" t="n">
        <v>0</v>
      </c>
      <c r="O2465" t="n">
        <v>0</v>
      </c>
      <c r="P2465" t="n">
        <v>0</v>
      </c>
      <c r="Q2465" t="n">
        <v>0</v>
      </c>
      <c r="R2465" s="2" t="inlineStr"/>
    </row>
    <row r="2466" ht="15" customHeight="1">
      <c r="A2466" t="inlineStr">
        <is>
          <t>A 24887-2023</t>
        </is>
      </c>
      <c r="B2466" s="1" t="n">
        <v>45085</v>
      </c>
      <c r="C2466" s="1" t="n">
        <v>45224</v>
      </c>
      <c r="D2466" t="inlineStr">
        <is>
          <t>STOCKHOLMS LÄN</t>
        </is>
      </c>
      <c r="E2466" t="inlineStr">
        <is>
          <t>NORRTÄLJE</t>
        </is>
      </c>
      <c r="G2466" t="n">
        <v>13.9</v>
      </c>
      <c r="H2466" t="n">
        <v>0</v>
      </c>
      <c r="I2466" t="n">
        <v>0</v>
      </c>
      <c r="J2466" t="n">
        <v>0</v>
      </c>
      <c r="K2466" t="n">
        <v>0</v>
      </c>
      <c r="L2466" t="n">
        <v>0</v>
      </c>
      <c r="M2466" t="n">
        <v>0</v>
      </c>
      <c r="N2466" t="n">
        <v>0</v>
      </c>
      <c r="O2466" t="n">
        <v>0</v>
      </c>
      <c r="P2466" t="n">
        <v>0</v>
      </c>
      <c r="Q2466" t="n">
        <v>0</v>
      </c>
      <c r="R2466" s="2" t="inlineStr"/>
    </row>
    <row r="2467" ht="15" customHeight="1">
      <c r="A2467" t="inlineStr">
        <is>
          <t>A 24873-2023</t>
        </is>
      </c>
      <c r="B2467" s="1" t="n">
        <v>45085</v>
      </c>
      <c r="C2467" s="1" t="n">
        <v>45224</v>
      </c>
      <c r="D2467" t="inlineStr">
        <is>
          <t>STOCKHOLMS LÄN</t>
        </is>
      </c>
      <c r="E2467" t="inlineStr">
        <is>
          <t>HANINGE</t>
        </is>
      </c>
      <c r="G2467" t="n">
        <v>1.9</v>
      </c>
      <c r="H2467" t="n">
        <v>0</v>
      </c>
      <c r="I2467" t="n">
        <v>0</v>
      </c>
      <c r="J2467" t="n">
        <v>0</v>
      </c>
      <c r="K2467" t="n">
        <v>0</v>
      </c>
      <c r="L2467" t="n">
        <v>0</v>
      </c>
      <c r="M2467" t="n">
        <v>0</v>
      </c>
      <c r="N2467" t="n">
        <v>0</v>
      </c>
      <c r="O2467" t="n">
        <v>0</v>
      </c>
      <c r="P2467" t="n">
        <v>0</v>
      </c>
      <c r="Q2467" t="n">
        <v>0</v>
      </c>
      <c r="R2467" s="2" t="inlineStr"/>
    </row>
    <row r="2468" ht="15" customHeight="1">
      <c r="A2468" t="inlineStr">
        <is>
          <t>A 25175-2023</t>
        </is>
      </c>
      <c r="B2468" s="1" t="n">
        <v>45086</v>
      </c>
      <c r="C2468" s="1" t="n">
        <v>45224</v>
      </c>
      <c r="D2468" t="inlineStr">
        <is>
          <t>STOCKHOLMS LÄN</t>
        </is>
      </c>
      <c r="E2468" t="inlineStr">
        <is>
          <t>NYNÄSHAMN</t>
        </is>
      </c>
      <c r="G2468" t="n">
        <v>1.4</v>
      </c>
      <c r="H2468" t="n">
        <v>0</v>
      </c>
      <c r="I2468" t="n">
        <v>0</v>
      </c>
      <c r="J2468" t="n">
        <v>0</v>
      </c>
      <c r="K2468" t="n">
        <v>0</v>
      </c>
      <c r="L2468" t="n">
        <v>0</v>
      </c>
      <c r="M2468" t="n">
        <v>0</v>
      </c>
      <c r="N2468" t="n">
        <v>0</v>
      </c>
      <c r="O2468" t="n">
        <v>0</v>
      </c>
      <c r="P2468" t="n">
        <v>0</v>
      </c>
      <c r="Q2468" t="n">
        <v>0</v>
      </c>
      <c r="R2468" s="2" t="inlineStr"/>
    </row>
    <row r="2469" ht="15" customHeight="1">
      <c r="A2469" t="inlineStr">
        <is>
          <t>A 26408-2023</t>
        </is>
      </c>
      <c r="B2469" s="1" t="n">
        <v>45086</v>
      </c>
      <c r="C2469" s="1" t="n">
        <v>45224</v>
      </c>
      <c r="D2469" t="inlineStr">
        <is>
          <t>STOCKHOLMS LÄN</t>
        </is>
      </c>
      <c r="E2469" t="inlineStr">
        <is>
          <t>VALLENTUNA</t>
        </is>
      </c>
      <c r="G2469" t="n">
        <v>0.6</v>
      </c>
      <c r="H2469" t="n">
        <v>0</v>
      </c>
      <c r="I2469" t="n">
        <v>0</v>
      </c>
      <c r="J2469" t="n">
        <v>0</v>
      </c>
      <c r="K2469" t="n">
        <v>0</v>
      </c>
      <c r="L2469" t="n">
        <v>0</v>
      </c>
      <c r="M2469" t="n">
        <v>0</v>
      </c>
      <c r="N2469" t="n">
        <v>0</v>
      </c>
      <c r="O2469" t="n">
        <v>0</v>
      </c>
      <c r="P2469" t="n">
        <v>0</v>
      </c>
      <c r="Q2469" t="n">
        <v>0</v>
      </c>
      <c r="R2469" s="2" t="inlineStr"/>
    </row>
    <row r="2470" ht="15" customHeight="1">
      <c r="A2470" t="inlineStr">
        <is>
          <t>A 26390-2023</t>
        </is>
      </c>
      <c r="B2470" s="1" t="n">
        <v>45086</v>
      </c>
      <c r="C2470" s="1" t="n">
        <v>45224</v>
      </c>
      <c r="D2470" t="inlineStr">
        <is>
          <t>STOCKHOLMS LÄN</t>
        </is>
      </c>
      <c r="E2470" t="inlineStr">
        <is>
          <t>VALLENTUNA</t>
        </is>
      </c>
      <c r="G2470" t="n">
        <v>1.6</v>
      </c>
      <c r="H2470" t="n">
        <v>0</v>
      </c>
      <c r="I2470" t="n">
        <v>0</v>
      </c>
      <c r="J2470" t="n">
        <v>0</v>
      </c>
      <c r="K2470" t="n">
        <v>0</v>
      </c>
      <c r="L2470" t="n">
        <v>0</v>
      </c>
      <c r="M2470" t="n">
        <v>0</v>
      </c>
      <c r="N2470" t="n">
        <v>0</v>
      </c>
      <c r="O2470" t="n">
        <v>0</v>
      </c>
      <c r="P2470" t="n">
        <v>0</v>
      </c>
      <c r="Q2470" t="n">
        <v>0</v>
      </c>
      <c r="R2470" s="2" t="inlineStr"/>
    </row>
    <row r="2471" ht="15" customHeight="1">
      <c r="A2471" t="inlineStr">
        <is>
          <t>A 25452-2023</t>
        </is>
      </c>
      <c r="B2471" s="1" t="n">
        <v>45089</v>
      </c>
      <c r="C2471" s="1" t="n">
        <v>45224</v>
      </c>
      <c r="D2471" t="inlineStr">
        <is>
          <t>STOCKHOLMS LÄN</t>
        </is>
      </c>
      <c r="E2471" t="inlineStr">
        <is>
          <t>SIGTUNA</t>
        </is>
      </c>
      <c r="F2471" t="inlineStr">
        <is>
          <t>Sveaskog</t>
        </is>
      </c>
      <c r="G2471" t="n">
        <v>0.7</v>
      </c>
      <c r="H2471" t="n">
        <v>0</v>
      </c>
      <c r="I2471" t="n">
        <v>0</v>
      </c>
      <c r="J2471" t="n">
        <v>0</v>
      </c>
      <c r="K2471" t="n">
        <v>0</v>
      </c>
      <c r="L2471" t="n">
        <v>0</v>
      </c>
      <c r="M2471" t="n">
        <v>0</v>
      </c>
      <c r="N2471" t="n">
        <v>0</v>
      </c>
      <c r="O2471" t="n">
        <v>0</v>
      </c>
      <c r="P2471" t="n">
        <v>0</v>
      </c>
      <c r="Q2471" t="n">
        <v>0</v>
      </c>
      <c r="R2471" s="2" t="inlineStr"/>
    </row>
    <row r="2472" ht="15" customHeight="1">
      <c r="A2472" t="inlineStr">
        <is>
          <t>A 25464-2023</t>
        </is>
      </c>
      <c r="B2472" s="1" t="n">
        <v>45089</v>
      </c>
      <c r="C2472" s="1" t="n">
        <v>45224</v>
      </c>
      <c r="D2472" t="inlineStr">
        <is>
          <t>STOCKHOLMS LÄN</t>
        </is>
      </c>
      <c r="E2472" t="inlineStr">
        <is>
          <t>SIGTUNA</t>
        </is>
      </c>
      <c r="F2472" t="inlineStr">
        <is>
          <t>Sveaskog</t>
        </is>
      </c>
      <c r="G2472" t="n">
        <v>2.7</v>
      </c>
      <c r="H2472" t="n">
        <v>0</v>
      </c>
      <c r="I2472" t="n">
        <v>0</v>
      </c>
      <c r="J2472" t="n">
        <v>0</v>
      </c>
      <c r="K2472" t="n">
        <v>0</v>
      </c>
      <c r="L2472" t="n">
        <v>0</v>
      </c>
      <c r="M2472" t="n">
        <v>0</v>
      </c>
      <c r="N2472" t="n">
        <v>0</v>
      </c>
      <c r="O2472" t="n">
        <v>0</v>
      </c>
      <c r="P2472" t="n">
        <v>0</v>
      </c>
      <c r="Q2472" t="n">
        <v>0</v>
      </c>
      <c r="R2472" s="2" t="inlineStr"/>
    </row>
    <row r="2473" ht="15" customHeight="1">
      <c r="A2473" t="inlineStr">
        <is>
          <t>A 25557-2023</t>
        </is>
      </c>
      <c r="B2473" s="1" t="n">
        <v>45089</v>
      </c>
      <c r="C2473" s="1" t="n">
        <v>45224</v>
      </c>
      <c r="D2473" t="inlineStr">
        <is>
          <t>STOCKHOLMS LÄN</t>
        </is>
      </c>
      <c r="E2473" t="inlineStr">
        <is>
          <t>NORRTÄLJE</t>
        </is>
      </c>
      <c r="G2473" t="n">
        <v>1</v>
      </c>
      <c r="H2473" t="n">
        <v>0</v>
      </c>
      <c r="I2473" t="n">
        <v>0</v>
      </c>
      <c r="J2473" t="n">
        <v>0</v>
      </c>
      <c r="K2473" t="n">
        <v>0</v>
      </c>
      <c r="L2473" t="n">
        <v>0</v>
      </c>
      <c r="M2473" t="n">
        <v>0</v>
      </c>
      <c r="N2473" t="n">
        <v>0</v>
      </c>
      <c r="O2473" t="n">
        <v>0</v>
      </c>
      <c r="P2473" t="n">
        <v>0</v>
      </c>
      <c r="Q2473" t="n">
        <v>0</v>
      </c>
      <c r="R2473" s="2" t="inlineStr"/>
    </row>
    <row r="2474" ht="15" customHeight="1">
      <c r="A2474" t="inlineStr">
        <is>
          <t>A 25625-2023</t>
        </is>
      </c>
      <c r="B2474" s="1" t="n">
        <v>45089</v>
      </c>
      <c r="C2474" s="1" t="n">
        <v>45224</v>
      </c>
      <c r="D2474" t="inlineStr">
        <is>
          <t>STOCKHOLMS LÄN</t>
        </is>
      </c>
      <c r="E2474" t="inlineStr">
        <is>
          <t>NORRTÄLJE</t>
        </is>
      </c>
      <c r="G2474" t="n">
        <v>5.5</v>
      </c>
      <c r="H2474" t="n">
        <v>0</v>
      </c>
      <c r="I2474" t="n">
        <v>0</v>
      </c>
      <c r="J2474" t="n">
        <v>0</v>
      </c>
      <c r="K2474" t="n">
        <v>0</v>
      </c>
      <c r="L2474" t="n">
        <v>0</v>
      </c>
      <c r="M2474" t="n">
        <v>0</v>
      </c>
      <c r="N2474" t="n">
        <v>0</v>
      </c>
      <c r="O2474" t="n">
        <v>0</v>
      </c>
      <c r="P2474" t="n">
        <v>0</v>
      </c>
      <c r="Q2474" t="n">
        <v>0</v>
      </c>
      <c r="R2474" s="2" t="inlineStr"/>
    </row>
    <row r="2475" ht="15" customHeight="1">
      <c r="A2475" t="inlineStr">
        <is>
          <t>A 25459-2023</t>
        </is>
      </c>
      <c r="B2475" s="1" t="n">
        <v>45089</v>
      </c>
      <c r="C2475" s="1" t="n">
        <v>45224</v>
      </c>
      <c r="D2475" t="inlineStr">
        <is>
          <t>STOCKHOLMS LÄN</t>
        </is>
      </c>
      <c r="E2475" t="inlineStr">
        <is>
          <t>SIGTUNA</t>
        </is>
      </c>
      <c r="F2475" t="inlineStr">
        <is>
          <t>Sveaskog</t>
        </is>
      </c>
      <c r="G2475" t="n">
        <v>0.6</v>
      </c>
      <c r="H2475" t="n">
        <v>0</v>
      </c>
      <c r="I2475" t="n">
        <v>0</v>
      </c>
      <c r="J2475" t="n">
        <v>0</v>
      </c>
      <c r="K2475" t="n">
        <v>0</v>
      </c>
      <c r="L2475" t="n">
        <v>0</v>
      </c>
      <c r="M2475" t="n">
        <v>0</v>
      </c>
      <c r="N2475" t="n">
        <v>0</v>
      </c>
      <c r="O2475" t="n">
        <v>0</v>
      </c>
      <c r="P2475" t="n">
        <v>0</v>
      </c>
      <c r="Q2475" t="n">
        <v>0</v>
      </c>
      <c r="R2475" s="2" t="inlineStr"/>
    </row>
    <row r="2476" ht="15" customHeight="1">
      <c r="A2476" t="inlineStr">
        <is>
          <t>A 25618-2023</t>
        </is>
      </c>
      <c r="B2476" s="1" t="n">
        <v>45089</v>
      </c>
      <c r="C2476" s="1" t="n">
        <v>45224</v>
      </c>
      <c r="D2476" t="inlineStr">
        <is>
          <t>STOCKHOLMS LÄN</t>
        </is>
      </c>
      <c r="E2476" t="inlineStr">
        <is>
          <t>NORRTÄLJE</t>
        </is>
      </c>
      <c r="G2476" t="n">
        <v>2</v>
      </c>
      <c r="H2476" t="n">
        <v>0</v>
      </c>
      <c r="I2476" t="n">
        <v>0</v>
      </c>
      <c r="J2476" t="n">
        <v>0</v>
      </c>
      <c r="K2476" t="n">
        <v>0</v>
      </c>
      <c r="L2476" t="n">
        <v>0</v>
      </c>
      <c r="M2476" t="n">
        <v>0</v>
      </c>
      <c r="N2476" t="n">
        <v>0</v>
      </c>
      <c r="O2476" t="n">
        <v>0</v>
      </c>
      <c r="P2476" t="n">
        <v>0</v>
      </c>
      <c r="Q2476" t="n">
        <v>0</v>
      </c>
      <c r="R2476" s="2" t="inlineStr"/>
    </row>
    <row r="2477" ht="15" customHeight="1">
      <c r="A2477" t="inlineStr">
        <is>
          <t>A 25656-2023</t>
        </is>
      </c>
      <c r="B2477" s="1" t="n">
        <v>45089</v>
      </c>
      <c r="C2477" s="1" t="n">
        <v>45224</v>
      </c>
      <c r="D2477" t="inlineStr">
        <is>
          <t>STOCKHOLMS LÄN</t>
        </is>
      </c>
      <c r="E2477" t="inlineStr">
        <is>
          <t>NORRTÄLJE</t>
        </is>
      </c>
      <c r="G2477" t="n">
        <v>0.9</v>
      </c>
      <c r="H2477" t="n">
        <v>0</v>
      </c>
      <c r="I2477" t="n">
        <v>0</v>
      </c>
      <c r="J2477" t="n">
        <v>0</v>
      </c>
      <c r="K2477" t="n">
        <v>0</v>
      </c>
      <c r="L2477" t="n">
        <v>0</v>
      </c>
      <c r="M2477" t="n">
        <v>0</v>
      </c>
      <c r="N2477" t="n">
        <v>0</v>
      </c>
      <c r="O2477" t="n">
        <v>0</v>
      </c>
      <c r="P2477" t="n">
        <v>0</v>
      </c>
      <c r="Q2477" t="n">
        <v>0</v>
      </c>
      <c r="R2477" s="2" t="inlineStr"/>
    </row>
    <row r="2478" ht="15" customHeight="1">
      <c r="A2478" t="inlineStr">
        <is>
          <t>A 25609-2023</t>
        </is>
      </c>
      <c r="B2478" s="1" t="n">
        <v>45089</v>
      </c>
      <c r="C2478" s="1" t="n">
        <v>45224</v>
      </c>
      <c r="D2478" t="inlineStr">
        <is>
          <t>STOCKHOLMS LÄN</t>
        </is>
      </c>
      <c r="E2478" t="inlineStr">
        <is>
          <t>NORRTÄLJE</t>
        </is>
      </c>
      <c r="G2478" t="n">
        <v>2.5</v>
      </c>
      <c r="H2478" t="n">
        <v>0</v>
      </c>
      <c r="I2478" t="n">
        <v>0</v>
      </c>
      <c r="J2478" t="n">
        <v>0</v>
      </c>
      <c r="K2478" t="n">
        <v>0</v>
      </c>
      <c r="L2478" t="n">
        <v>0</v>
      </c>
      <c r="M2478" t="n">
        <v>0</v>
      </c>
      <c r="N2478" t="n">
        <v>0</v>
      </c>
      <c r="O2478" t="n">
        <v>0</v>
      </c>
      <c r="P2478" t="n">
        <v>0</v>
      </c>
      <c r="Q2478" t="n">
        <v>0</v>
      </c>
      <c r="R2478" s="2" t="inlineStr"/>
    </row>
    <row r="2479" ht="15" customHeight="1">
      <c r="A2479" t="inlineStr">
        <is>
          <t>A 25654-2023</t>
        </is>
      </c>
      <c r="B2479" s="1" t="n">
        <v>45089</v>
      </c>
      <c r="C2479" s="1" t="n">
        <v>45224</v>
      </c>
      <c r="D2479" t="inlineStr">
        <is>
          <t>STOCKHOLMS LÄN</t>
        </is>
      </c>
      <c r="E2479" t="inlineStr">
        <is>
          <t>NORRTÄLJE</t>
        </is>
      </c>
      <c r="G2479" t="n">
        <v>2.1</v>
      </c>
      <c r="H2479" t="n">
        <v>0</v>
      </c>
      <c r="I2479" t="n">
        <v>0</v>
      </c>
      <c r="J2479" t="n">
        <v>0</v>
      </c>
      <c r="K2479" t="n">
        <v>0</v>
      </c>
      <c r="L2479" t="n">
        <v>0</v>
      </c>
      <c r="M2479" t="n">
        <v>0</v>
      </c>
      <c r="N2479" t="n">
        <v>0</v>
      </c>
      <c r="O2479" t="n">
        <v>0</v>
      </c>
      <c r="P2479" t="n">
        <v>0</v>
      </c>
      <c r="Q2479" t="n">
        <v>0</v>
      </c>
      <c r="R2479" s="2" t="inlineStr"/>
    </row>
    <row r="2480" ht="15" customHeight="1">
      <c r="A2480" t="inlineStr">
        <is>
          <t>A 25584-2023</t>
        </is>
      </c>
      <c r="B2480" s="1" t="n">
        <v>45089</v>
      </c>
      <c r="C2480" s="1" t="n">
        <v>45224</v>
      </c>
      <c r="D2480" t="inlineStr">
        <is>
          <t>STOCKHOLMS LÄN</t>
        </is>
      </c>
      <c r="E2480" t="inlineStr">
        <is>
          <t>HANINGE</t>
        </is>
      </c>
      <c r="G2480" t="n">
        <v>4.8</v>
      </c>
      <c r="H2480" t="n">
        <v>0</v>
      </c>
      <c r="I2480" t="n">
        <v>0</v>
      </c>
      <c r="J2480" t="n">
        <v>0</v>
      </c>
      <c r="K2480" t="n">
        <v>0</v>
      </c>
      <c r="L2480" t="n">
        <v>0</v>
      </c>
      <c r="M2480" t="n">
        <v>0</v>
      </c>
      <c r="N2480" t="n">
        <v>0</v>
      </c>
      <c r="O2480" t="n">
        <v>0</v>
      </c>
      <c r="P2480" t="n">
        <v>0</v>
      </c>
      <c r="Q2480" t="n">
        <v>0</v>
      </c>
      <c r="R2480" s="2" t="inlineStr"/>
    </row>
    <row r="2481" ht="15" customHeight="1">
      <c r="A2481" t="inlineStr">
        <is>
          <t>A 25614-2023</t>
        </is>
      </c>
      <c r="B2481" s="1" t="n">
        <v>45089</v>
      </c>
      <c r="C2481" s="1" t="n">
        <v>45224</v>
      </c>
      <c r="D2481" t="inlineStr">
        <is>
          <t>STOCKHOLMS LÄN</t>
        </is>
      </c>
      <c r="E2481" t="inlineStr">
        <is>
          <t>NORRTÄLJE</t>
        </is>
      </c>
      <c r="G2481" t="n">
        <v>2.5</v>
      </c>
      <c r="H2481" t="n">
        <v>0</v>
      </c>
      <c r="I2481" t="n">
        <v>0</v>
      </c>
      <c r="J2481" t="n">
        <v>0</v>
      </c>
      <c r="K2481" t="n">
        <v>0</v>
      </c>
      <c r="L2481" t="n">
        <v>0</v>
      </c>
      <c r="M2481" t="n">
        <v>0</v>
      </c>
      <c r="N2481" t="n">
        <v>0</v>
      </c>
      <c r="O2481" t="n">
        <v>0</v>
      </c>
      <c r="P2481" t="n">
        <v>0</v>
      </c>
      <c r="Q2481" t="n">
        <v>0</v>
      </c>
      <c r="R2481" s="2" t="inlineStr"/>
    </row>
    <row r="2482" ht="15" customHeight="1">
      <c r="A2482" t="inlineStr">
        <is>
          <t>A 25831-2023</t>
        </is>
      </c>
      <c r="B2482" s="1" t="n">
        <v>45090</v>
      </c>
      <c r="C2482" s="1" t="n">
        <v>45224</v>
      </c>
      <c r="D2482" t="inlineStr">
        <is>
          <t>STOCKHOLMS LÄN</t>
        </is>
      </c>
      <c r="E2482" t="inlineStr">
        <is>
          <t>NORRTÄLJE</t>
        </is>
      </c>
      <c r="F2482" t="inlineStr">
        <is>
          <t>Övriga Aktiebolag</t>
        </is>
      </c>
      <c r="G2482" t="n">
        <v>2.6</v>
      </c>
      <c r="H2482" t="n">
        <v>0</v>
      </c>
      <c r="I2482" t="n">
        <v>0</v>
      </c>
      <c r="J2482" t="n">
        <v>0</v>
      </c>
      <c r="K2482" t="n">
        <v>0</v>
      </c>
      <c r="L2482" t="n">
        <v>0</v>
      </c>
      <c r="M2482" t="n">
        <v>0</v>
      </c>
      <c r="N2482" t="n">
        <v>0</v>
      </c>
      <c r="O2482" t="n">
        <v>0</v>
      </c>
      <c r="P2482" t="n">
        <v>0</v>
      </c>
      <c r="Q2482" t="n">
        <v>0</v>
      </c>
      <c r="R2482" s="2" t="inlineStr"/>
    </row>
    <row r="2483" ht="15" customHeight="1">
      <c r="A2483" t="inlineStr">
        <is>
          <t>A 25915-2023</t>
        </is>
      </c>
      <c r="B2483" s="1" t="n">
        <v>45090</v>
      </c>
      <c r="C2483" s="1" t="n">
        <v>45224</v>
      </c>
      <c r="D2483" t="inlineStr">
        <is>
          <t>STOCKHOLMS LÄN</t>
        </is>
      </c>
      <c r="E2483" t="inlineStr">
        <is>
          <t>NORRTÄLJE</t>
        </is>
      </c>
      <c r="F2483" t="inlineStr">
        <is>
          <t>Naturvårdsverket</t>
        </is>
      </c>
      <c r="G2483" t="n">
        <v>2.3</v>
      </c>
      <c r="H2483" t="n">
        <v>0</v>
      </c>
      <c r="I2483" t="n">
        <v>0</v>
      </c>
      <c r="J2483" t="n">
        <v>0</v>
      </c>
      <c r="K2483" t="n">
        <v>0</v>
      </c>
      <c r="L2483" t="n">
        <v>0</v>
      </c>
      <c r="M2483" t="n">
        <v>0</v>
      </c>
      <c r="N2483" t="n">
        <v>0</v>
      </c>
      <c r="O2483" t="n">
        <v>0</v>
      </c>
      <c r="P2483" t="n">
        <v>0</v>
      </c>
      <c r="Q2483" t="n">
        <v>0</v>
      </c>
      <c r="R2483" s="2" t="inlineStr"/>
    </row>
    <row r="2484" ht="15" customHeight="1">
      <c r="A2484" t="inlineStr">
        <is>
          <t>A 25706-2023</t>
        </is>
      </c>
      <c r="B2484" s="1" t="n">
        <v>45090</v>
      </c>
      <c r="C2484" s="1" t="n">
        <v>45224</v>
      </c>
      <c r="D2484" t="inlineStr">
        <is>
          <t>STOCKHOLMS LÄN</t>
        </is>
      </c>
      <c r="E2484" t="inlineStr">
        <is>
          <t>SÖDERTÄLJE</t>
        </is>
      </c>
      <c r="G2484" t="n">
        <v>0.6</v>
      </c>
      <c r="H2484" t="n">
        <v>0</v>
      </c>
      <c r="I2484" t="n">
        <v>0</v>
      </c>
      <c r="J2484" t="n">
        <v>0</v>
      </c>
      <c r="K2484" t="n">
        <v>0</v>
      </c>
      <c r="L2484" t="n">
        <v>0</v>
      </c>
      <c r="M2484" t="n">
        <v>0</v>
      </c>
      <c r="N2484" t="n">
        <v>0</v>
      </c>
      <c r="O2484" t="n">
        <v>0</v>
      </c>
      <c r="P2484" t="n">
        <v>0</v>
      </c>
      <c r="Q2484" t="n">
        <v>0</v>
      </c>
      <c r="R2484" s="2" t="inlineStr"/>
    </row>
    <row r="2485" ht="15" customHeight="1">
      <c r="A2485" t="inlineStr">
        <is>
          <t>A 26570-2023</t>
        </is>
      </c>
      <c r="B2485" s="1" t="n">
        <v>45092</v>
      </c>
      <c r="C2485" s="1" t="n">
        <v>45224</v>
      </c>
      <c r="D2485" t="inlineStr">
        <is>
          <t>STOCKHOLMS LÄN</t>
        </is>
      </c>
      <c r="E2485" t="inlineStr">
        <is>
          <t>NORRTÄLJE</t>
        </is>
      </c>
      <c r="G2485" t="n">
        <v>3.4</v>
      </c>
      <c r="H2485" t="n">
        <v>0</v>
      </c>
      <c r="I2485" t="n">
        <v>0</v>
      </c>
      <c r="J2485" t="n">
        <v>0</v>
      </c>
      <c r="K2485" t="n">
        <v>0</v>
      </c>
      <c r="L2485" t="n">
        <v>0</v>
      </c>
      <c r="M2485" t="n">
        <v>0</v>
      </c>
      <c r="N2485" t="n">
        <v>0</v>
      </c>
      <c r="O2485" t="n">
        <v>0</v>
      </c>
      <c r="P2485" t="n">
        <v>0</v>
      </c>
      <c r="Q2485" t="n">
        <v>0</v>
      </c>
      <c r="R2485" s="2" t="inlineStr"/>
    </row>
    <row r="2486" ht="15" customHeight="1">
      <c r="A2486" t="inlineStr">
        <is>
          <t>A 26636-2023</t>
        </is>
      </c>
      <c r="B2486" s="1" t="n">
        <v>45092</v>
      </c>
      <c r="C2486" s="1" t="n">
        <v>45224</v>
      </c>
      <c r="D2486" t="inlineStr">
        <is>
          <t>STOCKHOLMS LÄN</t>
        </is>
      </c>
      <c r="E2486" t="inlineStr">
        <is>
          <t>NORRTÄLJE</t>
        </is>
      </c>
      <c r="G2486" t="n">
        <v>1.7</v>
      </c>
      <c r="H2486" t="n">
        <v>0</v>
      </c>
      <c r="I2486" t="n">
        <v>0</v>
      </c>
      <c r="J2486" t="n">
        <v>0</v>
      </c>
      <c r="K2486" t="n">
        <v>0</v>
      </c>
      <c r="L2486" t="n">
        <v>0</v>
      </c>
      <c r="M2486" t="n">
        <v>0</v>
      </c>
      <c r="N2486" t="n">
        <v>0</v>
      </c>
      <c r="O2486" t="n">
        <v>0</v>
      </c>
      <c r="P2486" t="n">
        <v>0</v>
      </c>
      <c r="Q2486" t="n">
        <v>0</v>
      </c>
      <c r="R2486" s="2" t="inlineStr"/>
    </row>
    <row r="2487" ht="15" customHeight="1">
      <c r="A2487" t="inlineStr">
        <is>
          <t>A 26640-2023</t>
        </is>
      </c>
      <c r="B2487" s="1" t="n">
        <v>45092</v>
      </c>
      <c r="C2487" s="1" t="n">
        <v>45224</v>
      </c>
      <c r="D2487" t="inlineStr">
        <is>
          <t>STOCKHOLMS LÄN</t>
        </is>
      </c>
      <c r="E2487" t="inlineStr">
        <is>
          <t>NORRTÄLJE</t>
        </is>
      </c>
      <c r="G2487" t="n">
        <v>5.7</v>
      </c>
      <c r="H2487" t="n">
        <v>0</v>
      </c>
      <c r="I2487" t="n">
        <v>0</v>
      </c>
      <c r="J2487" t="n">
        <v>0</v>
      </c>
      <c r="K2487" t="n">
        <v>0</v>
      </c>
      <c r="L2487" t="n">
        <v>0</v>
      </c>
      <c r="M2487" t="n">
        <v>0</v>
      </c>
      <c r="N2487" t="n">
        <v>0</v>
      </c>
      <c r="O2487" t="n">
        <v>0</v>
      </c>
      <c r="P2487" t="n">
        <v>0</v>
      </c>
      <c r="Q2487" t="n">
        <v>0</v>
      </c>
      <c r="R2487" s="2" t="inlineStr"/>
    </row>
    <row r="2488" ht="15" customHeight="1">
      <c r="A2488" t="inlineStr">
        <is>
          <t>A 26599-2023</t>
        </is>
      </c>
      <c r="B2488" s="1" t="n">
        <v>45092</v>
      </c>
      <c r="C2488" s="1" t="n">
        <v>45224</v>
      </c>
      <c r="D2488" t="inlineStr">
        <is>
          <t>STOCKHOLMS LÄN</t>
        </is>
      </c>
      <c r="E2488" t="inlineStr">
        <is>
          <t>SIGTUNA</t>
        </is>
      </c>
      <c r="G2488" t="n">
        <v>0.7</v>
      </c>
      <c r="H2488" t="n">
        <v>0</v>
      </c>
      <c r="I2488" t="n">
        <v>0</v>
      </c>
      <c r="J2488" t="n">
        <v>0</v>
      </c>
      <c r="K2488" t="n">
        <v>0</v>
      </c>
      <c r="L2488" t="n">
        <v>0</v>
      </c>
      <c r="M2488" t="n">
        <v>0</v>
      </c>
      <c r="N2488" t="n">
        <v>0</v>
      </c>
      <c r="O2488" t="n">
        <v>0</v>
      </c>
      <c r="P2488" t="n">
        <v>0</v>
      </c>
      <c r="Q2488" t="n">
        <v>0</v>
      </c>
      <c r="R2488" s="2" t="inlineStr"/>
    </row>
    <row r="2489" ht="15" customHeight="1">
      <c r="A2489" t="inlineStr">
        <is>
          <t>A 26639-2023</t>
        </is>
      </c>
      <c r="B2489" s="1" t="n">
        <v>45092</v>
      </c>
      <c r="C2489" s="1" t="n">
        <v>45224</v>
      </c>
      <c r="D2489" t="inlineStr">
        <is>
          <t>STOCKHOLMS LÄN</t>
        </is>
      </c>
      <c r="E2489" t="inlineStr">
        <is>
          <t>NORRTÄLJE</t>
        </is>
      </c>
      <c r="G2489" t="n">
        <v>3.4</v>
      </c>
      <c r="H2489" t="n">
        <v>0</v>
      </c>
      <c r="I2489" t="n">
        <v>0</v>
      </c>
      <c r="J2489" t="n">
        <v>0</v>
      </c>
      <c r="K2489" t="n">
        <v>0</v>
      </c>
      <c r="L2489" t="n">
        <v>0</v>
      </c>
      <c r="M2489" t="n">
        <v>0</v>
      </c>
      <c r="N2489" t="n">
        <v>0</v>
      </c>
      <c r="O2489" t="n">
        <v>0</v>
      </c>
      <c r="P2489" t="n">
        <v>0</v>
      </c>
      <c r="Q2489" t="n">
        <v>0</v>
      </c>
      <c r="R2489" s="2" t="inlineStr"/>
    </row>
    <row r="2490" ht="15" customHeight="1">
      <c r="A2490" t="inlineStr">
        <is>
          <t>A 26637-2023</t>
        </is>
      </c>
      <c r="B2490" s="1" t="n">
        <v>45092</v>
      </c>
      <c r="C2490" s="1" t="n">
        <v>45224</v>
      </c>
      <c r="D2490" t="inlineStr">
        <is>
          <t>STOCKHOLMS LÄN</t>
        </is>
      </c>
      <c r="E2490" t="inlineStr">
        <is>
          <t>NORRTÄLJE</t>
        </is>
      </c>
      <c r="G2490" t="n">
        <v>1.3</v>
      </c>
      <c r="H2490" t="n">
        <v>0</v>
      </c>
      <c r="I2490" t="n">
        <v>0</v>
      </c>
      <c r="J2490" t="n">
        <v>0</v>
      </c>
      <c r="K2490" t="n">
        <v>0</v>
      </c>
      <c r="L2490" t="n">
        <v>0</v>
      </c>
      <c r="M2490" t="n">
        <v>0</v>
      </c>
      <c r="N2490" t="n">
        <v>0</v>
      </c>
      <c r="O2490" t="n">
        <v>0</v>
      </c>
      <c r="P2490" t="n">
        <v>0</v>
      </c>
      <c r="Q2490" t="n">
        <v>0</v>
      </c>
      <c r="R2490" s="2" t="inlineStr"/>
    </row>
    <row r="2491" ht="15" customHeight="1">
      <c r="A2491" t="inlineStr">
        <is>
          <t>A 27299-2023</t>
        </is>
      </c>
      <c r="B2491" s="1" t="n">
        <v>45096</v>
      </c>
      <c r="C2491" s="1" t="n">
        <v>45224</v>
      </c>
      <c r="D2491" t="inlineStr">
        <is>
          <t>STOCKHOLMS LÄN</t>
        </is>
      </c>
      <c r="E2491" t="inlineStr">
        <is>
          <t>UPPLANDS-BRO</t>
        </is>
      </c>
      <c r="G2491" t="n">
        <v>3.6</v>
      </c>
      <c r="H2491" t="n">
        <v>0</v>
      </c>
      <c r="I2491" t="n">
        <v>0</v>
      </c>
      <c r="J2491" t="n">
        <v>0</v>
      </c>
      <c r="K2491" t="n">
        <v>0</v>
      </c>
      <c r="L2491" t="n">
        <v>0</v>
      </c>
      <c r="M2491" t="n">
        <v>0</v>
      </c>
      <c r="N2491" t="n">
        <v>0</v>
      </c>
      <c r="O2491" t="n">
        <v>0</v>
      </c>
      <c r="P2491" t="n">
        <v>0</v>
      </c>
      <c r="Q2491" t="n">
        <v>0</v>
      </c>
      <c r="R2491" s="2" t="inlineStr"/>
    </row>
    <row r="2492" ht="15" customHeight="1">
      <c r="A2492" t="inlineStr">
        <is>
          <t>A 27313-2023</t>
        </is>
      </c>
      <c r="B2492" s="1" t="n">
        <v>45096</v>
      </c>
      <c r="C2492" s="1" t="n">
        <v>45224</v>
      </c>
      <c r="D2492" t="inlineStr">
        <is>
          <t>STOCKHOLMS LÄN</t>
        </is>
      </c>
      <c r="E2492" t="inlineStr">
        <is>
          <t>UPPLANDS-BRO</t>
        </is>
      </c>
      <c r="G2492" t="n">
        <v>1.8</v>
      </c>
      <c r="H2492" t="n">
        <v>0</v>
      </c>
      <c r="I2492" t="n">
        <v>0</v>
      </c>
      <c r="J2492" t="n">
        <v>0</v>
      </c>
      <c r="K2492" t="n">
        <v>0</v>
      </c>
      <c r="L2492" t="n">
        <v>0</v>
      </c>
      <c r="M2492" t="n">
        <v>0</v>
      </c>
      <c r="N2492" t="n">
        <v>0</v>
      </c>
      <c r="O2492" t="n">
        <v>0</v>
      </c>
      <c r="P2492" t="n">
        <v>0</v>
      </c>
      <c r="Q2492" t="n">
        <v>0</v>
      </c>
      <c r="R2492" s="2" t="inlineStr"/>
    </row>
    <row r="2493" ht="15" customHeight="1">
      <c r="A2493" t="inlineStr">
        <is>
          <t>A 27318-2023</t>
        </is>
      </c>
      <c r="B2493" s="1" t="n">
        <v>45096</v>
      </c>
      <c r="C2493" s="1" t="n">
        <v>45224</v>
      </c>
      <c r="D2493" t="inlineStr">
        <is>
          <t>STOCKHOLMS LÄN</t>
        </is>
      </c>
      <c r="E2493" t="inlineStr">
        <is>
          <t>UPPLANDS-BRO</t>
        </is>
      </c>
      <c r="G2493" t="n">
        <v>3.3</v>
      </c>
      <c r="H2493" t="n">
        <v>0</v>
      </c>
      <c r="I2493" t="n">
        <v>0</v>
      </c>
      <c r="J2493" t="n">
        <v>0</v>
      </c>
      <c r="K2493" t="n">
        <v>0</v>
      </c>
      <c r="L2493" t="n">
        <v>0</v>
      </c>
      <c r="M2493" t="n">
        <v>0</v>
      </c>
      <c r="N2493" t="n">
        <v>0</v>
      </c>
      <c r="O2493" t="n">
        <v>0</v>
      </c>
      <c r="P2493" t="n">
        <v>0</v>
      </c>
      <c r="Q2493" t="n">
        <v>0</v>
      </c>
      <c r="R2493" s="2" t="inlineStr"/>
    </row>
    <row r="2494" ht="15" customHeight="1">
      <c r="A2494" t="inlineStr">
        <is>
          <t>A 27748-2023</t>
        </is>
      </c>
      <c r="B2494" s="1" t="n">
        <v>45098</v>
      </c>
      <c r="C2494" s="1" t="n">
        <v>45224</v>
      </c>
      <c r="D2494" t="inlineStr">
        <is>
          <t>STOCKHOLMS LÄN</t>
        </is>
      </c>
      <c r="E2494" t="inlineStr">
        <is>
          <t>NYNÄSHAMN</t>
        </is>
      </c>
      <c r="G2494" t="n">
        <v>1.2</v>
      </c>
      <c r="H2494" t="n">
        <v>0</v>
      </c>
      <c r="I2494" t="n">
        <v>0</v>
      </c>
      <c r="J2494" t="n">
        <v>0</v>
      </c>
      <c r="K2494" t="n">
        <v>0</v>
      </c>
      <c r="L2494" t="n">
        <v>0</v>
      </c>
      <c r="M2494" t="n">
        <v>0</v>
      </c>
      <c r="N2494" t="n">
        <v>0</v>
      </c>
      <c r="O2494" t="n">
        <v>0</v>
      </c>
      <c r="P2494" t="n">
        <v>0</v>
      </c>
      <c r="Q2494" t="n">
        <v>0</v>
      </c>
      <c r="R2494" s="2" t="inlineStr"/>
    </row>
    <row r="2495" ht="15" customHeight="1">
      <c r="A2495" t="inlineStr">
        <is>
          <t>A 28290-2023</t>
        </is>
      </c>
      <c r="B2495" s="1" t="n">
        <v>45099</v>
      </c>
      <c r="C2495" s="1" t="n">
        <v>45224</v>
      </c>
      <c r="D2495" t="inlineStr">
        <is>
          <t>STOCKHOLMS LÄN</t>
        </is>
      </c>
      <c r="E2495" t="inlineStr">
        <is>
          <t>SÖDERTÄLJE</t>
        </is>
      </c>
      <c r="G2495" t="n">
        <v>4.7</v>
      </c>
      <c r="H2495" t="n">
        <v>0</v>
      </c>
      <c r="I2495" t="n">
        <v>0</v>
      </c>
      <c r="J2495" t="n">
        <v>0</v>
      </c>
      <c r="K2495" t="n">
        <v>0</v>
      </c>
      <c r="L2495" t="n">
        <v>0</v>
      </c>
      <c r="M2495" t="n">
        <v>0</v>
      </c>
      <c r="N2495" t="n">
        <v>0</v>
      </c>
      <c r="O2495" t="n">
        <v>0</v>
      </c>
      <c r="P2495" t="n">
        <v>0</v>
      </c>
      <c r="Q2495" t="n">
        <v>0</v>
      </c>
      <c r="R2495" s="2" t="inlineStr"/>
    </row>
    <row r="2496" ht="15" customHeight="1">
      <c r="A2496" t="inlineStr">
        <is>
          <t>A 28281-2023</t>
        </is>
      </c>
      <c r="B2496" s="1" t="n">
        <v>45099</v>
      </c>
      <c r="C2496" s="1" t="n">
        <v>45224</v>
      </c>
      <c r="D2496" t="inlineStr">
        <is>
          <t>STOCKHOLMS LÄN</t>
        </is>
      </c>
      <c r="E2496" t="inlineStr">
        <is>
          <t>NORRTÄLJE</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28554-2023</t>
        </is>
      </c>
      <c r="B2497" s="1" t="n">
        <v>45103</v>
      </c>
      <c r="C2497" s="1" t="n">
        <v>45224</v>
      </c>
      <c r="D2497" t="inlineStr">
        <is>
          <t>STOCKHOLMS LÄN</t>
        </is>
      </c>
      <c r="E2497" t="inlineStr">
        <is>
          <t>SÖDERTÄLJE</t>
        </is>
      </c>
      <c r="G2497" t="n">
        <v>4.5</v>
      </c>
      <c r="H2497" t="n">
        <v>0</v>
      </c>
      <c r="I2497" t="n">
        <v>0</v>
      </c>
      <c r="J2497" t="n">
        <v>0</v>
      </c>
      <c r="K2497" t="n">
        <v>0</v>
      </c>
      <c r="L2497" t="n">
        <v>0</v>
      </c>
      <c r="M2497" t="n">
        <v>0</v>
      </c>
      <c r="N2497" t="n">
        <v>0</v>
      </c>
      <c r="O2497" t="n">
        <v>0</v>
      </c>
      <c r="P2497" t="n">
        <v>0</v>
      </c>
      <c r="Q2497" t="n">
        <v>0</v>
      </c>
      <c r="R2497" s="2" t="inlineStr"/>
    </row>
    <row r="2498" ht="15" customHeight="1">
      <c r="A2498" t="inlineStr">
        <is>
          <t>A 28700-2023</t>
        </is>
      </c>
      <c r="B2498" s="1" t="n">
        <v>45103</v>
      </c>
      <c r="C2498" s="1" t="n">
        <v>45224</v>
      </c>
      <c r="D2498" t="inlineStr">
        <is>
          <t>STOCKHOLMS LÄN</t>
        </is>
      </c>
      <c r="E2498" t="inlineStr">
        <is>
          <t>SÖDERTÄLJE</t>
        </is>
      </c>
      <c r="G2498" t="n">
        <v>1.8</v>
      </c>
      <c r="H2498" t="n">
        <v>0</v>
      </c>
      <c r="I2498" t="n">
        <v>0</v>
      </c>
      <c r="J2498" t="n">
        <v>0</v>
      </c>
      <c r="K2498" t="n">
        <v>0</v>
      </c>
      <c r="L2498" t="n">
        <v>0</v>
      </c>
      <c r="M2498" t="n">
        <v>0</v>
      </c>
      <c r="N2498" t="n">
        <v>0</v>
      </c>
      <c r="O2498" t="n">
        <v>0</v>
      </c>
      <c r="P2498" t="n">
        <v>0</v>
      </c>
      <c r="Q2498" t="n">
        <v>0</v>
      </c>
      <c r="R2498" s="2" t="inlineStr"/>
    </row>
    <row r="2499" ht="15" customHeight="1">
      <c r="A2499" t="inlineStr">
        <is>
          <t>A 28609-2023</t>
        </is>
      </c>
      <c r="B2499" s="1" t="n">
        <v>45103</v>
      </c>
      <c r="C2499" s="1" t="n">
        <v>45224</v>
      </c>
      <c r="D2499" t="inlineStr">
        <is>
          <t>STOCKHOLMS LÄN</t>
        </is>
      </c>
      <c r="E2499" t="inlineStr">
        <is>
          <t>SÖDERTÄLJE</t>
        </is>
      </c>
      <c r="G2499" t="n">
        <v>2.7</v>
      </c>
      <c r="H2499" t="n">
        <v>0</v>
      </c>
      <c r="I2499" t="n">
        <v>0</v>
      </c>
      <c r="J2499" t="n">
        <v>0</v>
      </c>
      <c r="K2499" t="n">
        <v>0</v>
      </c>
      <c r="L2499" t="n">
        <v>0</v>
      </c>
      <c r="M2499" t="n">
        <v>0</v>
      </c>
      <c r="N2499" t="n">
        <v>0</v>
      </c>
      <c r="O2499" t="n">
        <v>0</v>
      </c>
      <c r="P2499" t="n">
        <v>0</v>
      </c>
      <c r="Q2499" t="n">
        <v>0</v>
      </c>
      <c r="R2499" s="2" t="inlineStr"/>
    </row>
    <row r="2500" ht="15" customHeight="1">
      <c r="A2500" t="inlineStr">
        <is>
          <t>A 28502-2023</t>
        </is>
      </c>
      <c r="B2500" s="1" t="n">
        <v>45103</v>
      </c>
      <c r="C2500" s="1" t="n">
        <v>45224</v>
      </c>
      <c r="D2500" t="inlineStr">
        <is>
          <t>STOCKHOLMS LÄN</t>
        </is>
      </c>
      <c r="E2500" t="inlineStr">
        <is>
          <t>SÖDERTÄLJE</t>
        </is>
      </c>
      <c r="G2500" t="n">
        <v>1.3</v>
      </c>
      <c r="H2500" t="n">
        <v>0</v>
      </c>
      <c r="I2500" t="n">
        <v>0</v>
      </c>
      <c r="J2500" t="n">
        <v>0</v>
      </c>
      <c r="K2500" t="n">
        <v>0</v>
      </c>
      <c r="L2500" t="n">
        <v>0</v>
      </c>
      <c r="M2500" t="n">
        <v>0</v>
      </c>
      <c r="N2500" t="n">
        <v>0</v>
      </c>
      <c r="O2500" t="n">
        <v>0</v>
      </c>
      <c r="P2500" t="n">
        <v>0</v>
      </c>
      <c r="Q2500" t="n">
        <v>0</v>
      </c>
      <c r="R2500" s="2" t="inlineStr"/>
    </row>
    <row r="2501" ht="15" customHeight="1">
      <c r="A2501" t="inlineStr">
        <is>
          <t>A 28695-2023</t>
        </is>
      </c>
      <c r="B2501" s="1" t="n">
        <v>45103</v>
      </c>
      <c r="C2501" s="1" t="n">
        <v>45224</v>
      </c>
      <c r="D2501" t="inlineStr">
        <is>
          <t>STOCKHOLMS LÄN</t>
        </is>
      </c>
      <c r="E2501" t="inlineStr">
        <is>
          <t>SÖDERTÄLJE</t>
        </is>
      </c>
      <c r="G2501" t="n">
        <v>3.1</v>
      </c>
      <c r="H2501" t="n">
        <v>0</v>
      </c>
      <c r="I2501" t="n">
        <v>0</v>
      </c>
      <c r="J2501" t="n">
        <v>0</v>
      </c>
      <c r="K2501" t="n">
        <v>0</v>
      </c>
      <c r="L2501" t="n">
        <v>0</v>
      </c>
      <c r="M2501" t="n">
        <v>0</v>
      </c>
      <c r="N2501" t="n">
        <v>0</v>
      </c>
      <c r="O2501" t="n">
        <v>0</v>
      </c>
      <c r="P2501" t="n">
        <v>0</v>
      </c>
      <c r="Q2501" t="n">
        <v>0</v>
      </c>
      <c r="R2501" s="2" t="inlineStr"/>
    </row>
    <row r="2502" ht="15" customHeight="1">
      <c r="A2502" t="inlineStr">
        <is>
          <t>A 28516-2023</t>
        </is>
      </c>
      <c r="B2502" s="1" t="n">
        <v>45103</v>
      </c>
      <c r="C2502" s="1" t="n">
        <v>45224</v>
      </c>
      <c r="D2502" t="inlineStr">
        <is>
          <t>STOCKHOLMS LÄN</t>
        </is>
      </c>
      <c r="E2502" t="inlineStr">
        <is>
          <t>SÖDERTÄLJE</t>
        </is>
      </c>
      <c r="G2502" t="n">
        <v>3.5</v>
      </c>
      <c r="H2502" t="n">
        <v>0</v>
      </c>
      <c r="I2502" t="n">
        <v>0</v>
      </c>
      <c r="J2502" t="n">
        <v>0</v>
      </c>
      <c r="K2502" t="n">
        <v>0</v>
      </c>
      <c r="L2502" t="n">
        <v>0</v>
      </c>
      <c r="M2502" t="n">
        <v>0</v>
      </c>
      <c r="N2502" t="n">
        <v>0</v>
      </c>
      <c r="O2502" t="n">
        <v>0</v>
      </c>
      <c r="P2502" t="n">
        <v>0</v>
      </c>
      <c r="Q2502" t="n">
        <v>0</v>
      </c>
      <c r="R2502" s="2" t="inlineStr"/>
    </row>
    <row r="2503" ht="15" customHeight="1">
      <c r="A2503" t="inlineStr">
        <is>
          <t>A 28566-2023</t>
        </is>
      </c>
      <c r="B2503" s="1" t="n">
        <v>45103</v>
      </c>
      <c r="C2503" s="1" t="n">
        <v>45224</v>
      </c>
      <c r="D2503" t="inlineStr">
        <is>
          <t>STOCKHOLMS LÄN</t>
        </is>
      </c>
      <c r="E2503" t="inlineStr">
        <is>
          <t>SÖDERTÄLJE</t>
        </is>
      </c>
      <c r="G2503" t="n">
        <v>1.8</v>
      </c>
      <c r="H2503" t="n">
        <v>0</v>
      </c>
      <c r="I2503" t="n">
        <v>0</v>
      </c>
      <c r="J2503" t="n">
        <v>0</v>
      </c>
      <c r="K2503" t="n">
        <v>0</v>
      </c>
      <c r="L2503" t="n">
        <v>0</v>
      </c>
      <c r="M2503" t="n">
        <v>0</v>
      </c>
      <c r="N2503" t="n">
        <v>0</v>
      </c>
      <c r="O2503" t="n">
        <v>0</v>
      </c>
      <c r="P2503" t="n">
        <v>0</v>
      </c>
      <c r="Q2503" t="n">
        <v>0</v>
      </c>
      <c r="R2503" s="2" t="inlineStr"/>
    </row>
    <row r="2504" ht="15" customHeight="1">
      <c r="A2504" t="inlineStr">
        <is>
          <t>A 28698-2023</t>
        </is>
      </c>
      <c r="B2504" s="1" t="n">
        <v>45103</v>
      </c>
      <c r="C2504" s="1" t="n">
        <v>45224</v>
      </c>
      <c r="D2504" t="inlineStr">
        <is>
          <t>STOCKHOLMS LÄN</t>
        </is>
      </c>
      <c r="E2504" t="inlineStr">
        <is>
          <t>SÖDERTÄLJE</t>
        </is>
      </c>
      <c r="G2504" t="n">
        <v>1.8</v>
      </c>
      <c r="H2504" t="n">
        <v>0</v>
      </c>
      <c r="I2504" t="n">
        <v>0</v>
      </c>
      <c r="J2504" t="n">
        <v>0</v>
      </c>
      <c r="K2504" t="n">
        <v>0</v>
      </c>
      <c r="L2504" t="n">
        <v>0</v>
      </c>
      <c r="M2504" t="n">
        <v>0</v>
      </c>
      <c r="N2504" t="n">
        <v>0</v>
      </c>
      <c r="O2504" t="n">
        <v>0</v>
      </c>
      <c r="P2504" t="n">
        <v>0</v>
      </c>
      <c r="Q2504" t="n">
        <v>0</v>
      </c>
      <c r="R2504" s="2" t="inlineStr"/>
    </row>
    <row r="2505" ht="15" customHeight="1">
      <c r="A2505" t="inlineStr">
        <is>
          <t>A 28816-2023</t>
        </is>
      </c>
      <c r="B2505" s="1" t="n">
        <v>45104</v>
      </c>
      <c r="C2505" s="1" t="n">
        <v>45224</v>
      </c>
      <c r="D2505" t="inlineStr">
        <is>
          <t>STOCKHOLMS LÄN</t>
        </is>
      </c>
      <c r="E2505" t="inlineStr">
        <is>
          <t>NORRTÄLJE</t>
        </is>
      </c>
      <c r="F2505" t="inlineStr">
        <is>
          <t>Kommuner</t>
        </is>
      </c>
      <c r="G2505" t="n">
        <v>0.5</v>
      </c>
      <c r="H2505" t="n">
        <v>0</v>
      </c>
      <c r="I2505" t="n">
        <v>0</v>
      </c>
      <c r="J2505" t="n">
        <v>0</v>
      </c>
      <c r="K2505" t="n">
        <v>0</v>
      </c>
      <c r="L2505" t="n">
        <v>0</v>
      </c>
      <c r="M2505" t="n">
        <v>0</v>
      </c>
      <c r="N2505" t="n">
        <v>0</v>
      </c>
      <c r="O2505" t="n">
        <v>0</v>
      </c>
      <c r="P2505" t="n">
        <v>0</v>
      </c>
      <c r="Q2505" t="n">
        <v>0</v>
      </c>
      <c r="R2505" s="2" t="inlineStr"/>
    </row>
    <row r="2506" ht="15" customHeight="1">
      <c r="A2506" t="inlineStr">
        <is>
          <t>A 29003-2023</t>
        </is>
      </c>
      <c r="B2506" s="1" t="n">
        <v>45104</v>
      </c>
      <c r="C2506" s="1" t="n">
        <v>45224</v>
      </c>
      <c r="D2506" t="inlineStr">
        <is>
          <t>STOCKHOLMS LÄN</t>
        </is>
      </c>
      <c r="E2506" t="inlineStr">
        <is>
          <t>NORRTÄLJE</t>
        </is>
      </c>
      <c r="G2506" t="n">
        <v>1.3</v>
      </c>
      <c r="H2506" t="n">
        <v>0</v>
      </c>
      <c r="I2506" t="n">
        <v>0</v>
      </c>
      <c r="J2506" t="n">
        <v>0</v>
      </c>
      <c r="K2506" t="n">
        <v>0</v>
      </c>
      <c r="L2506" t="n">
        <v>0</v>
      </c>
      <c r="M2506" t="n">
        <v>0</v>
      </c>
      <c r="N2506" t="n">
        <v>0</v>
      </c>
      <c r="O2506" t="n">
        <v>0</v>
      </c>
      <c r="P2506" t="n">
        <v>0</v>
      </c>
      <c r="Q2506" t="n">
        <v>0</v>
      </c>
      <c r="R2506" s="2" t="inlineStr"/>
    </row>
    <row r="2507" ht="15" customHeight="1">
      <c r="A2507" t="inlineStr">
        <is>
          <t>A 28809-2023</t>
        </is>
      </c>
      <c r="B2507" s="1" t="n">
        <v>45104</v>
      </c>
      <c r="C2507" s="1" t="n">
        <v>45224</v>
      </c>
      <c r="D2507" t="inlineStr">
        <is>
          <t>STOCKHOLMS LÄN</t>
        </is>
      </c>
      <c r="E2507" t="inlineStr">
        <is>
          <t>NORRTÄLJE</t>
        </is>
      </c>
      <c r="G2507" t="n">
        <v>1.8</v>
      </c>
      <c r="H2507" t="n">
        <v>0</v>
      </c>
      <c r="I2507" t="n">
        <v>0</v>
      </c>
      <c r="J2507" t="n">
        <v>0</v>
      </c>
      <c r="K2507" t="n">
        <v>0</v>
      </c>
      <c r="L2507" t="n">
        <v>0</v>
      </c>
      <c r="M2507" t="n">
        <v>0</v>
      </c>
      <c r="N2507" t="n">
        <v>0</v>
      </c>
      <c r="O2507" t="n">
        <v>0</v>
      </c>
      <c r="P2507" t="n">
        <v>0</v>
      </c>
      <c r="Q2507" t="n">
        <v>0</v>
      </c>
      <c r="R2507" s="2" t="inlineStr"/>
    </row>
    <row r="2508" ht="15" customHeight="1">
      <c r="A2508" t="inlineStr">
        <is>
          <t>A 28820-2023</t>
        </is>
      </c>
      <c r="B2508" s="1" t="n">
        <v>45104</v>
      </c>
      <c r="C2508" s="1" t="n">
        <v>45224</v>
      </c>
      <c r="D2508" t="inlineStr">
        <is>
          <t>STOCKHOLMS LÄN</t>
        </is>
      </c>
      <c r="E2508" t="inlineStr">
        <is>
          <t>NORRTÄLJE</t>
        </is>
      </c>
      <c r="F2508" t="inlineStr">
        <is>
          <t>Kommuner</t>
        </is>
      </c>
      <c r="G2508" t="n">
        <v>2.1</v>
      </c>
      <c r="H2508" t="n">
        <v>0</v>
      </c>
      <c r="I2508" t="n">
        <v>0</v>
      </c>
      <c r="J2508" t="n">
        <v>0</v>
      </c>
      <c r="K2508" t="n">
        <v>0</v>
      </c>
      <c r="L2508" t="n">
        <v>0</v>
      </c>
      <c r="M2508" t="n">
        <v>0</v>
      </c>
      <c r="N2508" t="n">
        <v>0</v>
      </c>
      <c r="O2508" t="n">
        <v>0</v>
      </c>
      <c r="P2508" t="n">
        <v>0</v>
      </c>
      <c r="Q2508" t="n">
        <v>0</v>
      </c>
      <c r="R2508" s="2" t="inlineStr"/>
    </row>
    <row r="2509" ht="15" customHeight="1">
      <c r="A2509" t="inlineStr">
        <is>
          <t>A 28958-2023</t>
        </is>
      </c>
      <c r="B2509" s="1" t="n">
        <v>45104</v>
      </c>
      <c r="C2509" s="1" t="n">
        <v>45224</v>
      </c>
      <c r="D2509" t="inlineStr">
        <is>
          <t>STOCKHOLMS LÄN</t>
        </is>
      </c>
      <c r="E2509" t="inlineStr">
        <is>
          <t>SÖDERTÄLJE</t>
        </is>
      </c>
      <c r="G2509" t="n">
        <v>2.7</v>
      </c>
      <c r="H2509" t="n">
        <v>0</v>
      </c>
      <c r="I2509" t="n">
        <v>0</v>
      </c>
      <c r="J2509" t="n">
        <v>0</v>
      </c>
      <c r="K2509" t="n">
        <v>0</v>
      </c>
      <c r="L2509" t="n">
        <v>0</v>
      </c>
      <c r="M2509" t="n">
        <v>0</v>
      </c>
      <c r="N2509" t="n">
        <v>0</v>
      </c>
      <c r="O2509" t="n">
        <v>0</v>
      </c>
      <c r="P2509" t="n">
        <v>0</v>
      </c>
      <c r="Q2509" t="n">
        <v>0</v>
      </c>
      <c r="R2509" s="2" t="inlineStr"/>
    </row>
    <row r="2510" ht="15" customHeight="1">
      <c r="A2510" t="inlineStr">
        <is>
          <t>A 28813-2023</t>
        </is>
      </c>
      <c r="B2510" s="1" t="n">
        <v>45104</v>
      </c>
      <c r="C2510" s="1" t="n">
        <v>45224</v>
      </c>
      <c r="D2510" t="inlineStr">
        <is>
          <t>STOCKHOLMS LÄN</t>
        </is>
      </c>
      <c r="E2510" t="inlineStr">
        <is>
          <t>NORRTÄLJE</t>
        </is>
      </c>
      <c r="G2510" t="n">
        <v>0.9</v>
      </c>
      <c r="H2510" t="n">
        <v>0</v>
      </c>
      <c r="I2510" t="n">
        <v>0</v>
      </c>
      <c r="J2510" t="n">
        <v>0</v>
      </c>
      <c r="K2510" t="n">
        <v>0</v>
      </c>
      <c r="L2510" t="n">
        <v>0</v>
      </c>
      <c r="M2510" t="n">
        <v>0</v>
      </c>
      <c r="N2510" t="n">
        <v>0</v>
      </c>
      <c r="O2510" t="n">
        <v>0</v>
      </c>
      <c r="P2510" t="n">
        <v>0</v>
      </c>
      <c r="Q2510" t="n">
        <v>0</v>
      </c>
      <c r="R2510" s="2" t="inlineStr"/>
    </row>
    <row r="2511" ht="15" customHeight="1">
      <c r="A2511" t="inlineStr">
        <is>
          <t>A 29254-2023</t>
        </is>
      </c>
      <c r="B2511" s="1" t="n">
        <v>45105</v>
      </c>
      <c r="C2511" s="1" t="n">
        <v>45224</v>
      </c>
      <c r="D2511" t="inlineStr">
        <is>
          <t>STOCKHOLMS LÄN</t>
        </is>
      </c>
      <c r="E2511" t="inlineStr">
        <is>
          <t>NORRTÄLJE</t>
        </is>
      </c>
      <c r="G2511" t="n">
        <v>5.9</v>
      </c>
      <c r="H2511" t="n">
        <v>0</v>
      </c>
      <c r="I2511" t="n">
        <v>0</v>
      </c>
      <c r="J2511" t="n">
        <v>0</v>
      </c>
      <c r="K2511" t="n">
        <v>0</v>
      </c>
      <c r="L2511" t="n">
        <v>0</v>
      </c>
      <c r="M2511" t="n">
        <v>0</v>
      </c>
      <c r="N2511" t="n">
        <v>0</v>
      </c>
      <c r="O2511" t="n">
        <v>0</v>
      </c>
      <c r="P2511" t="n">
        <v>0</v>
      </c>
      <c r="Q2511" t="n">
        <v>0</v>
      </c>
      <c r="R2511" s="2" t="inlineStr"/>
    </row>
    <row r="2512" ht="15" customHeight="1">
      <c r="A2512" t="inlineStr">
        <is>
          <t>A 29433-2023</t>
        </is>
      </c>
      <c r="B2512" s="1" t="n">
        <v>45106</v>
      </c>
      <c r="C2512" s="1" t="n">
        <v>45224</v>
      </c>
      <c r="D2512" t="inlineStr">
        <is>
          <t>STOCKHOLMS LÄN</t>
        </is>
      </c>
      <c r="E2512" t="inlineStr">
        <is>
          <t>NORRTÄLJE</t>
        </is>
      </c>
      <c r="F2512" t="inlineStr">
        <is>
          <t>Övriga Aktiebolag</t>
        </is>
      </c>
      <c r="G2512" t="n">
        <v>7.8</v>
      </c>
      <c r="H2512" t="n">
        <v>0</v>
      </c>
      <c r="I2512" t="n">
        <v>0</v>
      </c>
      <c r="J2512" t="n">
        <v>0</v>
      </c>
      <c r="K2512" t="n">
        <v>0</v>
      </c>
      <c r="L2512" t="n">
        <v>0</v>
      </c>
      <c r="M2512" t="n">
        <v>0</v>
      </c>
      <c r="N2512" t="n">
        <v>0</v>
      </c>
      <c r="O2512" t="n">
        <v>0</v>
      </c>
      <c r="P2512" t="n">
        <v>0</v>
      </c>
      <c r="Q2512" t="n">
        <v>0</v>
      </c>
      <c r="R2512" s="2" t="inlineStr"/>
    </row>
    <row r="2513" ht="15" customHeight="1">
      <c r="A2513" t="inlineStr">
        <is>
          <t>A 29705-2023</t>
        </is>
      </c>
      <c r="B2513" s="1" t="n">
        <v>45107</v>
      </c>
      <c r="C2513" s="1" t="n">
        <v>45224</v>
      </c>
      <c r="D2513" t="inlineStr">
        <is>
          <t>STOCKHOLMS LÄN</t>
        </is>
      </c>
      <c r="E2513" t="inlineStr">
        <is>
          <t>VALLENTUNA</t>
        </is>
      </c>
      <c r="G2513" t="n">
        <v>6.4</v>
      </c>
      <c r="H2513" t="n">
        <v>0</v>
      </c>
      <c r="I2513" t="n">
        <v>0</v>
      </c>
      <c r="J2513" t="n">
        <v>0</v>
      </c>
      <c r="K2513" t="n">
        <v>0</v>
      </c>
      <c r="L2513" t="n">
        <v>0</v>
      </c>
      <c r="M2513" t="n">
        <v>0</v>
      </c>
      <c r="N2513" t="n">
        <v>0</v>
      </c>
      <c r="O2513" t="n">
        <v>0</v>
      </c>
      <c r="P2513" t="n">
        <v>0</v>
      </c>
      <c r="Q2513" t="n">
        <v>0</v>
      </c>
      <c r="R2513" s="2" t="inlineStr"/>
    </row>
    <row r="2514" ht="15" customHeight="1">
      <c r="A2514" t="inlineStr">
        <is>
          <t>A 29704-2023</t>
        </is>
      </c>
      <c r="B2514" s="1" t="n">
        <v>45107</v>
      </c>
      <c r="C2514" s="1" t="n">
        <v>45224</v>
      </c>
      <c r="D2514" t="inlineStr">
        <is>
          <t>STOCKHOLMS LÄN</t>
        </is>
      </c>
      <c r="E2514" t="inlineStr">
        <is>
          <t>VALLENTUNA</t>
        </is>
      </c>
      <c r="G2514" t="n">
        <v>3.7</v>
      </c>
      <c r="H2514" t="n">
        <v>0</v>
      </c>
      <c r="I2514" t="n">
        <v>0</v>
      </c>
      <c r="J2514" t="n">
        <v>0</v>
      </c>
      <c r="K2514" t="n">
        <v>0</v>
      </c>
      <c r="L2514" t="n">
        <v>0</v>
      </c>
      <c r="M2514" t="n">
        <v>0</v>
      </c>
      <c r="N2514" t="n">
        <v>0</v>
      </c>
      <c r="O2514" t="n">
        <v>0</v>
      </c>
      <c r="P2514" t="n">
        <v>0</v>
      </c>
      <c r="Q2514" t="n">
        <v>0</v>
      </c>
      <c r="R2514" s="2" t="inlineStr"/>
    </row>
    <row r="2515" ht="15" customHeight="1">
      <c r="A2515" t="inlineStr">
        <is>
          <t>A 29710-2023</t>
        </is>
      </c>
      <c r="B2515" s="1" t="n">
        <v>45107</v>
      </c>
      <c r="C2515" s="1" t="n">
        <v>45224</v>
      </c>
      <c r="D2515" t="inlineStr">
        <is>
          <t>STOCKHOLMS LÄN</t>
        </is>
      </c>
      <c r="E2515" t="inlineStr">
        <is>
          <t>NORRTÄLJE</t>
        </is>
      </c>
      <c r="G2515" t="n">
        <v>1.2</v>
      </c>
      <c r="H2515" t="n">
        <v>0</v>
      </c>
      <c r="I2515" t="n">
        <v>0</v>
      </c>
      <c r="J2515" t="n">
        <v>0</v>
      </c>
      <c r="K2515" t="n">
        <v>0</v>
      </c>
      <c r="L2515" t="n">
        <v>0</v>
      </c>
      <c r="M2515" t="n">
        <v>0</v>
      </c>
      <c r="N2515" t="n">
        <v>0</v>
      </c>
      <c r="O2515" t="n">
        <v>0</v>
      </c>
      <c r="P2515" t="n">
        <v>0</v>
      </c>
      <c r="Q2515" t="n">
        <v>0</v>
      </c>
      <c r="R2515" s="2" t="inlineStr"/>
    </row>
    <row r="2516" ht="15" customHeight="1">
      <c r="A2516" t="inlineStr">
        <is>
          <t>A 30002-2023</t>
        </is>
      </c>
      <c r="B2516" s="1" t="n">
        <v>45109</v>
      </c>
      <c r="C2516" s="1" t="n">
        <v>45224</v>
      </c>
      <c r="D2516" t="inlineStr">
        <is>
          <t>STOCKHOLMS LÄN</t>
        </is>
      </c>
      <c r="E2516" t="inlineStr">
        <is>
          <t>VÄRMDÖ</t>
        </is>
      </c>
      <c r="G2516" t="n">
        <v>4.2</v>
      </c>
      <c r="H2516" t="n">
        <v>0</v>
      </c>
      <c r="I2516" t="n">
        <v>0</v>
      </c>
      <c r="J2516" t="n">
        <v>0</v>
      </c>
      <c r="K2516" t="n">
        <v>0</v>
      </c>
      <c r="L2516" t="n">
        <v>0</v>
      </c>
      <c r="M2516" t="n">
        <v>0</v>
      </c>
      <c r="N2516" t="n">
        <v>0</v>
      </c>
      <c r="O2516" t="n">
        <v>0</v>
      </c>
      <c r="P2516" t="n">
        <v>0</v>
      </c>
      <c r="Q2516" t="n">
        <v>0</v>
      </c>
      <c r="R2516" s="2" t="inlineStr"/>
    </row>
    <row r="2517" ht="15" customHeight="1">
      <c r="A2517" t="inlineStr">
        <is>
          <t>A 32420-2023</t>
        </is>
      </c>
      <c r="B2517" s="1" t="n">
        <v>45110</v>
      </c>
      <c r="C2517" s="1" t="n">
        <v>45224</v>
      </c>
      <c r="D2517" t="inlineStr">
        <is>
          <t>STOCKHOLMS LÄN</t>
        </is>
      </c>
      <c r="E2517" t="inlineStr">
        <is>
          <t>SIGTUNA</t>
        </is>
      </c>
      <c r="G2517" t="n">
        <v>5.3</v>
      </c>
      <c r="H2517" t="n">
        <v>0</v>
      </c>
      <c r="I2517" t="n">
        <v>0</v>
      </c>
      <c r="J2517" t="n">
        <v>0</v>
      </c>
      <c r="K2517" t="n">
        <v>0</v>
      </c>
      <c r="L2517" t="n">
        <v>0</v>
      </c>
      <c r="M2517" t="n">
        <v>0</v>
      </c>
      <c r="N2517" t="n">
        <v>0</v>
      </c>
      <c r="O2517" t="n">
        <v>0</v>
      </c>
      <c r="P2517" t="n">
        <v>0</v>
      </c>
      <c r="Q2517" t="n">
        <v>0</v>
      </c>
      <c r="R2517" s="2" t="inlineStr"/>
    </row>
    <row r="2518" ht="15" customHeight="1">
      <c r="A2518" t="inlineStr">
        <is>
          <t>A 30145-2023</t>
        </is>
      </c>
      <c r="B2518" s="1" t="n">
        <v>45110</v>
      </c>
      <c r="C2518" s="1" t="n">
        <v>45224</v>
      </c>
      <c r="D2518" t="inlineStr">
        <is>
          <t>STOCKHOLMS LÄN</t>
        </is>
      </c>
      <c r="E2518" t="inlineStr">
        <is>
          <t>SÖDERTÄLJE</t>
        </is>
      </c>
      <c r="F2518" t="inlineStr">
        <is>
          <t>Sveaskog</t>
        </is>
      </c>
      <c r="G2518" t="n">
        <v>0.9</v>
      </c>
      <c r="H2518" t="n">
        <v>0</v>
      </c>
      <c r="I2518" t="n">
        <v>0</v>
      </c>
      <c r="J2518" t="n">
        <v>0</v>
      </c>
      <c r="K2518" t="n">
        <v>0</v>
      </c>
      <c r="L2518" t="n">
        <v>0</v>
      </c>
      <c r="M2518" t="n">
        <v>0</v>
      </c>
      <c r="N2518" t="n">
        <v>0</v>
      </c>
      <c r="O2518" t="n">
        <v>0</v>
      </c>
      <c r="P2518" t="n">
        <v>0</v>
      </c>
      <c r="Q2518" t="n">
        <v>0</v>
      </c>
      <c r="R2518" s="2" t="inlineStr"/>
    </row>
    <row r="2519" ht="15" customHeight="1">
      <c r="A2519" t="inlineStr">
        <is>
          <t>A 32426-2023</t>
        </is>
      </c>
      <c r="B2519" s="1" t="n">
        <v>45110</v>
      </c>
      <c r="C2519" s="1" t="n">
        <v>45224</v>
      </c>
      <c r="D2519" t="inlineStr">
        <is>
          <t>STOCKHOLMS LÄN</t>
        </is>
      </c>
      <c r="E2519" t="inlineStr">
        <is>
          <t>SIGTUNA</t>
        </is>
      </c>
      <c r="G2519" t="n">
        <v>3.1</v>
      </c>
      <c r="H2519" t="n">
        <v>0</v>
      </c>
      <c r="I2519" t="n">
        <v>0</v>
      </c>
      <c r="J2519" t="n">
        <v>0</v>
      </c>
      <c r="K2519" t="n">
        <v>0</v>
      </c>
      <c r="L2519" t="n">
        <v>0</v>
      </c>
      <c r="M2519" t="n">
        <v>0</v>
      </c>
      <c r="N2519" t="n">
        <v>0</v>
      </c>
      <c r="O2519" t="n">
        <v>0</v>
      </c>
      <c r="P2519" t="n">
        <v>0</v>
      </c>
      <c r="Q2519" t="n">
        <v>0</v>
      </c>
      <c r="R2519" s="2" t="inlineStr"/>
    </row>
    <row r="2520" ht="15" customHeight="1">
      <c r="A2520" t="inlineStr">
        <is>
          <t>A 32424-2023</t>
        </is>
      </c>
      <c r="B2520" s="1" t="n">
        <v>45110</v>
      </c>
      <c r="C2520" s="1" t="n">
        <v>45224</v>
      </c>
      <c r="D2520" t="inlineStr">
        <is>
          <t>STOCKHOLMS LÄN</t>
        </is>
      </c>
      <c r="E2520" t="inlineStr">
        <is>
          <t>SIGTUNA</t>
        </is>
      </c>
      <c r="G2520" t="n">
        <v>2.5</v>
      </c>
      <c r="H2520" t="n">
        <v>0</v>
      </c>
      <c r="I2520" t="n">
        <v>0</v>
      </c>
      <c r="J2520" t="n">
        <v>0</v>
      </c>
      <c r="K2520" t="n">
        <v>0</v>
      </c>
      <c r="L2520" t="n">
        <v>0</v>
      </c>
      <c r="M2520" t="n">
        <v>0</v>
      </c>
      <c r="N2520" t="n">
        <v>0</v>
      </c>
      <c r="O2520" t="n">
        <v>0</v>
      </c>
      <c r="P2520" t="n">
        <v>0</v>
      </c>
      <c r="Q2520" t="n">
        <v>0</v>
      </c>
      <c r="R2520" s="2" t="inlineStr"/>
    </row>
    <row r="2521" ht="15" customHeight="1">
      <c r="A2521" t="inlineStr">
        <is>
          <t>A 30525-2023</t>
        </is>
      </c>
      <c r="B2521" s="1" t="n">
        <v>45111</v>
      </c>
      <c r="C2521" s="1" t="n">
        <v>45224</v>
      </c>
      <c r="D2521" t="inlineStr">
        <is>
          <t>STOCKHOLMS LÄN</t>
        </is>
      </c>
      <c r="E2521" t="inlineStr">
        <is>
          <t>NORRTÄLJE</t>
        </is>
      </c>
      <c r="G2521" t="n">
        <v>4.2</v>
      </c>
      <c r="H2521" t="n">
        <v>0</v>
      </c>
      <c r="I2521" t="n">
        <v>0</v>
      </c>
      <c r="J2521" t="n">
        <v>0</v>
      </c>
      <c r="K2521" t="n">
        <v>0</v>
      </c>
      <c r="L2521" t="n">
        <v>0</v>
      </c>
      <c r="M2521" t="n">
        <v>0</v>
      </c>
      <c r="N2521" t="n">
        <v>0</v>
      </c>
      <c r="O2521" t="n">
        <v>0</v>
      </c>
      <c r="P2521" t="n">
        <v>0</v>
      </c>
      <c r="Q2521" t="n">
        <v>0</v>
      </c>
      <c r="R2521" s="2" t="inlineStr"/>
    </row>
    <row r="2522" ht="15" customHeight="1">
      <c r="A2522" t="inlineStr">
        <is>
          <t>A 30425-2023</t>
        </is>
      </c>
      <c r="B2522" s="1" t="n">
        <v>45111</v>
      </c>
      <c r="C2522" s="1" t="n">
        <v>45224</v>
      </c>
      <c r="D2522" t="inlineStr">
        <is>
          <t>STOCKHOLMS LÄN</t>
        </is>
      </c>
      <c r="E2522" t="inlineStr">
        <is>
          <t>NORRTÄLJE</t>
        </is>
      </c>
      <c r="G2522" t="n">
        <v>3.8</v>
      </c>
      <c r="H2522" t="n">
        <v>0</v>
      </c>
      <c r="I2522" t="n">
        <v>0</v>
      </c>
      <c r="J2522" t="n">
        <v>0</v>
      </c>
      <c r="K2522" t="n">
        <v>0</v>
      </c>
      <c r="L2522" t="n">
        <v>0</v>
      </c>
      <c r="M2522" t="n">
        <v>0</v>
      </c>
      <c r="N2522" t="n">
        <v>0</v>
      </c>
      <c r="O2522" t="n">
        <v>0</v>
      </c>
      <c r="P2522" t="n">
        <v>0</v>
      </c>
      <c r="Q2522" t="n">
        <v>0</v>
      </c>
      <c r="R2522" s="2" t="inlineStr"/>
    </row>
    <row r="2523" ht="15" customHeight="1">
      <c r="A2523" t="inlineStr">
        <is>
          <t>A 30496-2023</t>
        </is>
      </c>
      <c r="B2523" s="1" t="n">
        <v>45111</v>
      </c>
      <c r="C2523" s="1" t="n">
        <v>45224</v>
      </c>
      <c r="D2523" t="inlineStr">
        <is>
          <t>STOCKHOLMS LÄN</t>
        </is>
      </c>
      <c r="E2523" t="inlineStr">
        <is>
          <t>NORRTÄLJE</t>
        </is>
      </c>
      <c r="G2523" t="n">
        <v>1.4</v>
      </c>
      <c r="H2523" t="n">
        <v>0</v>
      </c>
      <c r="I2523" t="n">
        <v>0</v>
      </c>
      <c r="J2523" t="n">
        <v>0</v>
      </c>
      <c r="K2523" t="n">
        <v>0</v>
      </c>
      <c r="L2523" t="n">
        <v>0</v>
      </c>
      <c r="M2523" t="n">
        <v>0</v>
      </c>
      <c r="N2523" t="n">
        <v>0</v>
      </c>
      <c r="O2523" t="n">
        <v>0</v>
      </c>
      <c r="P2523" t="n">
        <v>0</v>
      </c>
      <c r="Q2523" t="n">
        <v>0</v>
      </c>
      <c r="R2523" s="2" t="inlineStr"/>
    </row>
    <row r="2524" ht="15" customHeight="1">
      <c r="A2524" t="inlineStr">
        <is>
          <t>A 30571-2023</t>
        </is>
      </c>
      <c r="B2524" s="1" t="n">
        <v>45111</v>
      </c>
      <c r="C2524" s="1" t="n">
        <v>45224</v>
      </c>
      <c r="D2524" t="inlineStr">
        <is>
          <t>STOCKHOLMS LÄN</t>
        </is>
      </c>
      <c r="E2524" t="inlineStr">
        <is>
          <t>SIGTUNA</t>
        </is>
      </c>
      <c r="G2524" t="n">
        <v>2.7</v>
      </c>
      <c r="H2524" t="n">
        <v>0</v>
      </c>
      <c r="I2524" t="n">
        <v>0</v>
      </c>
      <c r="J2524" t="n">
        <v>0</v>
      </c>
      <c r="K2524" t="n">
        <v>0</v>
      </c>
      <c r="L2524" t="n">
        <v>0</v>
      </c>
      <c r="M2524" t="n">
        <v>0</v>
      </c>
      <c r="N2524" t="n">
        <v>0</v>
      </c>
      <c r="O2524" t="n">
        <v>0</v>
      </c>
      <c r="P2524" t="n">
        <v>0</v>
      </c>
      <c r="Q2524" t="n">
        <v>0</v>
      </c>
      <c r="R2524" s="2" t="inlineStr"/>
    </row>
    <row r="2525" ht="15" customHeight="1">
      <c r="A2525" t="inlineStr">
        <is>
          <t>A 30424-2023</t>
        </is>
      </c>
      <c r="B2525" s="1" t="n">
        <v>45111</v>
      </c>
      <c r="C2525" s="1" t="n">
        <v>45224</v>
      </c>
      <c r="D2525" t="inlineStr">
        <is>
          <t>STOCKHOLMS LÄN</t>
        </is>
      </c>
      <c r="E2525" t="inlineStr">
        <is>
          <t>NORRTÄLJE</t>
        </is>
      </c>
      <c r="G2525" t="n">
        <v>6.3</v>
      </c>
      <c r="H2525" t="n">
        <v>0</v>
      </c>
      <c r="I2525" t="n">
        <v>0</v>
      </c>
      <c r="J2525" t="n">
        <v>0</v>
      </c>
      <c r="K2525" t="n">
        <v>0</v>
      </c>
      <c r="L2525" t="n">
        <v>0</v>
      </c>
      <c r="M2525" t="n">
        <v>0</v>
      </c>
      <c r="N2525" t="n">
        <v>0</v>
      </c>
      <c r="O2525" t="n">
        <v>0</v>
      </c>
      <c r="P2525" t="n">
        <v>0</v>
      </c>
      <c r="Q2525" t="n">
        <v>0</v>
      </c>
      <c r="R2525" s="2" t="inlineStr"/>
    </row>
    <row r="2526" ht="15" customHeight="1">
      <c r="A2526" t="inlineStr">
        <is>
          <t>A 30508-2023</t>
        </is>
      </c>
      <c r="B2526" s="1" t="n">
        <v>45111</v>
      </c>
      <c r="C2526" s="1" t="n">
        <v>45224</v>
      </c>
      <c r="D2526" t="inlineStr">
        <is>
          <t>STOCKHOLMS LÄN</t>
        </is>
      </c>
      <c r="E2526" t="inlineStr">
        <is>
          <t>NORRTÄLJE</t>
        </is>
      </c>
      <c r="G2526" t="n">
        <v>2.1</v>
      </c>
      <c r="H2526" t="n">
        <v>0</v>
      </c>
      <c r="I2526" t="n">
        <v>0</v>
      </c>
      <c r="J2526" t="n">
        <v>0</v>
      </c>
      <c r="K2526" t="n">
        <v>0</v>
      </c>
      <c r="L2526" t="n">
        <v>0</v>
      </c>
      <c r="M2526" t="n">
        <v>0</v>
      </c>
      <c r="N2526" t="n">
        <v>0</v>
      </c>
      <c r="O2526" t="n">
        <v>0</v>
      </c>
      <c r="P2526" t="n">
        <v>0</v>
      </c>
      <c r="Q2526" t="n">
        <v>0</v>
      </c>
      <c r="R2526" s="2" t="inlineStr"/>
    </row>
    <row r="2527" ht="15" customHeight="1">
      <c r="A2527" t="inlineStr">
        <is>
          <t>A 30516-2023</t>
        </is>
      </c>
      <c r="B2527" s="1" t="n">
        <v>45111</v>
      </c>
      <c r="C2527" s="1" t="n">
        <v>45224</v>
      </c>
      <c r="D2527" t="inlineStr">
        <is>
          <t>STOCKHOLMS LÄN</t>
        </is>
      </c>
      <c r="E2527" t="inlineStr">
        <is>
          <t>NORRTÄLJE</t>
        </is>
      </c>
      <c r="G2527" t="n">
        <v>6.8</v>
      </c>
      <c r="H2527" t="n">
        <v>0</v>
      </c>
      <c r="I2527" t="n">
        <v>0</v>
      </c>
      <c r="J2527" t="n">
        <v>0</v>
      </c>
      <c r="K2527" t="n">
        <v>0</v>
      </c>
      <c r="L2527" t="n">
        <v>0</v>
      </c>
      <c r="M2527" t="n">
        <v>0</v>
      </c>
      <c r="N2527" t="n">
        <v>0</v>
      </c>
      <c r="O2527" t="n">
        <v>0</v>
      </c>
      <c r="P2527" t="n">
        <v>0</v>
      </c>
      <c r="Q2527" t="n">
        <v>0</v>
      </c>
      <c r="R2527" s="2" t="inlineStr"/>
    </row>
    <row r="2528" ht="15" customHeight="1">
      <c r="A2528" t="inlineStr">
        <is>
          <t>A 30773-2023</t>
        </is>
      </c>
      <c r="B2528" s="1" t="n">
        <v>45112</v>
      </c>
      <c r="C2528" s="1" t="n">
        <v>45224</v>
      </c>
      <c r="D2528" t="inlineStr">
        <is>
          <t>STOCKHOLMS LÄN</t>
        </is>
      </c>
      <c r="E2528" t="inlineStr">
        <is>
          <t>NORRTÄLJE</t>
        </is>
      </c>
      <c r="G2528" t="n">
        <v>9.5</v>
      </c>
      <c r="H2528" t="n">
        <v>0</v>
      </c>
      <c r="I2528" t="n">
        <v>0</v>
      </c>
      <c r="J2528" t="n">
        <v>0</v>
      </c>
      <c r="K2528" t="n">
        <v>0</v>
      </c>
      <c r="L2528" t="n">
        <v>0</v>
      </c>
      <c r="M2528" t="n">
        <v>0</v>
      </c>
      <c r="N2528" t="n">
        <v>0</v>
      </c>
      <c r="O2528" t="n">
        <v>0</v>
      </c>
      <c r="P2528" t="n">
        <v>0</v>
      </c>
      <c r="Q2528" t="n">
        <v>0</v>
      </c>
      <c r="R2528" s="2" t="inlineStr"/>
    </row>
    <row r="2529" ht="15" customHeight="1">
      <c r="A2529" t="inlineStr">
        <is>
          <t>A 30663-2023</t>
        </is>
      </c>
      <c r="B2529" s="1" t="n">
        <v>45112</v>
      </c>
      <c r="C2529" s="1" t="n">
        <v>45224</v>
      </c>
      <c r="D2529" t="inlineStr">
        <is>
          <t>STOCKHOLMS LÄN</t>
        </is>
      </c>
      <c r="E2529" t="inlineStr">
        <is>
          <t>NORRTÄLJE</t>
        </is>
      </c>
      <c r="G2529" t="n">
        <v>5.6</v>
      </c>
      <c r="H2529" t="n">
        <v>0</v>
      </c>
      <c r="I2529" t="n">
        <v>0</v>
      </c>
      <c r="J2529" t="n">
        <v>0</v>
      </c>
      <c r="K2529" t="n">
        <v>0</v>
      </c>
      <c r="L2529" t="n">
        <v>0</v>
      </c>
      <c r="M2529" t="n">
        <v>0</v>
      </c>
      <c r="N2529" t="n">
        <v>0</v>
      </c>
      <c r="O2529" t="n">
        <v>0</v>
      </c>
      <c r="P2529" t="n">
        <v>0</v>
      </c>
      <c r="Q2529" t="n">
        <v>0</v>
      </c>
      <c r="R2529" s="2" t="inlineStr"/>
    </row>
    <row r="2530" ht="15" customHeight="1">
      <c r="A2530" t="inlineStr">
        <is>
          <t>A 30731-2023</t>
        </is>
      </c>
      <c r="B2530" s="1" t="n">
        <v>45112</v>
      </c>
      <c r="C2530" s="1" t="n">
        <v>45224</v>
      </c>
      <c r="D2530" t="inlineStr">
        <is>
          <t>STOCKHOLMS LÄN</t>
        </is>
      </c>
      <c r="E2530" t="inlineStr">
        <is>
          <t>NORRTÄLJE</t>
        </is>
      </c>
      <c r="G2530" t="n">
        <v>1.6</v>
      </c>
      <c r="H2530" t="n">
        <v>0</v>
      </c>
      <c r="I2530" t="n">
        <v>0</v>
      </c>
      <c r="J2530" t="n">
        <v>0</v>
      </c>
      <c r="K2530" t="n">
        <v>0</v>
      </c>
      <c r="L2530" t="n">
        <v>0</v>
      </c>
      <c r="M2530" t="n">
        <v>0</v>
      </c>
      <c r="N2530" t="n">
        <v>0</v>
      </c>
      <c r="O2530" t="n">
        <v>0</v>
      </c>
      <c r="P2530" t="n">
        <v>0</v>
      </c>
      <c r="Q2530" t="n">
        <v>0</v>
      </c>
      <c r="R2530" s="2" t="inlineStr"/>
    </row>
    <row r="2531" ht="15" customHeight="1">
      <c r="A2531" t="inlineStr">
        <is>
          <t>A 30780-2023</t>
        </is>
      </c>
      <c r="B2531" s="1" t="n">
        <v>45112</v>
      </c>
      <c r="C2531" s="1" t="n">
        <v>45224</v>
      </c>
      <c r="D2531" t="inlineStr">
        <is>
          <t>STOCKHOLMS LÄN</t>
        </is>
      </c>
      <c r="E2531" t="inlineStr">
        <is>
          <t>NORRTÄLJE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30910-2023</t>
        </is>
      </c>
      <c r="B2532" s="1" t="n">
        <v>45113</v>
      </c>
      <c r="C2532" s="1" t="n">
        <v>45224</v>
      </c>
      <c r="D2532" t="inlineStr">
        <is>
          <t>STOCKHOLMS LÄN</t>
        </is>
      </c>
      <c r="E2532" t="inlineStr">
        <is>
          <t>NYNÄSHAMN</t>
        </is>
      </c>
      <c r="G2532" t="n">
        <v>1.2</v>
      </c>
      <c r="H2532" t="n">
        <v>0</v>
      </c>
      <c r="I2532" t="n">
        <v>0</v>
      </c>
      <c r="J2532" t="n">
        <v>0</v>
      </c>
      <c r="K2532" t="n">
        <v>0</v>
      </c>
      <c r="L2532" t="n">
        <v>0</v>
      </c>
      <c r="M2532" t="n">
        <v>0</v>
      </c>
      <c r="N2532" t="n">
        <v>0</v>
      </c>
      <c r="O2532" t="n">
        <v>0</v>
      </c>
      <c r="P2532" t="n">
        <v>0</v>
      </c>
      <c r="Q2532" t="n">
        <v>0</v>
      </c>
      <c r="R2532" s="2" t="inlineStr"/>
    </row>
    <row r="2533" ht="15" customHeight="1">
      <c r="A2533" t="inlineStr">
        <is>
          <t>A 30917-2023</t>
        </is>
      </c>
      <c r="B2533" s="1" t="n">
        <v>45113</v>
      </c>
      <c r="C2533" s="1" t="n">
        <v>45224</v>
      </c>
      <c r="D2533" t="inlineStr">
        <is>
          <t>STOCKHOLMS LÄN</t>
        </is>
      </c>
      <c r="E2533" t="inlineStr">
        <is>
          <t>BOTKYRKA</t>
        </is>
      </c>
      <c r="F2533" t="inlineStr">
        <is>
          <t>Övriga Aktiebolag</t>
        </is>
      </c>
      <c r="G2533" t="n">
        <v>0.7</v>
      </c>
      <c r="H2533" t="n">
        <v>0</v>
      </c>
      <c r="I2533" t="n">
        <v>0</v>
      </c>
      <c r="J2533" t="n">
        <v>0</v>
      </c>
      <c r="K2533" t="n">
        <v>0</v>
      </c>
      <c r="L2533" t="n">
        <v>0</v>
      </c>
      <c r="M2533" t="n">
        <v>0</v>
      </c>
      <c r="N2533" t="n">
        <v>0</v>
      </c>
      <c r="O2533" t="n">
        <v>0</v>
      </c>
      <c r="P2533" t="n">
        <v>0</v>
      </c>
      <c r="Q2533" t="n">
        <v>0</v>
      </c>
      <c r="R2533" s="2" t="inlineStr"/>
    </row>
    <row r="2534" ht="15" customHeight="1">
      <c r="A2534" t="inlineStr">
        <is>
          <t>A 30924-2023</t>
        </is>
      </c>
      <c r="B2534" s="1" t="n">
        <v>45113</v>
      </c>
      <c r="C2534" s="1" t="n">
        <v>45224</v>
      </c>
      <c r="D2534" t="inlineStr">
        <is>
          <t>STOCKHOLMS LÄN</t>
        </is>
      </c>
      <c r="E2534" t="inlineStr">
        <is>
          <t>NORRTÄLJE</t>
        </is>
      </c>
      <c r="F2534" t="inlineStr">
        <is>
          <t>Sveaskog</t>
        </is>
      </c>
      <c r="G2534" t="n">
        <v>1</v>
      </c>
      <c r="H2534" t="n">
        <v>0</v>
      </c>
      <c r="I2534" t="n">
        <v>0</v>
      </c>
      <c r="J2534" t="n">
        <v>0</v>
      </c>
      <c r="K2534" t="n">
        <v>0</v>
      </c>
      <c r="L2534" t="n">
        <v>0</v>
      </c>
      <c r="M2534" t="n">
        <v>0</v>
      </c>
      <c r="N2534" t="n">
        <v>0</v>
      </c>
      <c r="O2534" t="n">
        <v>0</v>
      </c>
      <c r="P2534" t="n">
        <v>0</v>
      </c>
      <c r="Q2534" t="n">
        <v>0</v>
      </c>
      <c r="R2534" s="2" t="inlineStr"/>
    </row>
    <row r="2535" ht="15" customHeight="1">
      <c r="A2535" t="inlineStr">
        <is>
          <t>A 33066-2023</t>
        </is>
      </c>
      <c r="B2535" s="1" t="n">
        <v>45113</v>
      </c>
      <c r="C2535" s="1" t="n">
        <v>45224</v>
      </c>
      <c r="D2535" t="inlineStr">
        <is>
          <t>STOCKHOLMS LÄN</t>
        </is>
      </c>
      <c r="E2535" t="inlineStr">
        <is>
          <t>UPPLANDS VÄSBY</t>
        </is>
      </c>
      <c r="G2535" t="n">
        <v>2.6</v>
      </c>
      <c r="H2535" t="n">
        <v>0</v>
      </c>
      <c r="I2535" t="n">
        <v>0</v>
      </c>
      <c r="J2535" t="n">
        <v>0</v>
      </c>
      <c r="K2535" t="n">
        <v>0</v>
      </c>
      <c r="L2535" t="n">
        <v>0</v>
      </c>
      <c r="M2535" t="n">
        <v>0</v>
      </c>
      <c r="N2535" t="n">
        <v>0</v>
      </c>
      <c r="O2535" t="n">
        <v>0</v>
      </c>
      <c r="P2535" t="n">
        <v>0</v>
      </c>
      <c r="Q2535" t="n">
        <v>0</v>
      </c>
      <c r="R2535" s="2" t="inlineStr"/>
    </row>
    <row r="2536" ht="15" customHeight="1">
      <c r="A2536" t="inlineStr">
        <is>
          <t>A 30923-2023</t>
        </is>
      </c>
      <c r="B2536" s="1" t="n">
        <v>45113</v>
      </c>
      <c r="C2536" s="1" t="n">
        <v>45224</v>
      </c>
      <c r="D2536" t="inlineStr">
        <is>
          <t>STOCKHOLMS LÄN</t>
        </is>
      </c>
      <c r="E2536" t="inlineStr">
        <is>
          <t>NORRTÄLJE</t>
        </is>
      </c>
      <c r="F2536" t="inlineStr">
        <is>
          <t>Sveaskog</t>
        </is>
      </c>
      <c r="G2536" t="n">
        <v>4.3</v>
      </c>
      <c r="H2536" t="n">
        <v>0</v>
      </c>
      <c r="I2536" t="n">
        <v>0</v>
      </c>
      <c r="J2536" t="n">
        <v>0</v>
      </c>
      <c r="K2536" t="n">
        <v>0</v>
      </c>
      <c r="L2536" t="n">
        <v>0</v>
      </c>
      <c r="M2536" t="n">
        <v>0</v>
      </c>
      <c r="N2536" t="n">
        <v>0</v>
      </c>
      <c r="O2536" t="n">
        <v>0</v>
      </c>
      <c r="P2536" t="n">
        <v>0</v>
      </c>
      <c r="Q2536" t="n">
        <v>0</v>
      </c>
      <c r="R2536" s="2" t="inlineStr"/>
    </row>
    <row r="2537" ht="15" customHeight="1">
      <c r="A2537" t="inlineStr">
        <is>
          <t>A 30921-2023</t>
        </is>
      </c>
      <c r="B2537" s="1" t="n">
        <v>45113</v>
      </c>
      <c r="C2537" s="1" t="n">
        <v>45224</v>
      </c>
      <c r="D2537" t="inlineStr">
        <is>
          <t>STOCKHOLMS LÄN</t>
        </is>
      </c>
      <c r="E2537" t="inlineStr">
        <is>
          <t>NORRTÄLJE</t>
        </is>
      </c>
      <c r="F2537" t="inlineStr">
        <is>
          <t>Sveaskog</t>
        </is>
      </c>
      <c r="G2537" t="n">
        <v>3.6</v>
      </c>
      <c r="H2537" t="n">
        <v>0</v>
      </c>
      <c r="I2537" t="n">
        <v>0</v>
      </c>
      <c r="J2537" t="n">
        <v>0</v>
      </c>
      <c r="K2537" t="n">
        <v>0</v>
      </c>
      <c r="L2537" t="n">
        <v>0</v>
      </c>
      <c r="M2537" t="n">
        <v>0</v>
      </c>
      <c r="N2537" t="n">
        <v>0</v>
      </c>
      <c r="O2537" t="n">
        <v>0</v>
      </c>
      <c r="P2537" t="n">
        <v>0</v>
      </c>
      <c r="Q2537" t="n">
        <v>0</v>
      </c>
      <c r="R2537" s="2" t="inlineStr"/>
    </row>
    <row r="2538" ht="15" customHeight="1">
      <c r="A2538" t="inlineStr">
        <is>
          <t>A 30925-2023</t>
        </is>
      </c>
      <c r="B2538" s="1" t="n">
        <v>45113</v>
      </c>
      <c r="C2538" s="1" t="n">
        <v>45224</v>
      </c>
      <c r="D2538" t="inlineStr">
        <is>
          <t>STOCKHOLMS LÄN</t>
        </is>
      </c>
      <c r="E2538" t="inlineStr">
        <is>
          <t>BOTKYRKA</t>
        </is>
      </c>
      <c r="F2538" t="inlineStr">
        <is>
          <t>Övriga Aktiebolag</t>
        </is>
      </c>
      <c r="G2538" t="n">
        <v>0.8</v>
      </c>
      <c r="H2538" t="n">
        <v>0</v>
      </c>
      <c r="I2538" t="n">
        <v>0</v>
      </c>
      <c r="J2538" t="n">
        <v>0</v>
      </c>
      <c r="K2538" t="n">
        <v>0</v>
      </c>
      <c r="L2538" t="n">
        <v>0</v>
      </c>
      <c r="M2538" t="n">
        <v>0</v>
      </c>
      <c r="N2538" t="n">
        <v>0</v>
      </c>
      <c r="O2538" t="n">
        <v>0</v>
      </c>
      <c r="P2538" t="n">
        <v>0</v>
      </c>
      <c r="Q2538" t="n">
        <v>0</v>
      </c>
      <c r="R2538" s="2" t="inlineStr"/>
    </row>
    <row r="2539" ht="15" customHeight="1">
      <c r="A2539" t="inlineStr">
        <is>
          <t>A 31120-2023</t>
        </is>
      </c>
      <c r="B2539" s="1" t="n">
        <v>45113</v>
      </c>
      <c r="C2539" s="1" t="n">
        <v>45224</v>
      </c>
      <c r="D2539" t="inlineStr">
        <is>
          <t>STOCKHOLMS LÄN</t>
        </is>
      </c>
      <c r="E2539" t="inlineStr">
        <is>
          <t>UPPLANDS VÄSBY</t>
        </is>
      </c>
      <c r="G2539" t="n">
        <v>0.2</v>
      </c>
      <c r="H2539" t="n">
        <v>0</v>
      </c>
      <c r="I2539" t="n">
        <v>0</v>
      </c>
      <c r="J2539" t="n">
        <v>0</v>
      </c>
      <c r="K2539" t="n">
        <v>0</v>
      </c>
      <c r="L2539" t="n">
        <v>0</v>
      </c>
      <c r="M2539" t="n">
        <v>0</v>
      </c>
      <c r="N2539" t="n">
        <v>0</v>
      </c>
      <c r="O2539" t="n">
        <v>0</v>
      </c>
      <c r="P2539" t="n">
        <v>0</v>
      </c>
      <c r="Q2539" t="n">
        <v>0</v>
      </c>
      <c r="R2539" s="2" t="inlineStr"/>
    </row>
    <row r="2540" ht="15" customHeight="1">
      <c r="A2540" t="inlineStr">
        <is>
          <t>A 31134-2023</t>
        </is>
      </c>
      <c r="B2540" s="1" t="n">
        <v>45113</v>
      </c>
      <c r="C2540" s="1" t="n">
        <v>45224</v>
      </c>
      <c r="D2540" t="inlineStr">
        <is>
          <t>STOCKHOLMS LÄN</t>
        </is>
      </c>
      <c r="E2540" t="inlineStr">
        <is>
          <t>ÖSTERÅKER</t>
        </is>
      </c>
      <c r="G2540" t="n">
        <v>2.1</v>
      </c>
      <c r="H2540" t="n">
        <v>0</v>
      </c>
      <c r="I2540" t="n">
        <v>0</v>
      </c>
      <c r="J2540" t="n">
        <v>0</v>
      </c>
      <c r="K2540" t="n">
        <v>0</v>
      </c>
      <c r="L2540" t="n">
        <v>0</v>
      </c>
      <c r="M2540" t="n">
        <v>0</v>
      </c>
      <c r="N2540" t="n">
        <v>0</v>
      </c>
      <c r="O2540" t="n">
        <v>0</v>
      </c>
      <c r="P2540" t="n">
        <v>0</v>
      </c>
      <c r="Q2540" t="n">
        <v>0</v>
      </c>
      <c r="R2540" s="2" t="inlineStr"/>
    </row>
    <row r="2541" ht="15" customHeight="1">
      <c r="A2541" t="inlineStr">
        <is>
          <t>A 33069-2023</t>
        </is>
      </c>
      <c r="B2541" s="1" t="n">
        <v>45113</v>
      </c>
      <c r="C2541" s="1" t="n">
        <v>45224</v>
      </c>
      <c r="D2541" t="inlineStr">
        <is>
          <t>STOCKHOLMS LÄN</t>
        </is>
      </c>
      <c r="E2541" t="inlineStr">
        <is>
          <t>UPPLANDS VÄSBY</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31140-2023</t>
        </is>
      </c>
      <c r="B2542" s="1" t="n">
        <v>45113</v>
      </c>
      <c r="C2542" s="1" t="n">
        <v>45224</v>
      </c>
      <c r="D2542" t="inlineStr">
        <is>
          <t>STOCKHOLMS LÄN</t>
        </is>
      </c>
      <c r="E2542" t="inlineStr">
        <is>
          <t>NORRTÄLJE</t>
        </is>
      </c>
      <c r="G2542" t="n">
        <v>1.3</v>
      </c>
      <c r="H2542" t="n">
        <v>0</v>
      </c>
      <c r="I2542" t="n">
        <v>0</v>
      </c>
      <c r="J2542" t="n">
        <v>0</v>
      </c>
      <c r="K2542" t="n">
        <v>0</v>
      </c>
      <c r="L2542" t="n">
        <v>0</v>
      </c>
      <c r="M2542" t="n">
        <v>0</v>
      </c>
      <c r="N2542" t="n">
        <v>0</v>
      </c>
      <c r="O2542" t="n">
        <v>0</v>
      </c>
      <c r="P2542" t="n">
        <v>0</v>
      </c>
      <c r="Q2542" t="n">
        <v>0</v>
      </c>
      <c r="R2542" s="2" t="inlineStr"/>
    </row>
    <row r="2543" ht="15" customHeight="1">
      <c r="A2543" t="inlineStr">
        <is>
          <t>A 31716-2023</t>
        </is>
      </c>
      <c r="B2543" s="1" t="n">
        <v>45117</v>
      </c>
      <c r="C2543" s="1" t="n">
        <v>45224</v>
      </c>
      <c r="D2543" t="inlineStr">
        <is>
          <t>STOCKHOLMS LÄN</t>
        </is>
      </c>
      <c r="E2543" t="inlineStr">
        <is>
          <t>UPPLANDS-BRO</t>
        </is>
      </c>
      <c r="G2543" t="n">
        <v>3.6</v>
      </c>
      <c r="H2543" t="n">
        <v>0</v>
      </c>
      <c r="I2543" t="n">
        <v>0</v>
      </c>
      <c r="J2543" t="n">
        <v>0</v>
      </c>
      <c r="K2543" t="n">
        <v>0</v>
      </c>
      <c r="L2543" t="n">
        <v>0</v>
      </c>
      <c r="M2543" t="n">
        <v>0</v>
      </c>
      <c r="N2543" t="n">
        <v>0</v>
      </c>
      <c r="O2543" t="n">
        <v>0</v>
      </c>
      <c r="P2543" t="n">
        <v>0</v>
      </c>
      <c r="Q2543" t="n">
        <v>0</v>
      </c>
      <c r="R2543" s="2" t="inlineStr"/>
    </row>
    <row r="2544" ht="15" customHeight="1">
      <c r="A2544" t="inlineStr">
        <is>
          <t>A 31743-2023</t>
        </is>
      </c>
      <c r="B2544" s="1" t="n">
        <v>45117</v>
      </c>
      <c r="C2544" s="1" t="n">
        <v>45224</v>
      </c>
      <c r="D2544" t="inlineStr">
        <is>
          <t>STOCKHOLMS LÄN</t>
        </is>
      </c>
      <c r="E2544" t="inlineStr">
        <is>
          <t>SÖDERTÄLJE</t>
        </is>
      </c>
      <c r="G2544" t="n">
        <v>4.9</v>
      </c>
      <c r="H2544" t="n">
        <v>0</v>
      </c>
      <c r="I2544" t="n">
        <v>0</v>
      </c>
      <c r="J2544" t="n">
        <v>0</v>
      </c>
      <c r="K2544" t="n">
        <v>0</v>
      </c>
      <c r="L2544" t="n">
        <v>0</v>
      </c>
      <c r="M2544" t="n">
        <v>0</v>
      </c>
      <c r="N2544" t="n">
        <v>0</v>
      </c>
      <c r="O2544" t="n">
        <v>0</v>
      </c>
      <c r="P2544" t="n">
        <v>0</v>
      </c>
      <c r="Q2544" t="n">
        <v>0</v>
      </c>
      <c r="R2544" s="2" t="inlineStr"/>
    </row>
    <row r="2545" ht="15" customHeight="1">
      <c r="A2545" t="inlineStr">
        <is>
          <t>A 31842-2023</t>
        </is>
      </c>
      <c r="B2545" s="1" t="n">
        <v>45118</v>
      </c>
      <c r="C2545" s="1" t="n">
        <v>45224</v>
      </c>
      <c r="D2545" t="inlineStr">
        <is>
          <t>STOCKHOLMS LÄN</t>
        </is>
      </c>
      <c r="E2545" t="inlineStr">
        <is>
          <t>NYNÄSHAMN</t>
        </is>
      </c>
      <c r="F2545" t="inlineStr">
        <is>
          <t>Kommuner</t>
        </is>
      </c>
      <c r="G2545" t="n">
        <v>3.8</v>
      </c>
      <c r="H2545" t="n">
        <v>0</v>
      </c>
      <c r="I2545" t="n">
        <v>0</v>
      </c>
      <c r="J2545" t="n">
        <v>0</v>
      </c>
      <c r="K2545" t="n">
        <v>0</v>
      </c>
      <c r="L2545" t="n">
        <v>0</v>
      </c>
      <c r="M2545" t="n">
        <v>0</v>
      </c>
      <c r="N2545" t="n">
        <v>0</v>
      </c>
      <c r="O2545" t="n">
        <v>0</v>
      </c>
      <c r="P2545" t="n">
        <v>0</v>
      </c>
      <c r="Q2545" t="n">
        <v>0</v>
      </c>
      <c r="R2545" s="2" t="inlineStr"/>
    </row>
    <row r="2546" ht="15" customHeight="1">
      <c r="A2546" t="inlineStr">
        <is>
          <t>A 31812-2023</t>
        </is>
      </c>
      <c r="B2546" s="1" t="n">
        <v>45118</v>
      </c>
      <c r="C2546" s="1" t="n">
        <v>45224</v>
      </c>
      <c r="D2546" t="inlineStr">
        <is>
          <t>STOCKHOLMS LÄN</t>
        </is>
      </c>
      <c r="E2546" t="inlineStr">
        <is>
          <t>NORRTÄLJE</t>
        </is>
      </c>
      <c r="F2546" t="inlineStr">
        <is>
          <t>Kyrkan</t>
        </is>
      </c>
      <c r="G2546" t="n">
        <v>6.3</v>
      </c>
      <c r="H2546" t="n">
        <v>0</v>
      </c>
      <c r="I2546" t="n">
        <v>0</v>
      </c>
      <c r="J2546" t="n">
        <v>0</v>
      </c>
      <c r="K2546" t="n">
        <v>0</v>
      </c>
      <c r="L2546" t="n">
        <v>0</v>
      </c>
      <c r="M2546" t="n">
        <v>0</v>
      </c>
      <c r="N2546" t="n">
        <v>0</v>
      </c>
      <c r="O2546" t="n">
        <v>0</v>
      </c>
      <c r="P2546" t="n">
        <v>0</v>
      </c>
      <c r="Q2546" t="n">
        <v>0</v>
      </c>
      <c r="R2546" s="2" t="inlineStr"/>
    </row>
    <row r="2547" ht="15" customHeight="1">
      <c r="A2547" t="inlineStr">
        <is>
          <t>A 31827-2023</t>
        </is>
      </c>
      <c r="B2547" s="1" t="n">
        <v>45118</v>
      </c>
      <c r="C2547" s="1" t="n">
        <v>45224</v>
      </c>
      <c r="D2547" t="inlineStr">
        <is>
          <t>STOCKHOLMS LÄN</t>
        </is>
      </c>
      <c r="E2547" t="inlineStr">
        <is>
          <t>NORRTÄLJE</t>
        </is>
      </c>
      <c r="F2547" t="inlineStr">
        <is>
          <t>Kyrkan</t>
        </is>
      </c>
      <c r="G2547" t="n">
        <v>4.9</v>
      </c>
      <c r="H2547" t="n">
        <v>0</v>
      </c>
      <c r="I2547" t="n">
        <v>0</v>
      </c>
      <c r="J2547" t="n">
        <v>0</v>
      </c>
      <c r="K2547" t="n">
        <v>0</v>
      </c>
      <c r="L2547" t="n">
        <v>0</v>
      </c>
      <c r="M2547" t="n">
        <v>0</v>
      </c>
      <c r="N2547" t="n">
        <v>0</v>
      </c>
      <c r="O2547" t="n">
        <v>0</v>
      </c>
      <c r="P2547" t="n">
        <v>0</v>
      </c>
      <c r="Q2547" t="n">
        <v>0</v>
      </c>
      <c r="R2547" s="2" t="inlineStr"/>
    </row>
    <row r="2548" ht="15" customHeight="1">
      <c r="A2548" t="inlineStr">
        <is>
          <t>A 31832-2023</t>
        </is>
      </c>
      <c r="B2548" s="1" t="n">
        <v>45118</v>
      </c>
      <c r="C2548" s="1" t="n">
        <v>45224</v>
      </c>
      <c r="D2548" t="inlineStr">
        <is>
          <t>STOCKHOLMS LÄN</t>
        </is>
      </c>
      <c r="E2548" t="inlineStr">
        <is>
          <t>NORRTÄLJE</t>
        </is>
      </c>
      <c r="G2548" t="n">
        <v>7.4</v>
      </c>
      <c r="H2548" t="n">
        <v>0</v>
      </c>
      <c r="I2548" t="n">
        <v>0</v>
      </c>
      <c r="J2548" t="n">
        <v>0</v>
      </c>
      <c r="K2548" t="n">
        <v>0</v>
      </c>
      <c r="L2548" t="n">
        <v>0</v>
      </c>
      <c r="M2548" t="n">
        <v>0</v>
      </c>
      <c r="N2548" t="n">
        <v>0</v>
      </c>
      <c r="O2548" t="n">
        <v>0</v>
      </c>
      <c r="P2548" t="n">
        <v>0</v>
      </c>
      <c r="Q2548" t="n">
        <v>0</v>
      </c>
      <c r="R2548" s="2" t="inlineStr"/>
    </row>
    <row r="2549" ht="15" customHeight="1">
      <c r="A2549" t="inlineStr">
        <is>
          <t>A 32040-2023</t>
        </is>
      </c>
      <c r="B2549" s="1" t="n">
        <v>45119</v>
      </c>
      <c r="C2549" s="1" t="n">
        <v>45224</v>
      </c>
      <c r="D2549" t="inlineStr">
        <is>
          <t>STOCKHOLMS LÄN</t>
        </is>
      </c>
      <c r="E2549" t="inlineStr">
        <is>
          <t>SÖDERTÄLJE</t>
        </is>
      </c>
      <c r="F2549" t="inlineStr">
        <is>
          <t>Sveaskog</t>
        </is>
      </c>
      <c r="G2549" t="n">
        <v>2.6</v>
      </c>
      <c r="H2549" t="n">
        <v>0</v>
      </c>
      <c r="I2549" t="n">
        <v>0</v>
      </c>
      <c r="J2549" t="n">
        <v>0</v>
      </c>
      <c r="K2549" t="n">
        <v>0</v>
      </c>
      <c r="L2549" t="n">
        <v>0</v>
      </c>
      <c r="M2549" t="n">
        <v>0</v>
      </c>
      <c r="N2549" t="n">
        <v>0</v>
      </c>
      <c r="O2549" t="n">
        <v>0</v>
      </c>
      <c r="P2549" t="n">
        <v>0</v>
      </c>
      <c r="Q2549" t="n">
        <v>0</v>
      </c>
      <c r="R2549" s="2" t="inlineStr"/>
    </row>
    <row r="2550" ht="15" customHeight="1">
      <c r="A2550" t="inlineStr">
        <is>
          <t>A 32044-2023</t>
        </is>
      </c>
      <c r="B2550" s="1" t="n">
        <v>45119</v>
      </c>
      <c r="C2550" s="1" t="n">
        <v>45224</v>
      </c>
      <c r="D2550" t="inlineStr">
        <is>
          <t>STOCKHOLMS LÄN</t>
        </is>
      </c>
      <c r="E2550" t="inlineStr">
        <is>
          <t>SÖDERTÄLJE</t>
        </is>
      </c>
      <c r="F2550" t="inlineStr">
        <is>
          <t>Sveaskog</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32092-2023</t>
        </is>
      </c>
      <c r="B2551" s="1" t="n">
        <v>45119</v>
      </c>
      <c r="C2551" s="1" t="n">
        <v>45224</v>
      </c>
      <c r="D2551" t="inlineStr">
        <is>
          <t>STOCKHOLMS LÄN</t>
        </is>
      </c>
      <c r="E2551" t="inlineStr">
        <is>
          <t>NYNÄSHAMN</t>
        </is>
      </c>
      <c r="F2551" t="inlineStr">
        <is>
          <t>Kommuner</t>
        </is>
      </c>
      <c r="G2551" t="n">
        <v>12.4</v>
      </c>
      <c r="H2551" t="n">
        <v>0</v>
      </c>
      <c r="I2551" t="n">
        <v>0</v>
      </c>
      <c r="J2551" t="n">
        <v>0</v>
      </c>
      <c r="K2551" t="n">
        <v>0</v>
      </c>
      <c r="L2551" t="n">
        <v>0</v>
      </c>
      <c r="M2551" t="n">
        <v>0</v>
      </c>
      <c r="N2551" t="n">
        <v>0</v>
      </c>
      <c r="O2551" t="n">
        <v>0</v>
      </c>
      <c r="P2551" t="n">
        <v>0</v>
      </c>
      <c r="Q2551" t="n">
        <v>0</v>
      </c>
      <c r="R2551" s="2" t="inlineStr"/>
    </row>
    <row r="2552" ht="15" customHeight="1">
      <c r="A2552" t="inlineStr">
        <is>
          <t>A 32011-2023</t>
        </is>
      </c>
      <c r="B2552" s="1" t="n">
        <v>45119</v>
      </c>
      <c r="C2552" s="1" t="n">
        <v>45224</v>
      </c>
      <c r="D2552" t="inlineStr">
        <is>
          <t>STOCKHOLMS LÄN</t>
        </is>
      </c>
      <c r="E2552" t="inlineStr">
        <is>
          <t>NYNÄSHAMN</t>
        </is>
      </c>
      <c r="F2552" t="inlineStr">
        <is>
          <t>Kommuner</t>
        </is>
      </c>
      <c r="G2552" t="n">
        <v>5.4</v>
      </c>
      <c r="H2552" t="n">
        <v>0</v>
      </c>
      <c r="I2552" t="n">
        <v>0</v>
      </c>
      <c r="J2552" t="n">
        <v>0</v>
      </c>
      <c r="K2552" t="n">
        <v>0</v>
      </c>
      <c r="L2552" t="n">
        <v>0</v>
      </c>
      <c r="M2552" t="n">
        <v>0</v>
      </c>
      <c r="N2552" t="n">
        <v>0</v>
      </c>
      <c r="O2552" t="n">
        <v>0</v>
      </c>
      <c r="P2552" t="n">
        <v>0</v>
      </c>
      <c r="Q2552" t="n">
        <v>0</v>
      </c>
      <c r="R2552" s="2" t="inlineStr"/>
    </row>
    <row r="2553" ht="15" customHeight="1">
      <c r="A2553" t="inlineStr">
        <is>
          <t>A 32047-2023</t>
        </is>
      </c>
      <c r="B2553" s="1" t="n">
        <v>45119</v>
      </c>
      <c r="C2553" s="1" t="n">
        <v>45224</v>
      </c>
      <c r="D2553" t="inlineStr">
        <is>
          <t>STOCKHOLMS LÄN</t>
        </is>
      </c>
      <c r="E2553" t="inlineStr">
        <is>
          <t>SÖDERTÄLJE</t>
        </is>
      </c>
      <c r="F2553" t="inlineStr">
        <is>
          <t>Sveaskog</t>
        </is>
      </c>
      <c r="G2553" t="n">
        <v>3.4</v>
      </c>
      <c r="H2553" t="n">
        <v>0</v>
      </c>
      <c r="I2553" t="n">
        <v>0</v>
      </c>
      <c r="J2553" t="n">
        <v>0</v>
      </c>
      <c r="K2553" t="n">
        <v>0</v>
      </c>
      <c r="L2553" t="n">
        <v>0</v>
      </c>
      <c r="M2553" t="n">
        <v>0</v>
      </c>
      <c r="N2553" t="n">
        <v>0</v>
      </c>
      <c r="O2553" t="n">
        <v>0</v>
      </c>
      <c r="P2553" t="n">
        <v>0</v>
      </c>
      <c r="Q2553" t="n">
        <v>0</v>
      </c>
      <c r="R2553" s="2" t="inlineStr"/>
    </row>
    <row r="2554" ht="15" customHeight="1">
      <c r="A2554" t="inlineStr">
        <is>
          <t>A 32074-2023</t>
        </is>
      </c>
      <c r="B2554" s="1" t="n">
        <v>45119</v>
      </c>
      <c r="C2554" s="1" t="n">
        <v>45224</v>
      </c>
      <c r="D2554" t="inlineStr">
        <is>
          <t>STOCKHOLMS LÄN</t>
        </is>
      </c>
      <c r="E2554" t="inlineStr">
        <is>
          <t>NYNÄSHAMN</t>
        </is>
      </c>
      <c r="F2554" t="inlineStr">
        <is>
          <t>Kommuner</t>
        </is>
      </c>
      <c r="G2554" t="n">
        <v>13.1</v>
      </c>
      <c r="H2554" t="n">
        <v>0</v>
      </c>
      <c r="I2554" t="n">
        <v>0</v>
      </c>
      <c r="J2554" t="n">
        <v>0</v>
      </c>
      <c r="K2554" t="n">
        <v>0</v>
      </c>
      <c r="L2554" t="n">
        <v>0</v>
      </c>
      <c r="M2554" t="n">
        <v>0</v>
      </c>
      <c r="N2554" t="n">
        <v>0</v>
      </c>
      <c r="O2554" t="n">
        <v>0</v>
      </c>
      <c r="P2554" t="n">
        <v>0</v>
      </c>
      <c r="Q2554" t="n">
        <v>0</v>
      </c>
      <c r="R2554" s="2" t="inlineStr"/>
    </row>
    <row r="2555" ht="15" customHeight="1">
      <c r="A2555" t="inlineStr">
        <is>
          <t>A 32458-2023</t>
        </is>
      </c>
      <c r="B2555" s="1" t="n">
        <v>45120</v>
      </c>
      <c r="C2555" s="1" t="n">
        <v>45224</v>
      </c>
      <c r="D2555" t="inlineStr">
        <is>
          <t>STOCKHOLMS LÄN</t>
        </is>
      </c>
      <c r="E2555" t="inlineStr">
        <is>
          <t>VÄRMDÖ</t>
        </is>
      </c>
      <c r="G2555" t="n">
        <v>12.5</v>
      </c>
      <c r="H2555" t="n">
        <v>0</v>
      </c>
      <c r="I2555" t="n">
        <v>0</v>
      </c>
      <c r="J2555" t="n">
        <v>0</v>
      </c>
      <c r="K2555" t="n">
        <v>0</v>
      </c>
      <c r="L2555" t="n">
        <v>0</v>
      </c>
      <c r="M2555" t="n">
        <v>0</v>
      </c>
      <c r="N2555" t="n">
        <v>0</v>
      </c>
      <c r="O2555" t="n">
        <v>0</v>
      </c>
      <c r="P2555" t="n">
        <v>0</v>
      </c>
      <c r="Q2555" t="n">
        <v>0</v>
      </c>
      <c r="R2555" s="2" t="inlineStr"/>
    </row>
    <row r="2556" ht="15" customHeight="1">
      <c r="A2556" t="inlineStr">
        <is>
          <t>A 32455-2023</t>
        </is>
      </c>
      <c r="B2556" s="1" t="n">
        <v>45120</v>
      </c>
      <c r="C2556" s="1" t="n">
        <v>45224</v>
      </c>
      <c r="D2556" t="inlineStr">
        <is>
          <t>STOCKHOLMS LÄN</t>
        </is>
      </c>
      <c r="E2556" t="inlineStr">
        <is>
          <t>VÄRMDÖ</t>
        </is>
      </c>
      <c r="G2556" t="n">
        <v>4.1</v>
      </c>
      <c r="H2556" t="n">
        <v>0</v>
      </c>
      <c r="I2556" t="n">
        <v>0</v>
      </c>
      <c r="J2556" t="n">
        <v>0</v>
      </c>
      <c r="K2556" t="n">
        <v>0</v>
      </c>
      <c r="L2556" t="n">
        <v>0</v>
      </c>
      <c r="M2556" t="n">
        <v>0</v>
      </c>
      <c r="N2556" t="n">
        <v>0</v>
      </c>
      <c r="O2556" t="n">
        <v>0</v>
      </c>
      <c r="P2556" t="n">
        <v>0</v>
      </c>
      <c r="Q2556" t="n">
        <v>0</v>
      </c>
      <c r="R2556" s="2" t="inlineStr"/>
    </row>
    <row r="2557" ht="15" customHeight="1">
      <c r="A2557" t="inlineStr">
        <is>
          <t>A 32595-2023</t>
        </is>
      </c>
      <c r="B2557" s="1" t="n">
        <v>45121</v>
      </c>
      <c r="C2557" s="1" t="n">
        <v>45224</v>
      </c>
      <c r="D2557" t="inlineStr">
        <is>
          <t>STOCKHOLMS LÄN</t>
        </is>
      </c>
      <c r="E2557" t="inlineStr">
        <is>
          <t>NORRTÄLJE</t>
        </is>
      </c>
      <c r="G2557" t="n">
        <v>2.4</v>
      </c>
      <c r="H2557" t="n">
        <v>0</v>
      </c>
      <c r="I2557" t="n">
        <v>0</v>
      </c>
      <c r="J2557" t="n">
        <v>0</v>
      </c>
      <c r="K2557" t="n">
        <v>0</v>
      </c>
      <c r="L2557" t="n">
        <v>0</v>
      </c>
      <c r="M2557" t="n">
        <v>0</v>
      </c>
      <c r="N2557" t="n">
        <v>0</v>
      </c>
      <c r="O2557" t="n">
        <v>0</v>
      </c>
      <c r="P2557" t="n">
        <v>0</v>
      </c>
      <c r="Q2557" t="n">
        <v>0</v>
      </c>
      <c r="R2557" s="2" t="inlineStr"/>
    </row>
    <row r="2558" ht="15" customHeight="1">
      <c r="A2558" t="inlineStr">
        <is>
          <t>A 32621-2023</t>
        </is>
      </c>
      <c r="B2558" s="1" t="n">
        <v>45121</v>
      </c>
      <c r="C2558" s="1" t="n">
        <v>45224</v>
      </c>
      <c r="D2558" t="inlineStr">
        <is>
          <t>STOCKHOLMS LÄN</t>
        </is>
      </c>
      <c r="E2558" t="inlineStr">
        <is>
          <t>NORRTÄLJE</t>
        </is>
      </c>
      <c r="G2558" t="n">
        <v>4.6</v>
      </c>
      <c r="H2558" t="n">
        <v>0</v>
      </c>
      <c r="I2558" t="n">
        <v>0</v>
      </c>
      <c r="J2558" t="n">
        <v>0</v>
      </c>
      <c r="K2558" t="n">
        <v>0</v>
      </c>
      <c r="L2558" t="n">
        <v>0</v>
      </c>
      <c r="M2558" t="n">
        <v>0</v>
      </c>
      <c r="N2558" t="n">
        <v>0</v>
      </c>
      <c r="O2558" t="n">
        <v>0</v>
      </c>
      <c r="P2558" t="n">
        <v>0</v>
      </c>
      <c r="Q2558" t="n">
        <v>0</v>
      </c>
      <c r="R2558" s="2" t="inlineStr"/>
    </row>
    <row r="2559" ht="15" customHeight="1">
      <c r="A2559" t="inlineStr">
        <is>
          <t>A 33792-2023</t>
        </is>
      </c>
      <c r="B2559" s="1" t="n">
        <v>45121</v>
      </c>
      <c r="C2559" s="1" t="n">
        <v>45224</v>
      </c>
      <c r="D2559" t="inlineStr">
        <is>
          <t>STOCKHOLMS LÄN</t>
        </is>
      </c>
      <c r="E2559" t="inlineStr">
        <is>
          <t>HANINGE</t>
        </is>
      </c>
      <c r="G2559" t="n">
        <v>1.4</v>
      </c>
      <c r="H2559" t="n">
        <v>0</v>
      </c>
      <c r="I2559" t="n">
        <v>0</v>
      </c>
      <c r="J2559" t="n">
        <v>0</v>
      </c>
      <c r="K2559" t="n">
        <v>0</v>
      </c>
      <c r="L2559" t="n">
        <v>0</v>
      </c>
      <c r="M2559" t="n">
        <v>0</v>
      </c>
      <c r="N2559" t="n">
        <v>0</v>
      </c>
      <c r="O2559" t="n">
        <v>0</v>
      </c>
      <c r="P2559" t="n">
        <v>0</v>
      </c>
      <c r="Q2559" t="n">
        <v>0</v>
      </c>
      <c r="R2559" s="2" t="inlineStr"/>
    </row>
    <row r="2560" ht="15" customHeight="1">
      <c r="A2560" t="inlineStr">
        <is>
          <t>A 33958-2023</t>
        </is>
      </c>
      <c r="B2560" s="1" t="n">
        <v>45124</v>
      </c>
      <c r="C2560" s="1" t="n">
        <v>45224</v>
      </c>
      <c r="D2560" t="inlineStr">
        <is>
          <t>STOCKHOLMS LÄN</t>
        </is>
      </c>
      <c r="E2560" t="inlineStr">
        <is>
          <t>VÄRMDÖ</t>
        </is>
      </c>
      <c r="G2560" t="n">
        <v>0.6</v>
      </c>
      <c r="H2560" t="n">
        <v>0</v>
      </c>
      <c r="I2560" t="n">
        <v>0</v>
      </c>
      <c r="J2560" t="n">
        <v>0</v>
      </c>
      <c r="K2560" t="n">
        <v>0</v>
      </c>
      <c r="L2560" t="n">
        <v>0</v>
      </c>
      <c r="M2560" t="n">
        <v>0</v>
      </c>
      <c r="N2560" t="n">
        <v>0</v>
      </c>
      <c r="O2560" t="n">
        <v>0</v>
      </c>
      <c r="P2560" t="n">
        <v>0</v>
      </c>
      <c r="Q2560" t="n">
        <v>0</v>
      </c>
      <c r="R2560" s="2" t="inlineStr"/>
    </row>
    <row r="2561" ht="15" customHeight="1">
      <c r="A2561" t="inlineStr">
        <is>
          <t>A 32917-2023</t>
        </is>
      </c>
      <c r="B2561" s="1" t="n">
        <v>45125</v>
      </c>
      <c r="C2561" s="1" t="n">
        <v>45224</v>
      </c>
      <c r="D2561" t="inlineStr">
        <is>
          <t>STOCKHOLMS LÄN</t>
        </is>
      </c>
      <c r="E2561" t="inlineStr">
        <is>
          <t>NYNÄSHAMN</t>
        </is>
      </c>
      <c r="G2561" t="n">
        <v>6.3</v>
      </c>
      <c r="H2561" t="n">
        <v>0</v>
      </c>
      <c r="I2561" t="n">
        <v>0</v>
      </c>
      <c r="J2561" t="n">
        <v>0</v>
      </c>
      <c r="K2561" t="n">
        <v>0</v>
      </c>
      <c r="L2561" t="n">
        <v>0</v>
      </c>
      <c r="M2561" t="n">
        <v>0</v>
      </c>
      <c r="N2561" t="n">
        <v>0</v>
      </c>
      <c r="O2561" t="n">
        <v>0</v>
      </c>
      <c r="P2561" t="n">
        <v>0</v>
      </c>
      <c r="Q2561" t="n">
        <v>0</v>
      </c>
      <c r="R2561" s="2" t="inlineStr"/>
    </row>
    <row r="2562" ht="15" customHeight="1">
      <c r="A2562" t="inlineStr">
        <is>
          <t>A 33025-2023</t>
        </is>
      </c>
      <c r="B2562" s="1" t="n">
        <v>45125</v>
      </c>
      <c r="C2562" s="1" t="n">
        <v>45224</v>
      </c>
      <c r="D2562" t="inlineStr">
        <is>
          <t>STOCKHOLMS LÄN</t>
        </is>
      </c>
      <c r="E2562" t="inlineStr">
        <is>
          <t>NORRTÄLJE</t>
        </is>
      </c>
      <c r="G2562" t="n">
        <v>2.8</v>
      </c>
      <c r="H2562" t="n">
        <v>0</v>
      </c>
      <c r="I2562" t="n">
        <v>0</v>
      </c>
      <c r="J2562" t="n">
        <v>0</v>
      </c>
      <c r="K2562" t="n">
        <v>0</v>
      </c>
      <c r="L2562" t="n">
        <v>0</v>
      </c>
      <c r="M2562" t="n">
        <v>0</v>
      </c>
      <c r="N2562" t="n">
        <v>0</v>
      </c>
      <c r="O2562" t="n">
        <v>0</v>
      </c>
      <c r="P2562" t="n">
        <v>0</v>
      </c>
      <c r="Q2562" t="n">
        <v>0</v>
      </c>
      <c r="R2562" s="2" t="inlineStr"/>
    </row>
    <row r="2563" ht="15" customHeight="1">
      <c r="A2563" t="inlineStr">
        <is>
          <t>A 33130-2023</t>
        </is>
      </c>
      <c r="B2563" s="1" t="n">
        <v>45126</v>
      </c>
      <c r="C2563" s="1" t="n">
        <v>45224</v>
      </c>
      <c r="D2563" t="inlineStr">
        <is>
          <t>STOCKHOLMS LÄN</t>
        </is>
      </c>
      <c r="E2563" t="inlineStr">
        <is>
          <t>NORRTÄLJE</t>
        </is>
      </c>
      <c r="G2563" t="n">
        <v>1.6</v>
      </c>
      <c r="H2563" t="n">
        <v>0</v>
      </c>
      <c r="I2563" t="n">
        <v>0</v>
      </c>
      <c r="J2563" t="n">
        <v>0</v>
      </c>
      <c r="K2563" t="n">
        <v>0</v>
      </c>
      <c r="L2563" t="n">
        <v>0</v>
      </c>
      <c r="M2563" t="n">
        <v>0</v>
      </c>
      <c r="N2563" t="n">
        <v>0</v>
      </c>
      <c r="O2563" t="n">
        <v>0</v>
      </c>
      <c r="P2563" t="n">
        <v>0</v>
      </c>
      <c r="Q2563" t="n">
        <v>0</v>
      </c>
      <c r="R2563" s="2" t="inlineStr"/>
    </row>
    <row r="2564" ht="15" customHeight="1">
      <c r="A2564" t="inlineStr">
        <is>
          <t>A 33164-2023</t>
        </is>
      </c>
      <c r="B2564" s="1" t="n">
        <v>45126</v>
      </c>
      <c r="C2564" s="1" t="n">
        <v>45224</v>
      </c>
      <c r="D2564" t="inlineStr">
        <is>
          <t>STOCKHOLMS LÄN</t>
        </is>
      </c>
      <c r="E2564" t="inlineStr">
        <is>
          <t>VÄRMDÖ</t>
        </is>
      </c>
      <c r="G2564" t="n">
        <v>8.699999999999999</v>
      </c>
      <c r="H2564" t="n">
        <v>0</v>
      </c>
      <c r="I2564" t="n">
        <v>0</v>
      </c>
      <c r="J2564" t="n">
        <v>0</v>
      </c>
      <c r="K2564" t="n">
        <v>0</v>
      </c>
      <c r="L2564" t="n">
        <v>0</v>
      </c>
      <c r="M2564" t="n">
        <v>0</v>
      </c>
      <c r="N2564" t="n">
        <v>0</v>
      </c>
      <c r="O2564" t="n">
        <v>0</v>
      </c>
      <c r="P2564" t="n">
        <v>0</v>
      </c>
      <c r="Q2564" t="n">
        <v>0</v>
      </c>
      <c r="R2564" s="2" t="inlineStr"/>
    </row>
    <row r="2565" ht="15" customHeight="1">
      <c r="A2565" t="inlineStr">
        <is>
          <t>A 33167-2023</t>
        </is>
      </c>
      <c r="B2565" s="1" t="n">
        <v>45126</v>
      </c>
      <c r="C2565" s="1" t="n">
        <v>45224</v>
      </c>
      <c r="D2565" t="inlineStr">
        <is>
          <t>STOCKHOLMS LÄN</t>
        </is>
      </c>
      <c r="E2565" t="inlineStr">
        <is>
          <t>VÄRMDÖ</t>
        </is>
      </c>
      <c r="G2565" t="n">
        <v>0.8</v>
      </c>
      <c r="H2565" t="n">
        <v>0</v>
      </c>
      <c r="I2565" t="n">
        <v>0</v>
      </c>
      <c r="J2565" t="n">
        <v>0</v>
      </c>
      <c r="K2565" t="n">
        <v>0</v>
      </c>
      <c r="L2565" t="n">
        <v>0</v>
      </c>
      <c r="M2565" t="n">
        <v>0</v>
      </c>
      <c r="N2565" t="n">
        <v>0</v>
      </c>
      <c r="O2565" t="n">
        <v>0</v>
      </c>
      <c r="P2565" t="n">
        <v>0</v>
      </c>
      <c r="Q2565" t="n">
        <v>0</v>
      </c>
      <c r="R2565" s="2" t="inlineStr"/>
    </row>
    <row r="2566" ht="15" customHeight="1">
      <c r="A2566" t="inlineStr">
        <is>
          <t>A 34171-2023</t>
        </is>
      </c>
      <c r="B2566" s="1" t="n">
        <v>45126</v>
      </c>
      <c r="C2566" s="1" t="n">
        <v>45224</v>
      </c>
      <c r="D2566" t="inlineStr">
        <is>
          <t>STOCKHOLMS LÄN</t>
        </is>
      </c>
      <c r="E2566" t="inlineStr">
        <is>
          <t>HANINGE</t>
        </is>
      </c>
      <c r="G2566" t="n">
        <v>1.5</v>
      </c>
      <c r="H2566" t="n">
        <v>0</v>
      </c>
      <c r="I2566" t="n">
        <v>0</v>
      </c>
      <c r="J2566" t="n">
        <v>0</v>
      </c>
      <c r="K2566" t="n">
        <v>0</v>
      </c>
      <c r="L2566" t="n">
        <v>0</v>
      </c>
      <c r="M2566" t="n">
        <v>0</v>
      </c>
      <c r="N2566" t="n">
        <v>0</v>
      </c>
      <c r="O2566" t="n">
        <v>0</v>
      </c>
      <c r="P2566" t="n">
        <v>0</v>
      </c>
      <c r="Q2566" t="n">
        <v>0</v>
      </c>
      <c r="R2566" s="2" t="inlineStr"/>
    </row>
    <row r="2567" ht="15" customHeight="1">
      <c r="A2567" t="inlineStr">
        <is>
          <t>A 33226-2023</t>
        </is>
      </c>
      <c r="B2567" s="1" t="n">
        <v>45127</v>
      </c>
      <c r="C2567" s="1" t="n">
        <v>45224</v>
      </c>
      <c r="D2567" t="inlineStr">
        <is>
          <t>STOCKHOLMS LÄN</t>
        </is>
      </c>
      <c r="E2567" t="inlineStr">
        <is>
          <t>NORRTÄLJE</t>
        </is>
      </c>
      <c r="F2567" t="inlineStr">
        <is>
          <t>Holmen skog AB</t>
        </is>
      </c>
      <c r="G2567" t="n">
        <v>8.199999999999999</v>
      </c>
      <c r="H2567" t="n">
        <v>0</v>
      </c>
      <c r="I2567" t="n">
        <v>0</v>
      </c>
      <c r="J2567" t="n">
        <v>0</v>
      </c>
      <c r="K2567" t="n">
        <v>0</v>
      </c>
      <c r="L2567" t="n">
        <v>0</v>
      </c>
      <c r="M2567" t="n">
        <v>0</v>
      </c>
      <c r="N2567" t="n">
        <v>0</v>
      </c>
      <c r="O2567" t="n">
        <v>0</v>
      </c>
      <c r="P2567" t="n">
        <v>0</v>
      </c>
      <c r="Q2567" t="n">
        <v>0</v>
      </c>
      <c r="R2567" s="2" t="inlineStr"/>
    </row>
    <row r="2568" ht="15" customHeight="1">
      <c r="A2568" t="inlineStr">
        <is>
          <t>A 33353-2023</t>
        </is>
      </c>
      <c r="B2568" s="1" t="n">
        <v>45128</v>
      </c>
      <c r="C2568" s="1" t="n">
        <v>45224</v>
      </c>
      <c r="D2568" t="inlineStr">
        <is>
          <t>STOCKHOLMS LÄN</t>
        </is>
      </c>
      <c r="E2568" t="inlineStr">
        <is>
          <t>NORRTÄLJE</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33646-2023</t>
        </is>
      </c>
      <c r="B2569" s="1" t="n">
        <v>45132</v>
      </c>
      <c r="C2569" s="1" t="n">
        <v>45224</v>
      </c>
      <c r="D2569" t="inlineStr">
        <is>
          <t>STOCKHOLMS LÄN</t>
        </is>
      </c>
      <c r="E2569" t="inlineStr">
        <is>
          <t>NORRTÄLJE</t>
        </is>
      </c>
      <c r="G2569" t="n">
        <v>0.8</v>
      </c>
      <c r="H2569" t="n">
        <v>0</v>
      </c>
      <c r="I2569" t="n">
        <v>0</v>
      </c>
      <c r="J2569" t="n">
        <v>0</v>
      </c>
      <c r="K2569" t="n">
        <v>0</v>
      </c>
      <c r="L2569" t="n">
        <v>0</v>
      </c>
      <c r="M2569" t="n">
        <v>0</v>
      </c>
      <c r="N2569" t="n">
        <v>0</v>
      </c>
      <c r="O2569" t="n">
        <v>0</v>
      </c>
      <c r="P2569" t="n">
        <v>0</v>
      </c>
      <c r="Q2569" t="n">
        <v>0</v>
      </c>
      <c r="R2569" s="2" t="inlineStr"/>
    </row>
    <row r="2570" ht="15" customHeight="1">
      <c r="A2570" t="inlineStr">
        <is>
          <t>A 33641-2023</t>
        </is>
      </c>
      <c r="B2570" s="1" t="n">
        <v>45132</v>
      </c>
      <c r="C2570" s="1" t="n">
        <v>45224</v>
      </c>
      <c r="D2570" t="inlineStr">
        <is>
          <t>STOCKHOLMS LÄN</t>
        </is>
      </c>
      <c r="E2570" t="inlineStr">
        <is>
          <t>NORRTÄLJE</t>
        </is>
      </c>
      <c r="G2570" t="n">
        <v>2.5</v>
      </c>
      <c r="H2570" t="n">
        <v>0</v>
      </c>
      <c r="I2570" t="n">
        <v>0</v>
      </c>
      <c r="J2570" t="n">
        <v>0</v>
      </c>
      <c r="K2570" t="n">
        <v>0</v>
      </c>
      <c r="L2570" t="n">
        <v>0</v>
      </c>
      <c r="M2570" t="n">
        <v>0</v>
      </c>
      <c r="N2570" t="n">
        <v>0</v>
      </c>
      <c r="O2570" t="n">
        <v>0</v>
      </c>
      <c r="P2570" t="n">
        <v>0</v>
      </c>
      <c r="Q2570" t="n">
        <v>0</v>
      </c>
      <c r="R2570" s="2" t="inlineStr"/>
    </row>
    <row r="2571" ht="15" customHeight="1">
      <c r="A2571" t="inlineStr">
        <is>
          <t>A 34441-2023</t>
        </is>
      </c>
      <c r="B2571" s="1" t="n">
        <v>45139</v>
      </c>
      <c r="C2571" s="1" t="n">
        <v>45224</v>
      </c>
      <c r="D2571" t="inlineStr">
        <is>
          <t>STOCKHOLMS LÄN</t>
        </is>
      </c>
      <c r="E2571" t="inlineStr">
        <is>
          <t>VALLENTUNA</t>
        </is>
      </c>
      <c r="G2571" t="n">
        <v>1.6</v>
      </c>
      <c r="H2571" t="n">
        <v>0</v>
      </c>
      <c r="I2571" t="n">
        <v>0</v>
      </c>
      <c r="J2571" t="n">
        <v>0</v>
      </c>
      <c r="K2571" t="n">
        <v>0</v>
      </c>
      <c r="L2571" t="n">
        <v>0</v>
      </c>
      <c r="M2571" t="n">
        <v>0</v>
      </c>
      <c r="N2571" t="n">
        <v>0</v>
      </c>
      <c r="O2571" t="n">
        <v>0</v>
      </c>
      <c r="P2571" t="n">
        <v>0</v>
      </c>
      <c r="Q2571" t="n">
        <v>0</v>
      </c>
      <c r="R2571" s="2" t="inlineStr"/>
    </row>
    <row r="2572" ht="15" customHeight="1">
      <c r="A2572" t="inlineStr">
        <is>
          <t>A 34460-2023</t>
        </is>
      </c>
      <c r="B2572" s="1" t="n">
        <v>45139</v>
      </c>
      <c r="C2572" s="1" t="n">
        <v>45224</v>
      </c>
      <c r="D2572" t="inlineStr">
        <is>
          <t>STOCKHOLMS LÄN</t>
        </is>
      </c>
      <c r="E2572" t="inlineStr">
        <is>
          <t>VALLENTUNA</t>
        </is>
      </c>
      <c r="G2572" t="n">
        <v>1.7</v>
      </c>
      <c r="H2572" t="n">
        <v>0</v>
      </c>
      <c r="I2572" t="n">
        <v>0</v>
      </c>
      <c r="J2572" t="n">
        <v>0</v>
      </c>
      <c r="K2572" t="n">
        <v>0</v>
      </c>
      <c r="L2572" t="n">
        <v>0</v>
      </c>
      <c r="M2572" t="n">
        <v>0</v>
      </c>
      <c r="N2572" t="n">
        <v>0</v>
      </c>
      <c r="O2572" t="n">
        <v>0</v>
      </c>
      <c r="P2572" t="n">
        <v>0</v>
      </c>
      <c r="Q2572" t="n">
        <v>0</v>
      </c>
      <c r="R2572" s="2" t="inlineStr"/>
    </row>
    <row r="2573" ht="15" customHeight="1">
      <c r="A2573" t="inlineStr">
        <is>
          <t>A 34462-2023</t>
        </is>
      </c>
      <c r="B2573" s="1" t="n">
        <v>45139</v>
      </c>
      <c r="C2573" s="1" t="n">
        <v>45224</v>
      </c>
      <c r="D2573" t="inlineStr">
        <is>
          <t>STOCKHOLMS LÄN</t>
        </is>
      </c>
      <c r="E2573" t="inlineStr">
        <is>
          <t>NORRTÄLJE</t>
        </is>
      </c>
      <c r="G2573" t="n">
        <v>4.8</v>
      </c>
      <c r="H2573" t="n">
        <v>0</v>
      </c>
      <c r="I2573" t="n">
        <v>0</v>
      </c>
      <c r="J2573" t="n">
        <v>0</v>
      </c>
      <c r="K2573" t="n">
        <v>0</v>
      </c>
      <c r="L2573" t="n">
        <v>0</v>
      </c>
      <c r="M2573" t="n">
        <v>0</v>
      </c>
      <c r="N2573" t="n">
        <v>0</v>
      </c>
      <c r="O2573" t="n">
        <v>0</v>
      </c>
      <c r="P2573" t="n">
        <v>0</v>
      </c>
      <c r="Q2573" t="n">
        <v>0</v>
      </c>
      <c r="R2573" s="2" t="inlineStr"/>
    </row>
    <row r="2574" ht="15" customHeight="1">
      <c r="A2574" t="inlineStr">
        <is>
          <t>A 34385-2023</t>
        </is>
      </c>
      <c r="B2574" s="1" t="n">
        <v>45139</v>
      </c>
      <c r="C2574" s="1" t="n">
        <v>45224</v>
      </c>
      <c r="D2574" t="inlineStr">
        <is>
          <t>STOCKHOLMS LÄN</t>
        </is>
      </c>
      <c r="E2574" t="inlineStr">
        <is>
          <t>NYNÄSHAMN</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34458-2023</t>
        </is>
      </c>
      <c r="B2575" s="1" t="n">
        <v>45139</v>
      </c>
      <c r="C2575" s="1" t="n">
        <v>45224</v>
      </c>
      <c r="D2575" t="inlineStr">
        <is>
          <t>STOCKHOLMS LÄN</t>
        </is>
      </c>
      <c r="E2575" t="inlineStr">
        <is>
          <t>VALLENTUNA</t>
        </is>
      </c>
      <c r="G2575" t="n">
        <v>2.5</v>
      </c>
      <c r="H2575" t="n">
        <v>0</v>
      </c>
      <c r="I2575" t="n">
        <v>0</v>
      </c>
      <c r="J2575" t="n">
        <v>0</v>
      </c>
      <c r="K2575" t="n">
        <v>0</v>
      </c>
      <c r="L2575" t="n">
        <v>0</v>
      </c>
      <c r="M2575" t="n">
        <v>0</v>
      </c>
      <c r="N2575" t="n">
        <v>0</v>
      </c>
      <c r="O2575" t="n">
        <v>0</v>
      </c>
      <c r="P2575" t="n">
        <v>0</v>
      </c>
      <c r="Q2575" t="n">
        <v>0</v>
      </c>
      <c r="R2575" s="2" t="inlineStr"/>
    </row>
    <row r="2576" ht="15" customHeight="1">
      <c r="A2576" t="inlineStr">
        <is>
          <t>A 34445-2023</t>
        </is>
      </c>
      <c r="B2576" s="1" t="n">
        <v>45139</v>
      </c>
      <c r="C2576" s="1" t="n">
        <v>45224</v>
      </c>
      <c r="D2576" t="inlineStr">
        <is>
          <t>STOCKHOLMS LÄN</t>
        </is>
      </c>
      <c r="E2576" t="inlineStr">
        <is>
          <t>VALLENTUNA</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34461-2023</t>
        </is>
      </c>
      <c r="B2577" s="1" t="n">
        <v>45139</v>
      </c>
      <c r="C2577" s="1" t="n">
        <v>45224</v>
      </c>
      <c r="D2577" t="inlineStr">
        <is>
          <t>STOCKHOLMS LÄN</t>
        </is>
      </c>
      <c r="E2577" t="inlineStr">
        <is>
          <t>NORRTÄLJE</t>
        </is>
      </c>
      <c r="G2577" t="n">
        <v>1.4</v>
      </c>
      <c r="H2577" t="n">
        <v>0</v>
      </c>
      <c r="I2577" t="n">
        <v>0</v>
      </c>
      <c r="J2577" t="n">
        <v>0</v>
      </c>
      <c r="K2577" t="n">
        <v>0</v>
      </c>
      <c r="L2577" t="n">
        <v>0</v>
      </c>
      <c r="M2577" t="n">
        <v>0</v>
      </c>
      <c r="N2577" t="n">
        <v>0</v>
      </c>
      <c r="O2577" t="n">
        <v>0</v>
      </c>
      <c r="P2577" t="n">
        <v>0</v>
      </c>
      <c r="Q2577" t="n">
        <v>0</v>
      </c>
      <c r="R2577" s="2" t="inlineStr"/>
    </row>
    <row r="2578" ht="15" customHeight="1">
      <c r="A2578" t="inlineStr">
        <is>
          <t>A 34660-2023</t>
        </is>
      </c>
      <c r="B2578" s="1" t="n">
        <v>45140</v>
      </c>
      <c r="C2578" s="1" t="n">
        <v>45224</v>
      </c>
      <c r="D2578" t="inlineStr">
        <is>
          <t>STOCKHOLMS LÄN</t>
        </is>
      </c>
      <c r="E2578" t="inlineStr">
        <is>
          <t>NYNÄSHAMN</t>
        </is>
      </c>
      <c r="G2578" t="n">
        <v>1.7</v>
      </c>
      <c r="H2578" t="n">
        <v>0</v>
      </c>
      <c r="I2578" t="n">
        <v>0</v>
      </c>
      <c r="J2578" t="n">
        <v>0</v>
      </c>
      <c r="K2578" t="n">
        <v>0</v>
      </c>
      <c r="L2578" t="n">
        <v>0</v>
      </c>
      <c r="M2578" t="n">
        <v>0</v>
      </c>
      <c r="N2578" t="n">
        <v>0</v>
      </c>
      <c r="O2578" t="n">
        <v>0</v>
      </c>
      <c r="P2578" t="n">
        <v>0</v>
      </c>
      <c r="Q2578" t="n">
        <v>0</v>
      </c>
      <c r="R2578" s="2" t="inlineStr"/>
    </row>
    <row r="2579" ht="15" customHeight="1">
      <c r="A2579" t="inlineStr">
        <is>
          <t>A 34825-2023</t>
        </is>
      </c>
      <c r="B2579" s="1" t="n">
        <v>45141</v>
      </c>
      <c r="C2579" s="1" t="n">
        <v>45224</v>
      </c>
      <c r="D2579" t="inlineStr">
        <is>
          <t>STOCKHOLMS LÄN</t>
        </is>
      </c>
      <c r="E2579" t="inlineStr">
        <is>
          <t>NORRTÄLJE</t>
        </is>
      </c>
      <c r="G2579" t="n">
        <v>2.1</v>
      </c>
      <c r="H2579" t="n">
        <v>0</v>
      </c>
      <c r="I2579" t="n">
        <v>0</v>
      </c>
      <c r="J2579" t="n">
        <v>0</v>
      </c>
      <c r="K2579" t="n">
        <v>0</v>
      </c>
      <c r="L2579" t="n">
        <v>0</v>
      </c>
      <c r="M2579" t="n">
        <v>0</v>
      </c>
      <c r="N2579" t="n">
        <v>0</v>
      </c>
      <c r="O2579" t="n">
        <v>0</v>
      </c>
      <c r="P2579" t="n">
        <v>0</v>
      </c>
      <c r="Q2579" t="n">
        <v>0</v>
      </c>
      <c r="R2579" s="2" t="inlineStr"/>
    </row>
    <row r="2580" ht="15" customHeight="1">
      <c r="A2580" t="inlineStr">
        <is>
          <t>A 34880-2023</t>
        </is>
      </c>
      <c r="B2580" s="1" t="n">
        <v>45141</v>
      </c>
      <c r="C2580" s="1" t="n">
        <v>45224</v>
      </c>
      <c r="D2580" t="inlineStr">
        <is>
          <t>STOCKHOLMS LÄN</t>
        </is>
      </c>
      <c r="E2580" t="inlineStr">
        <is>
          <t>VAXHOLM</t>
        </is>
      </c>
      <c r="F2580" t="inlineStr">
        <is>
          <t>Övriga statliga verk och myndigheter</t>
        </is>
      </c>
      <c r="G2580" t="n">
        <v>1</v>
      </c>
      <c r="H2580" t="n">
        <v>0</v>
      </c>
      <c r="I2580" t="n">
        <v>0</v>
      </c>
      <c r="J2580" t="n">
        <v>0</v>
      </c>
      <c r="K2580" t="n">
        <v>0</v>
      </c>
      <c r="L2580" t="n">
        <v>0</v>
      </c>
      <c r="M2580" t="n">
        <v>0</v>
      </c>
      <c r="N2580" t="n">
        <v>0</v>
      </c>
      <c r="O2580" t="n">
        <v>0</v>
      </c>
      <c r="P2580" t="n">
        <v>0</v>
      </c>
      <c r="Q2580" t="n">
        <v>0</v>
      </c>
      <c r="R2580" s="2" t="inlineStr"/>
    </row>
    <row r="2581" ht="15" customHeight="1">
      <c r="A2581" t="inlineStr">
        <is>
          <t>A 35200-2023</t>
        </is>
      </c>
      <c r="B2581" s="1" t="n">
        <v>45145</v>
      </c>
      <c r="C2581" s="1" t="n">
        <v>45224</v>
      </c>
      <c r="D2581" t="inlineStr">
        <is>
          <t>STOCKHOLMS LÄN</t>
        </is>
      </c>
      <c r="E2581" t="inlineStr">
        <is>
          <t>SÖDERTÄLJE</t>
        </is>
      </c>
      <c r="G2581" t="n">
        <v>4.1</v>
      </c>
      <c r="H2581" t="n">
        <v>0</v>
      </c>
      <c r="I2581" t="n">
        <v>0</v>
      </c>
      <c r="J2581" t="n">
        <v>0</v>
      </c>
      <c r="K2581" t="n">
        <v>0</v>
      </c>
      <c r="L2581" t="n">
        <v>0</v>
      </c>
      <c r="M2581" t="n">
        <v>0</v>
      </c>
      <c r="N2581" t="n">
        <v>0</v>
      </c>
      <c r="O2581" t="n">
        <v>0</v>
      </c>
      <c r="P2581" t="n">
        <v>0</v>
      </c>
      <c r="Q2581" t="n">
        <v>0</v>
      </c>
      <c r="R2581" s="2" t="inlineStr"/>
    </row>
    <row r="2582" ht="15" customHeight="1">
      <c r="A2582" t="inlineStr">
        <is>
          <t>A 35113-2023</t>
        </is>
      </c>
      <c r="B2582" s="1" t="n">
        <v>45145</v>
      </c>
      <c r="C2582" s="1" t="n">
        <v>45224</v>
      </c>
      <c r="D2582" t="inlineStr">
        <is>
          <t>STOCKHOLMS LÄN</t>
        </is>
      </c>
      <c r="E2582" t="inlineStr">
        <is>
          <t>SÖDERTÄLJE</t>
        </is>
      </c>
      <c r="G2582" t="n">
        <v>1</v>
      </c>
      <c r="H2582" t="n">
        <v>0</v>
      </c>
      <c r="I2582" t="n">
        <v>0</v>
      </c>
      <c r="J2582" t="n">
        <v>0</v>
      </c>
      <c r="K2582" t="n">
        <v>0</v>
      </c>
      <c r="L2582" t="n">
        <v>0</v>
      </c>
      <c r="M2582" t="n">
        <v>0</v>
      </c>
      <c r="N2582" t="n">
        <v>0</v>
      </c>
      <c r="O2582" t="n">
        <v>0</v>
      </c>
      <c r="P2582" t="n">
        <v>0</v>
      </c>
      <c r="Q2582" t="n">
        <v>0</v>
      </c>
      <c r="R2582" s="2" t="inlineStr"/>
    </row>
    <row r="2583" ht="15" customHeight="1">
      <c r="A2583" t="inlineStr">
        <is>
          <t>A 35145-2023</t>
        </is>
      </c>
      <c r="B2583" s="1" t="n">
        <v>45145</v>
      </c>
      <c r="C2583" s="1" t="n">
        <v>45224</v>
      </c>
      <c r="D2583" t="inlineStr">
        <is>
          <t>STOCKHOLMS LÄN</t>
        </is>
      </c>
      <c r="E2583" t="inlineStr">
        <is>
          <t>SÖDERTÄLJE</t>
        </is>
      </c>
      <c r="G2583" t="n">
        <v>3</v>
      </c>
      <c r="H2583" t="n">
        <v>0</v>
      </c>
      <c r="I2583" t="n">
        <v>0</v>
      </c>
      <c r="J2583" t="n">
        <v>0</v>
      </c>
      <c r="K2583" t="n">
        <v>0</v>
      </c>
      <c r="L2583" t="n">
        <v>0</v>
      </c>
      <c r="M2583" t="n">
        <v>0</v>
      </c>
      <c r="N2583" t="n">
        <v>0</v>
      </c>
      <c r="O2583" t="n">
        <v>0</v>
      </c>
      <c r="P2583" t="n">
        <v>0</v>
      </c>
      <c r="Q2583" t="n">
        <v>0</v>
      </c>
      <c r="R2583" s="2" t="inlineStr"/>
    </row>
    <row r="2584" ht="15" customHeight="1">
      <c r="A2584" t="inlineStr">
        <is>
          <t>A 35418-2023</t>
        </is>
      </c>
      <c r="B2584" s="1" t="n">
        <v>45146</v>
      </c>
      <c r="C2584" s="1" t="n">
        <v>45224</v>
      </c>
      <c r="D2584" t="inlineStr">
        <is>
          <t>STOCKHOLMS LÄN</t>
        </is>
      </c>
      <c r="E2584" t="inlineStr">
        <is>
          <t>SÖDERTÄLJE</t>
        </is>
      </c>
      <c r="F2584" t="inlineStr">
        <is>
          <t>Kommuner</t>
        </is>
      </c>
      <c r="G2584" t="n">
        <v>6</v>
      </c>
      <c r="H2584" t="n">
        <v>0</v>
      </c>
      <c r="I2584" t="n">
        <v>0</v>
      </c>
      <c r="J2584" t="n">
        <v>0</v>
      </c>
      <c r="K2584" t="n">
        <v>0</v>
      </c>
      <c r="L2584" t="n">
        <v>0</v>
      </c>
      <c r="M2584" t="n">
        <v>0</v>
      </c>
      <c r="N2584" t="n">
        <v>0</v>
      </c>
      <c r="O2584" t="n">
        <v>0</v>
      </c>
      <c r="P2584" t="n">
        <v>0</v>
      </c>
      <c r="Q2584" t="n">
        <v>0</v>
      </c>
      <c r="R2584" s="2" t="inlineStr"/>
    </row>
    <row r="2585" ht="15" customHeight="1">
      <c r="A2585" t="inlineStr">
        <is>
          <t>A 35438-2023</t>
        </is>
      </c>
      <c r="B2585" s="1" t="n">
        <v>45146</v>
      </c>
      <c r="C2585" s="1" t="n">
        <v>45224</v>
      </c>
      <c r="D2585" t="inlineStr">
        <is>
          <t>STOCKHOLMS LÄN</t>
        </is>
      </c>
      <c r="E2585" t="inlineStr">
        <is>
          <t>NORRTÄLJE</t>
        </is>
      </c>
      <c r="F2585" t="inlineStr">
        <is>
          <t>Kommuner</t>
        </is>
      </c>
      <c r="G2585" t="n">
        <v>1.9</v>
      </c>
      <c r="H2585" t="n">
        <v>0</v>
      </c>
      <c r="I2585" t="n">
        <v>0</v>
      </c>
      <c r="J2585" t="n">
        <v>0</v>
      </c>
      <c r="K2585" t="n">
        <v>0</v>
      </c>
      <c r="L2585" t="n">
        <v>0</v>
      </c>
      <c r="M2585" t="n">
        <v>0</v>
      </c>
      <c r="N2585" t="n">
        <v>0</v>
      </c>
      <c r="O2585" t="n">
        <v>0</v>
      </c>
      <c r="P2585" t="n">
        <v>0</v>
      </c>
      <c r="Q2585" t="n">
        <v>0</v>
      </c>
      <c r="R2585" s="2" t="inlineStr"/>
    </row>
    <row r="2586" ht="15" customHeight="1">
      <c r="A2586" t="inlineStr">
        <is>
          <t>A 35704-2023</t>
        </is>
      </c>
      <c r="B2586" s="1" t="n">
        <v>45147</v>
      </c>
      <c r="C2586" s="1" t="n">
        <v>45224</v>
      </c>
      <c r="D2586" t="inlineStr">
        <is>
          <t>STOCKHOLMS LÄN</t>
        </is>
      </c>
      <c r="E2586" t="inlineStr">
        <is>
          <t>NORRTÄLJE</t>
        </is>
      </c>
      <c r="G2586" t="n">
        <v>2.8</v>
      </c>
      <c r="H2586" t="n">
        <v>0</v>
      </c>
      <c r="I2586" t="n">
        <v>0</v>
      </c>
      <c r="J2586" t="n">
        <v>0</v>
      </c>
      <c r="K2586" t="n">
        <v>0</v>
      </c>
      <c r="L2586" t="n">
        <v>0</v>
      </c>
      <c r="M2586" t="n">
        <v>0</v>
      </c>
      <c r="N2586" t="n">
        <v>0</v>
      </c>
      <c r="O2586" t="n">
        <v>0</v>
      </c>
      <c r="P2586" t="n">
        <v>0</v>
      </c>
      <c r="Q2586" t="n">
        <v>0</v>
      </c>
      <c r="R2586" s="2" t="inlineStr"/>
    </row>
    <row r="2587" ht="15" customHeight="1">
      <c r="A2587" t="inlineStr">
        <is>
          <t>A 35696-2023</t>
        </is>
      </c>
      <c r="B2587" s="1" t="n">
        <v>45147</v>
      </c>
      <c r="C2587" s="1" t="n">
        <v>45224</v>
      </c>
      <c r="D2587" t="inlineStr">
        <is>
          <t>STOCKHOLMS LÄN</t>
        </is>
      </c>
      <c r="E2587" t="inlineStr">
        <is>
          <t>NORRTÄLJE</t>
        </is>
      </c>
      <c r="G2587" t="n">
        <v>6</v>
      </c>
      <c r="H2587" t="n">
        <v>0</v>
      </c>
      <c r="I2587" t="n">
        <v>0</v>
      </c>
      <c r="J2587" t="n">
        <v>0</v>
      </c>
      <c r="K2587" t="n">
        <v>0</v>
      </c>
      <c r="L2587" t="n">
        <v>0</v>
      </c>
      <c r="M2587" t="n">
        <v>0</v>
      </c>
      <c r="N2587" t="n">
        <v>0</v>
      </c>
      <c r="O2587" t="n">
        <v>0</v>
      </c>
      <c r="P2587" t="n">
        <v>0</v>
      </c>
      <c r="Q2587" t="n">
        <v>0</v>
      </c>
      <c r="R2587" s="2" t="inlineStr"/>
    </row>
    <row r="2588" ht="15" customHeight="1">
      <c r="A2588" t="inlineStr">
        <is>
          <t>A 35702-2023</t>
        </is>
      </c>
      <c r="B2588" s="1" t="n">
        <v>45147</v>
      </c>
      <c r="C2588" s="1" t="n">
        <v>45224</v>
      </c>
      <c r="D2588" t="inlineStr">
        <is>
          <t>STOCKHOLMS LÄN</t>
        </is>
      </c>
      <c r="E2588" t="inlineStr">
        <is>
          <t>NORRTÄLJE</t>
        </is>
      </c>
      <c r="G2588" t="n">
        <v>1</v>
      </c>
      <c r="H2588" t="n">
        <v>0</v>
      </c>
      <c r="I2588" t="n">
        <v>0</v>
      </c>
      <c r="J2588" t="n">
        <v>0</v>
      </c>
      <c r="K2588" t="n">
        <v>0</v>
      </c>
      <c r="L2588" t="n">
        <v>0</v>
      </c>
      <c r="M2588" t="n">
        <v>0</v>
      </c>
      <c r="N2588" t="n">
        <v>0</v>
      </c>
      <c r="O2588" t="n">
        <v>0</v>
      </c>
      <c r="P2588" t="n">
        <v>0</v>
      </c>
      <c r="Q2588" t="n">
        <v>0</v>
      </c>
      <c r="R2588" s="2" t="inlineStr"/>
    </row>
    <row r="2589" ht="15" customHeight="1">
      <c r="A2589" t="inlineStr">
        <is>
          <t>A 35838-2023</t>
        </is>
      </c>
      <c r="B2589" s="1" t="n">
        <v>45147</v>
      </c>
      <c r="C2589" s="1" t="n">
        <v>45224</v>
      </c>
      <c r="D2589" t="inlineStr">
        <is>
          <t>STOCKHOLMS LÄN</t>
        </is>
      </c>
      <c r="E2589" t="inlineStr">
        <is>
          <t>VAXHOLM</t>
        </is>
      </c>
      <c r="F2589" t="inlineStr">
        <is>
          <t>Övriga statliga verk och myndigheter</t>
        </is>
      </c>
      <c r="G2589" t="n">
        <v>1.1</v>
      </c>
      <c r="H2589" t="n">
        <v>0</v>
      </c>
      <c r="I2589" t="n">
        <v>0</v>
      </c>
      <c r="J2589" t="n">
        <v>0</v>
      </c>
      <c r="K2589" t="n">
        <v>0</v>
      </c>
      <c r="L2589" t="n">
        <v>0</v>
      </c>
      <c r="M2589" t="n">
        <v>0</v>
      </c>
      <c r="N2589" t="n">
        <v>0</v>
      </c>
      <c r="O2589" t="n">
        <v>0</v>
      </c>
      <c r="P2589" t="n">
        <v>0</v>
      </c>
      <c r="Q2589" t="n">
        <v>0</v>
      </c>
      <c r="R2589" s="2" t="inlineStr"/>
    </row>
    <row r="2590" ht="15" customHeight="1">
      <c r="A2590" t="inlineStr">
        <is>
          <t>A 35698-2023</t>
        </is>
      </c>
      <c r="B2590" s="1" t="n">
        <v>45147</v>
      </c>
      <c r="C2590" s="1" t="n">
        <v>45224</v>
      </c>
      <c r="D2590" t="inlineStr">
        <is>
          <t>STOCKHOLMS LÄN</t>
        </is>
      </c>
      <c r="E2590" t="inlineStr">
        <is>
          <t>NORRTÄLJE</t>
        </is>
      </c>
      <c r="G2590" t="n">
        <v>2.1</v>
      </c>
      <c r="H2590" t="n">
        <v>0</v>
      </c>
      <c r="I2590" t="n">
        <v>0</v>
      </c>
      <c r="J2590" t="n">
        <v>0</v>
      </c>
      <c r="K2590" t="n">
        <v>0</v>
      </c>
      <c r="L2590" t="n">
        <v>0</v>
      </c>
      <c r="M2590" t="n">
        <v>0</v>
      </c>
      <c r="N2590" t="n">
        <v>0</v>
      </c>
      <c r="O2590" t="n">
        <v>0</v>
      </c>
      <c r="P2590" t="n">
        <v>0</v>
      </c>
      <c r="Q2590" t="n">
        <v>0</v>
      </c>
      <c r="R2590" s="2" t="inlineStr"/>
    </row>
    <row r="2591" ht="15" customHeight="1">
      <c r="A2591" t="inlineStr">
        <is>
          <t>A 35700-2023</t>
        </is>
      </c>
      <c r="B2591" s="1" t="n">
        <v>45147</v>
      </c>
      <c r="C2591" s="1" t="n">
        <v>45224</v>
      </c>
      <c r="D2591" t="inlineStr">
        <is>
          <t>STOCKHOLMS LÄN</t>
        </is>
      </c>
      <c r="E2591" t="inlineStr">
        <is>
          <t>NORRTÄLJE</t>
        </is>
      </c>
      <c r="G2591" t="n">
        <v>1.8</v>
      </c>
      <c r="H2591" t="n">
        <v>0</v>
      </c>
      <c r="I2591" t="n">
        <v>0</v>
      </c>
      <c r="J2591" t="n">
        <v>0</v>
      </c>
      <c r="K2591" t="n">
        <v>0</v>
      </c>
      <c r="L2591" t="n">
        <v>0</v>
      </c>
      <c r="M2591" t="n">
        <v>0</v>
      </c>
      <c r="N2591" t="n">
        <v>0</v>
      </c>
      <c r="O2591" t="n">
        <v>0</v>
      </c>
      <c r="P2591" t="n">
        <v>0</v>
      </c>
      <c r="Q2591" t="n">
        <v>0</v>
      </c>
      <c r="R2591" s="2" t="inlineStr"/>
    </row>
    <row r="2592" ht="15" customHeight="1">
      <c r="A2592" t="inlineStr">
        <is>
          <t>A 35823-2023</t>
        </is>
      </c>
      <c r="B2592" s="1" t="n">
        <v>45148</v>
      </c>
      <c r="C2592" s="1" t="n">
        <v>45224</v>
      </c>
      <c r="D2592" t="inlineStr">
        <is>
          <t>STOCKHOLMS LÄN</t>
        </is>
      </c>
      <c r="E2592" t="inlineStr">
        <is>
          <t>NORRTÄLJE</t>
        </is>
      </c>
      <c r="G2592" t="n">
        <v>6.4</v>
      </c>
      <c r="H2592" t="n">
        <v>0</v>
      </c>
      <c r="I2592" t="n">
        <v>0</v>
      </c>
      <c r="J2592" t="n">
        <v>0</v>
      </c>
      <c r="K2592" t="n">
        <v>0</v>
      </c>
      <c r="L2592" t="n">
        <v>0</v>
      </c>
      <c r="M2592" t="n">
        <v>0</v>
      </c>
      <c r="N2592" t="n">
        <v>0</v>
      </c>
      <c r="O2592" t="n">
        <v>0</v>
      </c>
      <c r="P2592" t="n">
        <v>0</v>
      </c>
      <c r="Q2592" t="n">
        <v>0</v>
      </c>
      <c r="R2592" s="2" t="inlineStr"/>
    </row>
    <row r="2593" ht="15" customHeight="1">
      <c r="A2593" t="inlineStr">
        <is>
          <t>A 36052-2023</t>
        </is>
      </c>
      <c r="B2593" s="1" t="n">
        <v>45149</v>
      </c>
      <c r="C2593" s="1" t="n">
        <v>45224</v>
      </c>
      <c r="D2593" t="inlineStr">
        <is>
          <t>STOCKHOLMS LÄN</t>
        </is>
      </c>
      <c r="E2593" t="inlineStr">
        <is>
          <t>NYNÄSHAMN</t>
        </is>
      </c>
      <c r="G2593" t="n">
        <v>1.9</v>
      </c>
      <c r="H2593" t="n">
        <v>0</v>
      </c>
      <c r="I2593" t="n">
        <v>0</v>
      </c>
      <c r="J2593" t="n">
        <v>0</v>
      </c>
      <c r="K2593" t="n">
        <v>0</v>
      </c>
      <c r="L2593" t="n">
        <v>0</v>
      </c>
      <c r="M2593" t="n">
        <v>0</v>
      </c>
      <c r="N2593" t="n">
        <v>0</v>
      </c>
      <c r="O2593" t="n">
        <v>0</v>
      </c>
      <c r="P2593" t="n">
        <v>0</v>
      </c>
      <c r="Q2593" t="n">
        <v>0</v>
      </c>
      <c r="R2593" s="2" t="inlineStr"/>
    </row>
    <row r="2594" ht="15" customHeight="1">
      <c r="A2594" t="inlineStr">
        <is>
          <t>A 36148-2023</t>
        </is>
      </c>
      <c r="B2594" s="1" t="n">
        <v>45149</v>
      </c>
      <c r="C2594" s="1" t="n">
        <v>45224</v>
      </c>
      <c r="D2594" t="inlineStr">
        <is>
          <t>STOCKHOLMS LÄN</t>
        </is>
      </c>
      <c r="E2594" t="inlineStr">
        <is>
          <t>VÄRMDÖ</t>
        </is>
      </c>
      <c r="F2594" t="inlineStr">
        <is>
          <t>Övriga statliga verk och myndigheter</t>
        </is>
      </c>
      <c r="G2594" t="n">
        <v>2.7</v>
      </c>
      <c r="H2594" t="n">
        <v>0</v>
      </c>
      <c r="I2594" t="n">
        <v>0</v>
      </c>
      <c r="J2594" t="n">
        <v>0</v>
      </c>
      <c r="K2594" t="n">
        <v>0</v>
      </c>
      <c r="L2594" t="n">
        <v>0</v>
      </c>
      <c r="M2594" t="n">
        <v>0</v>
      </c>
      <c r="N2594" t="n">
        <v>0</v>
      </c>
      <c r="O2594" t="n">
        <v>0</v>
      </c>
      <c r="P2594" t="n">
        <v>0</v>
      </c>
      <c r="Q2594" t="n">
        <v>0</v>
      </c>
      <c r="R2594" s="2" t="inlineStr"/>
    </row>
    <row r="2595" ht="15" customHeight="1">
      <c r="A2595" t="inlineStr">
        <is>
          <t>A 36060-2023</t>
        </is>
      </c>
      <c r="B2595" s="1" t="n">
        <v>45149</v>
      </c>
      <c r="C2595" s="1" t="n">
        <v>45224</v>
      </c>
      <c r="D2595" t="inlineStr">
        <is>
          <t>STOCKHOLMS LÄN</t>
        </is>
      </c>
      <c r="E2595" t="inlineStr">
        <is>
          <t>NYNÄSHAMN</t>
        </is>
      </c>
      <c r="G2595" t="n">
        <v>5.5</v>
      </c>
      <c r="H2595" t="n">
        <v>0</v>
      </c>
      <c r="I2595" t="n">
        <v>0</v>
      </c>
      <c r="J2595" t="n">
        <v>0</v>
      </c>
      <c r="K2595" t="n">
        <v>0</v>
      </c>
      <c r="L2595" t="n">
        <v>0</v>
      </c>
      <c r="M2595" t="n">
        <v>0</v>
      </c>
      <c r="N2595" t="n">
        <v>0</v>
      </c>
      <c r="O2595" t="n">
        <v>0</v>
      </c>
      <c r="P2595" t="n">
        <v>0</v>
      </c>
      <c r="Q2595" t="n">
        <v>0</v>
      </c>
      <c r="R2595" s="2" t="inlineStr"/>
    </row>
    <row r="2596" ht="15" customHeight="1">
      <c r="A2596" t="inlineStr">
        <is>
          <t>A 36056-2023</t>
        </is>
      </c>
      <c r="B2596" s="1" t="n">
        <v>45149</v>
      </c>
      <c r="C2596" s="1" t="n">
        <v>45224</v>
      </c>
      <c r="D2596" t="inlineStr">
        <is>
          <t>STOCKHOLMS LÄN</t>
        </is>
      </c>
      <c r="E2596" t="inlineStr">
        <is>
          <t>NYNÄSHAMN</t>
        </is>
      </c>
      <c r="G2596" t="n">
        <v>2.5</v>
      </c>
      <c r="H2596" t="n">
        <v>0</v>
      </c>
      <c r="I2596" t="n">
        <v>0</v>
      </c>
      <c r="J2596" t="n">
        <v>0</v>
      </c>
      <c r="K2596" t="n">
        <v>0</v>
      </c>
      <c r="L2596" t="n">
        <v>0</v>
      </c>
      <c r="M2596" t="n">
        <v>0</v>
      </c>
      <c r="N2596" t="n">
        <v>0</v>
      </c>
      <c r="O2596" t="n">
        <v>0</v>
      </c>
      <c r="P2596" t="n">
        <v>0</v>
      </c>
      <c r="Q2596" t="n">
        <v>0</v>
      </c>
      <c r="R2596" s="2" t="inlineStr"/>
    </row>
    <row r="2597" ht="15" customHeight="1">
      <c r="A2597" t="inlineStr">
        <is>
          <t>A 36257-2023</t>
        </is>
      </c>
      <c r="B2597" s="1" t="n">
        <v>45151</v>
      </c>
      <c r="C2597" s="1" t="n">
        <v>45224</v>
      </c>
      <c r="D2597" t="inlineStr">
        <is>
          <t>STOCKHOLMS LÄN</t>
        </is>
      </c>
      <c r="E2597" t="inlineStr">
        <is>
          <t>NORRTÄLJE</t>
        </is>
      </c>
      <c r="G2597" t="n">
        <v>1</v>
      </c>
      <c r="H2597" t="n">
        <v>0</v>
      </c>
      <c r="I2597" t="n">
        <v>0</v>
      </c>
      <c r="J2597" t="n">
        <v>0</v>
      </c>
      <c r="K2597" t="n">
        <v>0</v>
      </c>
      <c r="L2597" t="n">
        <v>0</v>
      </c>
      <c r="M2597" t="n">
        <v>0</v>
      </c>
      <c r="N2597" t="n">
        <v>0</v>
      </c>
      <c r="O2597" t="n">
        <v>0</v>
      </c>
      <c r="P2597" t="n">
        <v>0</v>
      </c>
      <c r="Q2597" t="n">
        <v>0</v>
      </c>
      <c r="R2597" s="2" t="inlineStr"/>
    </row>
    <row r="2598" ht="15" customHeight="1">
      <c r="A2598" t="inlineStr">
        <is>
          <t>A 36253-2023</t>
        </is>
      </c>
      <c r="B2598" s="1" t="n">
        <v>45151</v>
      </c>
      <c r="C2598" s="1" t="n">
        <v>45224</v>
      </c>
      <c r="D2598" t="inlineStr">
        <is>
          <t>STOCKHOLMS LÄN</t>
        </is>
      </c>
      <c r="E2598" t="inlineStr">
        <is>
          <t>NORRTÄLJE</t>
        </is>
      </c>
      <c r="G2598" t="n">
        <v>2</v>
      </c>
      <c r="H2598" t="n">
        <v>0</v>
      </c>
      <c r="I2598" t="n">
        <v>0</v>
      </c>
      <c r="J2598" t="n">
        <v>0</v>
      </c>
      <c r="K2598" t="n">
        <v>0</v>
      </c>
      <c r="L2598" t="n">
        <v>0</v>
      </c>
      <c r="M2598" t="n">
        <v>0</v>
      </c>
      <c r="N2598" t="n">
        <v>0</v>
      </c>
      <c r="O2598" t="n">
        <v>0</v>
      </c>
      <c r="P2598" t="n">
        <v>0</v>
      </c>
      <c r="Q2598" t="n">
        <v>0</v>
      </c>
      <c r="R2598" s="2" t="inlineStr"/>
    </row>
    <row r="2599" ht="15" customHeight="1">
      <c r="A2599" t="inlineStr">
        <is>
          <t>A 36258-2023</t>
        </is>
      </c>
      <c r="B2599" s="1" t="n">
        <v>45151</v>
      </c>
      <c r="C2599" s="1" t="n">
        <v>45224</v>
      </c>
      <c r="D2599" t="inlineStr">
        <is>
          <t>STOCKHOLMS LÄN</t>
        </is>
      </c>
      <c r="E2599" t="inlineStr">
        <is>
          <t>NORRTÄLJE</t>
        </is>
      </c>
      <c r="G2599" t="n">
        <v>3.2</v>
      </c>
      <c r="H2599" t="n">
        <v>0</v>
      </c>
      <c r="I2599" t="n">
        <v>0</v>
      </c>
      <c r="J2599" t="n">
        <v>0</v>
      </c>
      <c r="K2599" t="n">
        <v>0</v>
      </c>
      <c r="L2599" t="n">
        <v>0</v>
      </c>
      <c r="M2599" t="n">
        <v>0</v>
      </c>
      <c r="N2599" t="n">
        <v>0</v>
      </c>
      <c r="O2599" t="n">
        <v>0</v>
      </c>
      <c r="P2599" t="n">
        <v>0</v>
      </c>
      <c r="Q2599" t="n">
        <v>0</v>
      </c>
      <c r="R2599" s="2" t="inlineStr"/>
    </row>
    <row r="2600" ht="15" customHeight="1">
      <c r="A2600" t="inlineStr">
        <is>
          <t>A 36254-2023</t>
        </is>
      </c>
      <c r="B2600" s="1" t="n">
        <v>45151</v>
      </c>
      <c r="C2600" s="1" t="n">
        <v>45224</v>
      </c>
      <c r="D2600" t="inlineStr">
        <is>
          <t>STOCKHOLMS LÄN</t>
        </is>
      </c>
      <c r="E2600" t="inlineStr">
        <is>
          <t>NORRTÄLJE</t>
        </is>
      </c>
      <c r="G2600" t="n">
        <v>1.5</v>
      </c>
      <c r="H2600" t="n">
        <v>0</v>
      </c>
      <c r="I2600" t="n">
        <v>0</v>
      </c>
      <c r="J2600" t="n">
        <v>0</v>
      </c>
      <c r="K2600" t="n">
        <v>0</v>
      </c>
      <c r="L2600" t="n">
        <v>0</v>
      </c>
      <c r="M2600" t="n">
        <v>0</v>
      </c>
      <c r="N2600" t="n">
        <v>0</v>
      </c>
      <c r="O2600" t="n">
        <v>0</v>
      </c>
      <c r="P2600" t="n">
        <v>0</v>
      </c>
      <c r="Q2600" t="n">
        <v>0</v>
      </c>
      <c r="R2600" s="2" t="inlineStr"/>
    </row>
    <row r="2601" ht="15" customHeight="1">
      <c r="A2601" t="inlineStr">
        <is>
          <t>A 36259-2023</t>
        </is>
      </c>
      <c r="B2601" s="1" t="n">
        <v>45151</v>
      </c>
      <c r="C2601" s="1" t="n">
        <v>45224</v>
      </c>
      <c r="D2601" t="inlineStr">
        <is>
          <t>STOCKHOLMS LÄN</t>
        </is>
      </c>
      <c r="E2601" t="inlineStr">
        <is>
          <t>NORRTÄLJE</t>
        </is>
      </c>
      <c r="G2601" t="n">
        <v>1.3</v>
      </c>
      <c r="H2601" t="n">
        <v>0</v>
      </c>
      <c r="I2601" t="n">
        <v>0</v>
      </c>
      <c r="J2601" t="n">
        <v>0</v>
      </c>
      <c r="K2601" t="n">
        <v>0</v>
      </c>
      <c r="L2601" t="n">
        <v>0</v>
      </c>
      <c r="M2601" t="n">
        <v>0</v>
      </c>
      <c r="N2601" t="n">
        <v>0</v>
      </c>
      <c r="O2601" t="n">
        <v>0</v>
      </c>
      <c r="P2601" t="n">
        <v>0</v>
      </c>
      <c r="Q2601" t="n">
        <v>0</v>
      </c>
      <c r="R2601" s="2" t="inlineStr"/>
    </row>
    <row r="2602" ht="15" customHeight="1">
      <c r="A2602" t="inlineStr">
        <is>
          <t>A 36689-2023</t>
        </is>
      </c>
      <c r="B2602" s="1" t="n">
        <v>45152</v>
      </c>
      <c r="C2602" s="1" t="n">
        <v>45224</v>
      </c>
      <c r="D2602" t="inlineStr">
        <is>
          <t>STOCKHOLMS LÄN</t>
        </is>
      </c>
      <c r="E2602" t="inlineStr">
        <is>
          <t>NORRTÄLJE</t>
        </is>
      </c>
      <c r="G2602" t="n">
        <v>1.8</v>
      </c>
      <c r="H2602" t="n">
        <v>0</v>
      </c>
      <c r="I2602" t="n">
        <v>0</v>
      </c>
      <c r="J2602" t="n">
        <v>0</v>
      </c>
      <c r="K2602" t="n">
        <v>0</v>
      </c>
      <c r="L2602" t="n">
        <v>0</v>
      </c>
      <c r="M2602" t="n">
        <v>0</v>
      </c>
      <c r="N2602" t="n">
        <v>0</v>
      </c>
      <c r="O2602" t="n">
        <v>0</v>
      </c>
      <c r="P2602" t="n">
        <v>0</v>
      </c>
      <c r="Q2602" t="n">
        <v>0</v>
      </c>
      <c r="R2602" s="2" t="inlineStr"/>
    </row>
    <row r="2603" ht="15" customHeight="1">
      <c r="A2603" t="inlineStr">
        <is>
          <t>A 36402-2023</t>
        </is>
      </c>
      <c r="B2603" s="1" t="n">
        <v>45152</v>
      </c>
      <c r="C2603" s="1" t="n">
        <v>45224</v>
      </c>
      <c r="D2603" t="inlineStr">
        <is>
          <t>STOCKHOLMS LÄN</t>
        </is>
      </c>
      <c r="E2603" t="inlineStr">
        <is>
          <t>BOTKYRKA</t>
        </is>
      </c>
      <c r="F2603" t="inlineStr">
        <is>
          <t>Övriga Aktiebolag</t>
        </is>
      </c>
      <c r="G2603" t="n">
        <v>1.1</v>
      </c>
      <c r="H2603" t="n">
        <v>0</v>
      </c>
      <c r="I2603" t="n">
        <v>0</v>
      </c>
      <c r="J2603" t="n">
        <v>0</v>
      </c>
      <c r="K2603" t="n">
        <v>0</v>
      </c>
      <c r="L2603" t="n">
        <v>0</v>
      </c>
      <c r="M2603" t="n">
        <v>0</v>
      </c>
      <c r="N2603" t="n">
        <v>0</v>
      </c>
      <c r="O2603" t="n">
        <v>0</v>
      </c>
      <c r="P2603" t="n">
        <v>0</v>
      </c>
      <c r="Q2603" t="n">
        <v>0</v>
      </c>
      <c r="R2603" s="2" t="inlineStr"/>
    </row>
    <row r="2604" ht="15" customHeight="1">
      <c r="A2604" t="inlineStr">
        <is>
          <t>A 36467-2023</t>
        </is>
      </c>
      <c r="B2604" s="1" t="n">
        <v>45152</v>
      </c>
      <c r="C2604" s="1" t="n">
        <v>45224</v>
      </c>
      <c r="D2604" t="inlineStr">
        <is>
          <t>STOCKHOLMS LÄN</t>
        </is>
      </c>
      <c r="E2604" t="inlineStr">
        <is>
          <t>SALEM</t>
        </is>
      </c>
      <c r="F2604" t="inlineStr">
        <is>
          <t>Kommuner</t>
        </is>
      </c>
      <c r="G2604" t="n">
        <v>5.8</v>
      </c>
      <c r="H2604" t="n">
        <v>0</v>
      </c>
      <c r="I2604" t="n">
        <v>0</v>
      </c>
      <c r="J2604" t="n">
        <v>0</v>
      </c>
      <c r="K2604" t="n">
        <v>0</v>
      </c>
      <c r="L2604" t="n">
        <v>0</v>
      </c>
      <c r="M2604" t="n">
        <v>0</v>
      </c>
      <c r="N2604" t="n">
        <v>0</v>
      </c>
      <c r="O2604" t="n">
        <v>0</v>
      </c>
      <c r="P2604" t="n">
        <v>0</v>
      </c>
      <c r="Q2604" t="n">
        <v>0</v>
      </c>
      <c r="R2604" s="2" t="inlineStr"/>
    </row>
    <row r="2605" ht="15" customHeight="1">
      <c r="A2605" t="inlineStr">
        <is>
          <t>A 36865-2023</t>
        </is>
      </c>
      <c r="B2605" s="1" t="n">
        <v>45154</v>
      </c>
      <c r="C2605" s="1" t="n">
        <v>45224</v>
      </c>
      <c r="D2605" t="inlineStr">
        <is>
          <t>STOCKHOLMS LÄN</t>
        </is>
      </c>
      <c r="E2605" t="inlineStr">
        <is>
          <t>NORRTÄLJE</t>
        </is>
      </c>
      <c r="F2605" t="inlineStr">
        <is>
          <t>Kyrkan</t>
        </is>
      </c>
      <c r="G2605" t="n">
        <v>4.2</v>
      </c>
      <c r="H2605" t="n">
        <v>0</v>
      </c>
      <c r="I2605" t="n">
        <v>0</v>
      </c>
      <c r="J2605" t="n">
        <v>0</v>
      </c>
      <c r="K2605" t="n">
        <v>0</v>
      </c>
      <c r="L2605" t="n">
        <v>0</v>
      </c>
      <c r="M2605" t="n">
        <v>0</v>
      </c>
      <c r="N2605" t="n">
        <v>0</v>
      </c>
      <c r="O2605" t="n">
        <v>0</v>
      </c>
      <c r="P2605" t="n">
        <v>0</v>
      </c>
      <c r="Q2605" t="n">
        <v>0</v>
      </c>
      <c r="R2605" s="2" t="inlineStr"/>
    </row>
    <row r="2606" ht="15" customHeight="1">
      <c r="A2606" t="inlineStr">
        <is>
          <t>A 38049-2023</t>
        </is>
      </c>
      <c r="B2606" s="1" t="n">
        <v>45159</v>
      </c>
      <c r="C2606" s="1" t="n">
        <v>45224</v>
      </c>
      <c r="D2606" t="inlineStr">
        <is>
          <t>STOCKHOLMS LÄN</t>
        </is>
      </c>
      <c r="E2606" t="inlineStr">
        <is>
          <t>NORRTÄLJE</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37670-2023</t>
        </is>
      </c>
      <c r="B2607" s="1" t="n">
        <v>45159</v>
      </c>
      <c r="C2607" s="1" t="n">
        <v>45224</v>
      </c>
      <c r="D2607" t="inlineStr">
        <is>
          <t>STOCKHOLMS LÄN</t>
        </is>
      </c>
      <c r="E2607" t="inlineStr">
        <is>
          <t>NORRTÄLJE</t>
        </is>
      </c>
      <c r="G2607" t="n">
        <v>1.4</v>
      </c>
      <c r="H2607" t="n">
        <v>0</v>
      </c>
      <c r="I2607" t="n">
        <v>0</v>
      </c>
      <c r="J2607" t="n">
        <v>0</v>
      </c>
      <c r="K2607" t="n">
        <v>0</v>
      </c>
      <c r="L2607" t="n">
        <v>0</v>
      </c>
      <c r="M2607" t="n">
        <v>0</v>
      </c>
      <c r="N2607" t="n">
        <v>0</v>
      </c>
      <c r="O2607" t="n">
        <v>0</v>
      </c>
      <c r="P2607" t="n">
        <v>0</v>
      </c>
      <c r="Q2607" t="n">
        <v>0</v>
      </c>
      <c r="R2607" s="2" t="inlineStr"/>
    </row>
    <row r="2608" ht="15" customHeight="1">
      <c r="A2608" t="inlineStr">
        <is>
          <t>A 38487-2023</t>
        </is>
      </c>
      <c r="B2608" s="1" t="n">
        <v>45162</v>
      </c>
      <c r="C2608" s="1" t="n">
        <v>45224</v>
      </c>
      <c r="D2608" t="inlineStr">
        <is>
          <t>STOCKHOLMS LÄN</t>
        </is>
      </c>
      <c r="E2608" t="inlineStr">
        <is>
          <t>NORRTÄLJE</t>
        </is>
      </c>
      <c r="G2608" t="n">
        <v>3.3</v>
      </c>
      <c r="H2608" t="n">
        <v>0</v>
      </c>
      <c r="I2608" t="n">
        <v>0</v>
      </c>
      <c r="J2608" t="n">
        <v>0</v>
      </c>
      <c r="K2608" t="n">
        <v>0</v>
      </c>
      <c r="L2608" t="n">
        <v>0</v>
      </c>
      <c r="M2608" t="n">
        <v>0</v>
      </c>
      <c r="N2608" t="n">
        <v>0</v>
      </c>
      <c r="O2608" t="n">
        <v>0</v>
      </c>
      <c r="P2608" t="n">
        <v>0</v>
      </c>
      <c r="Q2608" t="n">
        <v>0</v>
      </c>
      <c r="R2608" s="2" t="inlineStr"/>
    </row>
    <row r="2609" ht="15" customHeight="1">
      <c r="A2609" t="inlineStr">
        <is>
          <t>A 38591-2023</t>
        </is>
      </c>
      <c r="B2609" s="1" t="n">
        <v>45162</v>
      </c>
      <c r="C2609" s="1" t="n">
        <v>45224</v>
      </c>
      <c r="D2609" t="inlineStr">
        <is>
          <t>STOCKHOLMS LÄN</t>
        </is>
      </c>
      <c r="E2609" t="inlineStr">
        <is>
          <t>NORRTÄLJE</t>
        </is>
      </c>
      <c r="F2609" t="inlineStr">
        <is>
          <t>Övriga Aktiebolag</t>
        </is>
      </c>
      <c r="G2609" t="n">
        <v>3.1</v>
      </c>
      <c r="H2609" t="n">
        <v>0</v>
      </c>
      <c r="I2609" t="n">
        <v>0</v>
      </c>
      <c r="J2609" t="n">
        <v>0</v>
      </c>
      <c r="K2609" t="n">
        <v>0</v>
      </c>
      <c r="L2609" t="n">
        <v>0</v>
      </c>
      <c r="M2609" t="n">
        <v>0</v>
      </c>
      <c r="N2609" t="n">
        <v>0</v>
      </c>
      <c r="O2609" t="n">
        <v>0</v>
      </c>
      <c r="P2609" t="n">
        <v>0</v>
      </c>
      <c r="Q2609" t="n">
        <v>0</v>
      </c>
      <c r="R2609" s="2" t="inlineStr"/>
    </row>
    <row r="2610" ht="15" customHeight="1">
      <c r="A2610" t="inlineStr">
        <is>
          <t>A 38465-2023</t>
        </is>
      </c>
      <c r="B2610" s="1" t="n">
        <v>45162</v>
      </c>
      <c r="C2610" s="1" t="n">
        <v>45224</v>
      </c>
      <c r="D2610" t="inlineStr">
        <is>
          <t>STOCKHOLMS LÄN</t>
        </is>
      </c>
      <c r="E2610" t="inlineStr">
        <is>
          <t>SIGTUNA</t>
        </is>
      </c>
      <c r="G2610" t="n">
        <v>0.7</v>
      </c>
      <c r="H2610" t="n">
        <v>0</v>
      </c>
      <c r="I2610" t="n">
        <v>0</v>
      </c>
      <c r="J2610" t="n">
        <v>0</v>
      </c>
      <c r="K2610" t="n">
        <v>0</v>
      </c>
      <c r="L2610" t="n">
        <v>0</v>
      </c>
      <c r="M2610" t="n">
        <v>0</v>
      </c>
      <c r="N2610" t="n">
        <v>0</v>
      </c>
      <c r="O2610" t="n">
        <v>0</v>
      </c>
      <c r="P2610" t="n">
        <v>0</v>
      </c>
      <c r="Q2610" t="n">
        <v>0</v>
      </c>
      <c r="R2610" s="2" t="inlineStr"/>
    </row>
    <row r="2611" ht="15" customHeight="1">
      <c r="A2611" t="inlineStr">
        <is>
          <t>A 38482-2023</t>
        </is>
      </c>
      <c r="B2611" s="1" t="n">
        <v>45162</v>
      </c>
      <c r="C2611" s="1" t="n">
        <v>45224</v>
      </c>
      <c r="D2611" t="inlineStr">
        <is>
          <t>STOCKHOLMS LÄN</t>
        </is>
      </c>
      <c r="E2611" t="inlineStr">
        <is>
          <t>NORRTÄLJE</t>
        </is>
      </c>
      <c r="G2611" t="n">
        <v>2.2</v>
      </c>
      <c r="H2611" t="n">
        <v>0</v>
      </c>
      <c r="I2611" t="n">
        <v>0</v>
      </c>
      <c r="J2611" t="n">
        <v>0</v>
      </c>
      <c r="K2611" t="n">
        <v>0</v>
      </c>
      <c r="L2611" t="n">
        <v>0</v>
      </c>
      <c r="M2611" t="n">
        <v>0</v>
      </c>
      <c r="N2611" t="n">
        <v>0</v>
      </c>
      <c r="O2611" t="n">
        <v>0</v>
      </c>
      <c r="P2611" t="n">
        <v>0</v>
      </c>
      <c r="Q2611" t="n">
        <v>0</v>
      </c>
      <c r="R2611" s="2" t="inlineStr"/>
    </row>
    <row r="2612" ht="15" customHeight="1">
      <c r="A2612" t="inlineStr">
        <is>
          <t>A 39620-2023</t>
        </is>
      </c>
      <c r="B2612" s="1" t="n">
        <v>45163</v>
      </c>
      <c r="C2612" s="1" t="n">
        <v>45224</v>
      </c>
      <c r="D2612" t="inlineStr">
        <is>
          <t>STOCKHOLMS LÄN</t>
        </is>
      </c>
      <c r="E2612" t="inlineStr">
        <is>
          <t>SIGTUNA</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39533-2023</t>
        </is>
      </c>
      <c r="B2613" s="1" t="n">
        <v>45167</v>
      </c>
      <c r="C2613" s="1" t="n">
        <v>45224</v>
      </c>
      <c r="D2613" t="inlineStr">
        <is>
          <t>STOCKHOLMS LÄN</t>
        </is>
      </c>
      <c r="E2613" t="inlineStr">
        <is>
          <t>NYKVARN</t>
        </is>
      </c>
      <c r="G2613" t="n">
        <v>2.7</v>
      </c>
      <c r="H2613" t="n">
        <v>0</v>
      </c>
      <c r="I2613" t="n">
        <v>0</v>
      </c>
      <c r="J2613" t="n">
        <v>0</v>
      </c>
      <c r="K2613" t="n">
        <v>0</v>
      </c>
      <c r="L2613" t="n">
        <v>0</v>
      </c>
      <c r="M2613" t="n">
        <v>0</v>
      </c>
      <c r="N2613" t="n">
        <v>0</v>
      </c>
      <c r="O2613" t="n">
        <v>0</v>
      </c>
      <c r="P2613" t="n">
        <v>0</v>
      </c>
      <c r="Q2613" t="n">
        <v>0</v>
      </c>
      <c r="R2613" s="2" t="inlineStr"/>
    </row>
    <row r="2614" ht="15" customHeight="1">
      <c r="A2614" t="inlineStr">
        <is>
          <t>A 39539-2023</t>
        </is>
      </c>
      <c r="B2614" s="1" t="n">
        <v>45167</v>
      </c>
      <c r="C2614" s="1" t="n">
        <v>45224</v>
      </c>
      <c r="D2614" t="inlineStr">
        <is>
          <t>STOCKHOLMS LÄN</t>
        </is>
      </c>
      <c r="E2614" t="inlineStr">
        <is>
          <t>NYKVARN</t>
        </is>
      </c>
      <c r="G2614" t="n">
        <v>2.3</v>
      </c>
      <c r="H2614" t="n">
        <v>0</v>
      </c>
      <c r="I2614" t="n">
        <v>0</v>
      </c>
      <c r="J2614" t="n">
        <v>0</v>
      </c>
      <c r="K2614" t="n">
        <v>0</v>
      </c>
      <c r="L2614" t="n">
        <v>0</v>
      </c>
      <c r="M2614" t="n">
        <v>0</v>
      </c>
      <c r="N2614" t="n">
        <v>0</v>
      </c>
      <c r="O2614" t="n">
        <v>0</v>
      </c>
      <c r="P2614" t="n">
        <v>0</v>
      </c>
      <c r="Q2614" t="n">
        <v>0</v>
      </c>
      <c r="R2614" s="2" t="inlineStr"/>
    </row>
    <row r="2615" ht="15" customHeight="1">
      <c r="A2615" t="inlineStr">
        <is>
          <t>A 40190-2023</t>
        </is>
      </c>
      <c r="B2615" s="1" t="n">
        <v>45169</v>
      </c>
      <c r="C2615" s="1" t="n">
        <v>45224</v>
      </c>
      <c r="D2615" t="inlineStr">
        <is>
          <t>STOCKHOLMS LÄN</t>
        </is>
      </c>
      <c r="E2615" t="inlineStr">
        <is>
          <t>NORRTÄLJE</t>
        </is>
      </c>
      <c r="F2615" t="inlineStr">
        <is>
          <t>Kyrkan</t>
        </is>
      </c>
      <c r="G2615" t="n">
        <v>1.9</v>
      </c>
      <c r="H2615" t="n">
        <v>0</v>
      </c>
      <c r="I2615" t="n">
        <v>0</v>
      </c>
      <c r="J2615" t="n">
        <v>0</v>
      </c>
      <c r="K2615" t="n">
        <v>0</v>
      </c>
      <c r="L2615" t="n">
        <v>0</v>
      </c>
      <c r="M2615" t="n">
        <v>0</v>
      </c>
      <c r="N2615" t="n">
        <v>0</v>
      </c>
      <c r="O2615" t="n">
        <v>0</v>
      </c>
      <c r="P2615" t="n">
        <v>0</v>
      </c>
      <c r="Q2615" t="n">
        <v>0</v>
      </c>
      <c r="R2615" s="2" t="inlineStr"/>
    </row>
    <row r="2616" ht="15" customHeight="1">
      <c r="A2616" t="inlineStr">
        <is>
          <t>A 40717-2023</t>
        </is>
      </c>
      <c r="B2616" s="1" t="n">
        <v>45169</v>
      </c>
      <c r="C2616" s="1" t="n">
        <v>45224</v>
      </c>
      <c r="D2616" t="inlineStr">
        <is>
          <t>STOCKHOLMS LÄN</t>
        </is>
      </c>
      <c r="E2616" t="inlineStr">
        <is>
          <t>SALEM</t>
        </is>
      </c>
      <c r="F2616" t="inlineStr">
        <is>
          <t>Kommuner</t>
        </is>
      </c>
      <c r="G2616" t="n">
        <v>0.8</v>
      </c>
      <c r="H2616" t="n">
        <v>0</v>
      </c>
      <c r="I2616" t="n">
        <v>0</v>
      </c>
      <c r="J2616" t="n">
        <v>0</v>
      </c>
      <c r="K2616" t="n">
        <v>0</v>
      </c>
      <c r="L2616" t="n">
        <v>0</v>
      </c>
      <c r="M2616" t="n">
        <v>0</v>
      </c>
      <c r="N2616" t="n">
        <v>0</v>
      </c>
      <c r="O2616" t="n">
        <v>0</v>
      </c>
      <c r="P2616" t="n">
        <v>0</v>
      </c>
      <c r="Q2616" t="n">
        <v>0</v>
      </c>
      <c r="R2616" s="2" t="inlineStr"/>
    </row>
    <row r="2617" ht="15" customHeight="1">
      <c r="A2617" t="inlineStr">
        <is>
          <t>A 40711-2023</t>
        </is>
      </c>
      <c r="B2617" s="1" t="n">
        <v>45169</v>
      </c>
      <c r="C2617" s="1" t="n">
        <v>45224</v>
      </c>
      <c r="D2617" t="inlineStr">
        <is>
          <t>STOCKHOLMS LÄN</t>
        </is>
      </c>
      <c r="E2617" t="inlineStr">
        <is>
          <t>SALEM</t>
        </is>
      </c>
      <c r="F2617" t="inlineStr">
        <is>
          <t>Kommuner</t>
        </is>
      </c>
      <c r="G2617" t="n">
        <v>1.1</v>
      </c>
      <c r="H2617" t="n">
        <v>0</v>
      </c>
      <c r="I2617" t="n">
        <v>0</v>
      </c>
      <c r="J2617" t="n">
        <v>0</v>
      </c>
      <c r="K2617" t="n">
        <v>0</v>
      </c>
      <c r="L2617" t="n">
        <v>0</v>
      </c>
      <c r="M2617" t="n">
        <v>0</v>
      </c>
      <c r="N2617" t="n">
        <v>0</v>
      </c>
      <c r="O2617" t="n">
        <v>0</v>
      </c>
      <c r="P2617" t="n">
        <v>0</v>
      </c>
      <c r="Q2617" t="n">
        <v>0</v>
      </c>
      <c r="R2617" s="2" t="inlineStr"/>
    </row>
    <row r="2618" ht="15" customHeight="1">
      <c r="A2618" t="inlineStr">
        <is>
          <t>A 41702-2023</t>
        </is>
      </c>
      <c r="B2618" s="1" t="n">
        <v>45176</v>
      </c>
      <c r="C2618" s="1" t="n">
        <v>45224</v>
      </c>
      <c r="D2618" t="inlineStr">
        <is>
          <t>STOCKHOLMS LÄN</t>
        </is>
      </c>
      <c r="E2618" t="inlineStr">
        <is>
          <t>SIGTUNA</t>
        </is>
      </c>
      <c r="F2618" t="inlineStr">
        <is>
          <t>Allmännings- och besparingsskogar</t>
        </is>
      </c>
      <c r="G2618" t="n">
        <v>1.8</v>
      </c>
      <c r="H2618" t="n">
        <v>0</v>
      </c>
      <c r="I2618" t="n">
        <v>0</v>
      </c>
      <c r="J2618" t="n">
        <v>0</v>
      </c>
      <c r="K2618" t="n">
        <v>0</v>
      </c>
      <c r="L2618" t="n">
        <v>0</v>
      </c>
      <c r="M2618" t="n">
        <v>0</v>
      </c>
      <c r="N2618" t="n">
        <v>0</v>
      </c>
      <c r="O2618" t="n">
        <v>0</v>
      </c>
      <c r="P2618" t="n">
        <v>0</v>
      </c>
      <c r="Q2618" t="n">
        <v>0</v>
      </c>
      <c r="R2618" s="2" t="inlineStr"/>
    </row>
    <row r="2619" ht="15" customHeight="1">
      <c r="A2619" t="inlineStr">
        <is>
          <t>A 41723-2023</t>
        </is>
      </c>
      <c r="B2619" s="1" t="n">
        <v>45176</v>
      </c>
      <c r="C2619" s="1" t="n">
        <v>45224</v>
      </c>
      <c r="D2619" t="inlineStr">
        <is>
          <t>STOCKHOLMS LÄN</t>
        </is>
      </c>
      <c r="E2619" t="inlineStr">
        <is>
          <t>SIGTUNA</t>
        </is>
      </c>
      <c r="F2619" t="inlineStr">
        <is>
          <t>Allmännings- och besparingsskogar</t>
        </is>
      </c>
      <c r="G2619" t="n">
        <v>3.7</v>
      </c>
      <c r="H2619" t="n">
        <v>0</v>
      </c>
      <c r="I2619" t="n">
        <v>0</v>
      </c>
      <c r="J2619" t="n">
        <v>0</v>
      </c>
      <c r="K2619" t="n">
        <v>0</v>
      </c>
      <c r="L2619" t="n">
        <v>0</v>
      </c>
      <c r="M2619" t="n">
        <v>0</v>
      </c>
      <c r="N2619" t="n">
        <v>0</v>
      </c>
      <c r="O2619" t="n">
        <v>0</v>
      </c>
      <c r="P2619" t="n">
        <v>0</v>
      </c>
      <c r="Q2619" t="n">
        <v>0</v>
      </c>
      <c r="R2619" s="2" t="inlineStr"/>
    </row>
    <row r="2620" ht="15" customHeight="1">
      <c r="A2620" t="inlineStr">
        <is>
          <t>A 41952-2023</t>
        </is>
      </c>
      <c r="B2620" s="1" t="n">
        <v>45177</v>
      </c>
      <c r="C2620" s="1" t="n">
        <v>45224</v>
      </c>
      <c r="D2620" t="inlineStr">
        <is>
          <t>STOCKHOLMS LÄN</t>
        </is>
      </c>
      <c r="E2620" t="inlineStr">
        <is>
          <t>SIGTUNA</t>
        </is>
      </c>
      <c r="F2620" t="inlineStr">
        <is>
          <t>Allmännings- och besparingsskogar</t>
        </is>
      </c>
      <c r="G2620" t="n">
        <v>8.5</v>
      </c>
      <c r="H2620" t="n">
        <v>0</v>
      </c>
      <c r="I2620" t="n">
        <v>0</v>
      </c>
      <c r="J2620" t="n">
        <v>0</v>
      </c>
      <c r="K2620" t="n">
        <v>0</v>
      </c>
      <c r="L2620" t="n">
        <v>0</v>
      </c>
      <c r="M2620" t="n">
        <v>0</v>
      </c>
      <c r="N2620" t="n">
        <v>0</v>
      </c>
      <c r="O2620" t="n">
        <v>0</v>
      </c>
      <c r="P2620" t="n">
        <v>0</v>
      </c>
      <c r="Q2620" t="n">
        <v>0</v>
      </c>
      <c r="R2620" s="2" t="inlineStr"/>
    </row>
    <row r="2621" ht="15" customHeight="1">
      <c r="A2621" t="inlineStr">
        <is>
          <t>A 42977-2023</t>
        </is>
      </c>
      <c r="B2621" s="1" t="n">
        <v>45182</v>
      </c>
      <c r="C2621" s="1" t="n">
        <v>45224</v>
      </c>
      <c r="D2621" t="inlineStr">
        <is>
          <t>STOCKHOLMS LÄN</t>
        </is>
      </c>
      <c r="E2621" t="inlineStr">
        <is>
          <t>NORRTÄLJE</t>
        </is>
      </c>
      <c r="F2621" t="inlineStr">
        <is>
          <t>Sveaskog</t>
        </is>
      </c>
      <c r="G2621" t="n">
        <v>11.8</v>
      </c>
      <c r="H2621" t="n">
        <v>0</v>
      </c>
      <c r="I2621" t="n">
        <v>0</v>
      </c>
      <c r="J2621" t="n">
        <v>0</v>
      </c>
      <c r="K2621" t="n">
        <v>0</v>
      </c>
      <c r="L2621" t="n">
        <v>0</v>
      </c>
      <c r="M2621" t="n">
        <v>0</v>
      </c>
      <c r="N2621" t="n">
        <v>0</v>
      </c>
      <c r="O2621" t="n">
        <v>0</v>
      </c>
      <c r="P2621" t="n">
        <v>0</v>
      </c>
      <c r="Q2621" t="n">
        <v>0</v>
      </c>
      <c r="R2621" s="2" t="inlineStr"/>
    </row>
    <row r="2622" ht="15" customHeight="1">
      <c r="A2622" t="inlineStr">
        <is>
          <t>A 43638-2023</t>
        </is>
      </c>
      <c r="B2622" s="1" t="n">
        <v>45186</v>
      </c>
      <c r="C2622" s="1" t="n">
        <v>45224</v>
      </c>
      <c r="D2622" t="inlineStr">
        <is>
          <t>STOCKHOLMS LÄN</t>
        </is>
      </c>
      <c r="E2622" t="inlineStr">
        <is>
          <t>NORRTÄLJE</t>
        </is>
      </c>
      <c r="G2622" t="n">
        <v>2.3</v>
      </c>
      <c r="H2622" t="n">
        <v>0</v>
      </c>
      <c r="I2622" t="n">
        <v>0</v>
      </c>
      <c r="J2622" t="n">
        <v>0</v>
      </c>
      <c r="K2622" t="n">
        <v>0</v>
      </c>
      <c r="L2622" t="n">
        <v>0</v>
      </c>
      <c r="M2622" t="n">
        <v>0</v>
      </c>
      <c r="N2622" t="n">
        <v>0</v>
      </c>
      <c r="O2622" t="n">
        <v>0</v>
      </c>
      <c r="P2622" t="n">
        <v>0</v>
      </c>
      <c r="Q2622" t="n">
        <v>0</v>
      </c>
      <c r="R2622" s="2" t="inlineStr"/>
    </row>
    <row r="2623" ht="15" customHeight="1">
      <c r="A2623" t="inlineStr">
        <is>
          <t>A 44481-2023</t>
        </is>
      </c>
      <c r="B2623" s="1" t="n">
        <v>45189</v>
      </c>
      <c r="C2623" s="1" t="n">
        <v>45224</v>
      </c>
      <c r="D2623" t="inlineStr">
        <is>
          <t>STOCKHOLMS LÄN</t>
        </is>
      </c>
      <c r="E2623" t="inlineStr">
        <is>
          <t>NORRTÄLJE</t>
        </is>
      </c>
      <c r="G2623" t="n">
        <v>10.1</v>
      </c>
      <c r="H2623" t="n">
        <v>0</v>
      </c>
      <c r="I2623" t="n">
        <v>0</v>
      </c>
      <c r="J2623" t="n">
        <v>0</v>
      </c>
      <c r="K2623" t="n">
        <v>0</v>
      </c>
      <c r="L2623" t="n">
        <v>0</v>
      </c>
      <c r="M2623" t="n">
        <v>0</v>
      </c>
      <c r="N2623" t="n">
        <v>0</v>
      </c>
      <c r="O2623" t="n">
        <v>0</v>
      </c>
      <c r="P2623" t="n">
        <v>0</v>
      </c>
      <c r="Q2623" t="n">
        <v>0</v>
      </c>
      <c r="R2623" s="2" t="inlineStr"/>
    </row>
    <row r="2624" ht="15" customHeight="1">
      <c r="A2624" t="inlineStr">
        <is>
          <t>A 44619-2023</t>
        </is>
      </c>
      <c r="B2624" s="1" t="n">
        <v>45189</v>
      </c>
      <c r="C2624" s="1" t="n">
        <v>45224</v>
      </c>
      <c r="D2624" t="inlineStr">
        <is>
          <t>STOCKHOLMS LÄN</t>
        </is>
      </c>
      <c r="E2624" t="inlineStr">
        <is>
          <t>NYNÄSHAMN</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45174-2023</t>
        </is>
      </c>
      <c r="B2625" s="1" t="n">
        <v>45191</v>
      </c>
      <c r="C2625" s="1" t="n">
        <v>45224</v>
      </c>
      <c r="D2625" t="inlineStr">
        <is>
          <t>STOCKHOLMS LÄN</t>
        </is>
      </c>
      <c r="E2625" t="inlineStr">
        <is>
          <t>NORRTÄLJE</t>
        </is>
      </c>
      <c r="F2625" t="inlineStr">
        <is>
          <t>Sveaskog</t>
        </is>
      </c>
      <c r="G2625" t="n">
        <v>3.8</v>
      </c>
      <c r="H2625" t="n">
        <v>0</v>
      </c>
      <c r="I2625" t="n">
        <v>0</v>
      </c>
      <c r="J2625" t="n">
        <v>0</v>
      </c>
      <c r="K2625" t="n">
        <v>0</v>
      </c>
      <c r="L2625" t="n">
        <v>0</v>
      </c>
      <c r="M2625" t="n">
        <v>0</v>
      </c>
      <c r="N2625" t="n">
        <v>0</v>
      </c>
      <c r="O2625" t="n">
        <v>0</v>
      </c>
      <c r="P2625" t="n">
        <v>0</v>
      </c>
      <c r="Q2625" t="n">
        <v>0</v>
      </c>
      <c r="R2625" s="2" t="inlineStr"/>
    </row>
    <row r="2626" ht="15" customHeight="1">
      <c r="A2626" t="inlineStr">
        <is>
          <t>A 45173-2023</t>
        </is>
      </c>
      <c r="B2626" s="1" t="n">
        <v>45191</v>
      </c>
      <c r="C2626" s="1" t="n">
        <v>45224</v>
      </c>
      <c r="D2626" t="inlineStr">
        <is>
          <t>STOCKHOLMS LÄN</t>
        </is>
      </c>
      <c r="E2626" t="inlineStr">
        <is>
          <t>NORRTÄLJE</t>
        </is>
      </c>
      <c r="F2626" t="inlineStr">
        <is>
          <t>Sveaskog</t>
        </is>
      </c>
      <c r="G2626" t="n">
        <v>3.6</v>
      </c>
      <c r="H2626" t="n">
        <v>0</v>
      </c>
      <c r="I2626" t="n">
        <v>0</v>
      </c>
      <c r="J2626" t="n">
        <v>0</v>
      </c>
      <c r="K2626" t="n">
        <v>0</v>
      </c>
      <c r="L2626" t="n">
        <v>0</v>
      </c>
      <c r="M2626" t="n">
        <v>0</v>
      </c>
      <c r="N2626" t="n">
        <v>0</v>
      </c>
      <c r="O2626" t="n">
        <v>0</v>
      </c>
      <c r="P2626" t="n">
        <v>0</v>
      </c>
      <c r="Q2626" t="n">
        <v>0</v>
      </c>
      <c r="R2626" s="2" t="inlineStr"/>
    </row>
    <row r="2627" ht="15" customHeight="1">
      <c r="A2627" t="inlineStr">
        <is>
          <t>A 45499-2023</t>
        </is>
      </c>
      <c r="B2627" s="1" t="n">
        <v>45194</v>
      </c>
      <c r="C2627" s="1" t="n">
        <v>45224</v>
      </c>
      <c r="D2627" t="inlineStr">
        <is>
          <t>STOCKHOLMS LÄN</t>
        </is>
      </c>
      <c r="E2627" t="inlineStr">
        <is>
          <t>VALLENTUNA</t>
        </is>
      </c>
      <c r="G2627" t="n">
        <v>2.5</v>
      </c>
      <c r="H2627" t="n">
        <v>0</v>
      </c>
      <c r="I2627" t="n">
        <v>0</v>
      </c>
      <c r="J2627" t="n">
        <v>0</v>
      </c>
      <c r="K2627" t="n">
        <v>0</v>
      </c>
      <c r="L2627" t="n">
        <v>0</v>
      </c>
      <c r="M2627" t="n">
        <v>0</v>
      </c>
      <c r="N2627" t="n">
        <v>0</v>
      </c>
      <c r="O2627" t="n">
        <v>0</v>
      </c>
      <c r="P2627" t="n">
        <v>0</v>
      </c>
      <c r="Q2627" t="n">
        <v>0</v>
      </c>
      <c r="R2627" s="2" t="inlineStr"/>
    </row>
    <row r="2628" ht="15" customHeight="1">
      <c r="A2628" t="inlineStr">
        <is>
          <t>A 45496-2023</t>
        </is>
      </c>
      <c r="B2628" s="1" t="n">
        <v>45194</v>
      </c>
      <c r="C2628" s="1" t="n">
        <v>45224</v>
      </c>
      <c r="D2628" t="inlineStr">
        <is>
          <t>STOCKHOLMS LÄN</t>
        </is>
      </c>
      <c r="E2628" t="inlineStr">
        <is>
          <t>VALLENTUNA</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47013-2023</t>
        </is>
      </c>
      <c r="B2629" s="1" t="n">
        <v>45196</v>
      </c>
      <c r="C2629" s="1" t="n">
        <v>45224</v>
      </c>
      <c r="D2629" t="inlineStr">
        <is>
          <t>STOCKHOLMS LÄN</t>
        </is>
      </c>
      <c r="E2629" t="inlineStr">
        <is>
          <t>NYNÄSHAMN</t>
        </is>
      </c>
      <c r="G2629" t="n">
        <v>2.3</v>
      </c>
      <c r="H2629" t="n">
        <v>0</v>
      </c>
      <c r="I2629" t="n">
        <v>0</v>
      </c>
      <c r="J2629" t="n">
        <v>0</v>
      </c>
      <c r="K2629" t="n">
        <v>0</v>
      </c>
      <c r="L2629" t="n">
        <v>0</v>
      </c>
      <c r="M2629" t="n">
        <v>0</v>
      </c>
      <c r="N2629" t="n">
        <v>0</v>
      </c>
      <c r="O2629" t="n">
        <v>0</v>
      </c>
      <c r="P2629" t="n">
        <v>0</v>
      </c>
      <c r="Q2629" t="n">
        <v>0</v>
      </c>
      <c r="R2629" s="2" t="inlineStr"/>
    </row>
    <row r="2630" ht="15" customHeight="1">
      <c r="A2630" t="inlineStr">
        <is>
          <t>A 47001-2023</t>
        </is>
      </c>
      <c r="B2630" s="1" t="n">
        <v>45196</v>
      </c>
      <c r="C2630" s="1" t="n">
        <v>45224</v>
      </c>
      <c r="D2630" t="inlineStr">
        <is>
          <t>STOCKHOLMS LÄN</t>
        </is>
      </c>
      <c r="E2630" t="inlineStr">
        <is>
          <t>NYNÄSHAMN</t>
        </is>
      </c>
      <c r="G2630" t="n">
        <v>1.1</v>
      </c>
      <c r="H2630" t="n">
        <v>0</v>
      </c>
      <c r="I2630" t="n">
        <v>0</v>
      </c>
      <c r="J2630" t="n">
        <v>0</v>
      </c>
      <c r="K2630" t="n">
        <v>0</v>
      </c>
      <c r="L2630" t="n">
        <v>0</v>
      </c>
      <c r="M2630" t="n">
        <v>0</v>
      </c>
      <c r="N2630" t="n">
        <v>0</v>
      </c>
      <c r="O2630" t="n">
        <v>0</v>
      </c>
      <c r="P2630" t="n">
        <v>0</v>
      </c>
      <c r="Q2630" t="n">
        <v>0</v>
      </c>
      <c r="R2630" s="2" t="inlineStr"/>
    </row>
    <row r="2631" ht="15" customHeight="1">
      <c r="A2631" t="inlineStr">
        <is>
          <t>A 47098-2023</t>
        </is>
      </c>
      <c r="B2631" s="1" t="n">
        <v>45196</v>
      </c>
      <c r="C2631" s="1" t="n">
        <v>45224</v>
      </c>
      <c r="D2631" t="inlineStr">
        <is>
          <t>STOCKHOLMS LÄN</t>
        </is>
      </c>
      <c r="E2631" t="inlineStr">
        <is>
          <t>NYNÄSHAMN</t>
        </is>
      </c>
      <c r="G2631" t="n">
        <v>8</v>
      </c>
      <c r="H2631" t="n">
        <v>0</v>
      </c>
      <c r="I2631" t="n">
        <v>0</v>
      </c>
      <c r="J2631" t="n">
        <v>0</v>
      </c>
      <c r="K2631" t="n">
        <v>0</v>
      </c>
      <c r="L2631" t="n">
        <v>0</v>
      </c>
      <c r="M2631" t="n">
        <v>0</v>
      </c>
      <c r="N2631" t="n">
        <v>0</v>
      </c>
      <c r="O2631" t="n">
        <v>0</v>
      </c>
      <c r="P2631" t="n">
        <v>0</v>
      </c>
      <c r="Q2631" t="n">
        <v>0</v>
      </c>
      <c r="R2631" s="2" t="inlineStr"/>
    </row>
    <row r="2632" ht="15" customHeight="1">
      <c r="A2632" t="inlineStr">
        <is>
          <t>A 47115-2023</t>
        </is>
      </c>
      <c r="B2632" s="1" t="n">
        <v>45196</v>
      </c>
      <c r="C2632" s="1" t="n">
        <v>45224</v>
      </c>
      <c r="D2632" t="inlineStr">
        <is>
          <t>STOCKHOLMS LÄN</t>
        </is>
      </c>
      <c r="E2632" t="inlineStr">
        <is>
          <t>NYNÄSHAMN</t>
        </is>
      </c>
      <c r="G2632" t="n">
        <v>1.7</v>
      </c>
      <c r="H2632" t="n">
        <v>0</v>
      </c>
      <c r="I2632" t="n">
        <v>0</v>
      </c>
      <c r="J2632" t="n">
        <v>0</v>
      </c>
      <c r="K2632" t="n">
        <v>0</v>
      </c>
      <c r="L2632" t="n">
        <v>0</v>
      </c>
      <c r="M2632" t="n">
        <v>0</v>
      </c>
      <c r="N2632" t="n">
        <v>0</v>
      </c>
      <c r="O2632" t="n">
        <v>0</v>
      </c>
      <c r="P2632" t="n">
        <v>0</v>
      </c>
      <c r="Q2632" t="n">
        <v>0</v>
      </c>
      <c r="R2632" s="2" t="inlineStr"/>
    </row>
    <row r="2633" ht="15" customHeight="1">
      <c r="A2633" t="inlineStr">
        <is>
          <t>A 47093-2023</t>
        </is>
      </c>
      <c r="B2633" s="1" t="n">
        <v>45196</v>
      </c>
      <c r="C2633" s="1" t="n">
        <v>45224</v>
      </c>
      <c r="D2633" t="inlineStr">
        <is>
          <t>STOCKHOLMS LÄN</t>
        </is>
      </c>
      <c r="E2633" t="inlineStr">
        <is>
          <t>NYNÄSHAMN</t>
        </is>
      </c>
      <c r="G2633" t="n">
        <v>1</v>
      </c>
      <c r="H2633" t="n">
        <v>0</v>
      </c>
      <c r="I2633" t="n">
        <v>0</v>
      </c>
      <c r="J2633" t="n">
        <v>0</v>
      </c>
      <c r="K2633" t="n">
        <v>0</v>
      </c>
      <c r="L2633" t="n">
        <v>0</v>
      </c>
      <c r="M2633" t="n">
        <v>0</v>
      </c>
      <c r="N2633" t="n">
        <v>0</v>
      </c>
      <c r="O2633" t="n">
        <v>0</v>
      </c>
      <c r="P2633" t="n">
        <v>0</v>
      </c>
      <c r="Q2633" t="n">
        <v>0</v>
      </c>
      <c r="R2633" s="2" t="inlineStr"/>
    </row>
    <row r="2634" ht="15" customHeight="1">
      <c r="A2634" t="inlineStr">
        <is>
          <t>A 47110-2023</t>
        </is>
      </c>
      <c r="B2634" s="1" t="n">
        <v>45196</v>
      </c>
      <c r="C2634" s="1" t="n">
        <v>45224</v>
      </c>
      <c r="D2634" t="inlineStr">
        <is>
          <t>STOCKHOLMS LÄN</t>
        </is>
      </c>
      <c r="E2634" t="inlineStr">
        <is>
          <t>NYNÄSHAMN</t>
        </is>
      </c>
      <c r="G2634" t="n">
        <v>0.9</v>
      </c>
      <c r="H2634" t="n">
        <v>0</v>
      </c>
      <c r="I2634" t="n">
        <v>0</v>
      </c>
      <c r="J2634" t="n">
        <v>0</v>
      </c>
      <c r="K2634" t="n">
        <v>0</v>
      </c>
      <c r="L2634" t="n">
        <v>0</v>
      </c>
      <c r="M2634" t="n">
        <v>0</v>
      </c>
      <c r="N2634" t="n">
        <v>0</v>
      </c>
      <c r="O2634" t="n">
        <v>0</v>
      </c>
      <c r="P2634" t="n">
        <v>0</v>
      </c>
      <c r="Q2634" t="n">
        <v>0</v>
      </c>
      <c r="R2634" s="2" t="inlineStr"/>
    </row>
    <row r="2635" ht="15" customHeight="1">
      <c r="A2635" t="inlineStr">
        <is>
          <t>A 47089-2023</t>
        </is>
      </c>
      <c r="B2635" s="1" t="n">
        <v>45196</v>
      </c>
      <c r="C2635" s="1" t="n">
        <v>45224</v>
      </c>
      <c r="D2635" t="inlineStr">
        <is>
          <t>STOCKHOLMS LÄN</t>
        </is>
      </c>
      <c r="E2635" t="inlineStr">
        <is>
          <t>NYNÄSHAMN</t>
        </is>
      </c>
      <c r="G2635" t="n">
        <v>0.8</v>
      </c>
      <c r="H2635" t="n">
        <v>0</v>
      </c>
      <c r="I2635" t="n">
        <v>0</v>
      </c>
      <c r="J2635" t="n">
        <v>0</v>
      </c>
      <c r="K2635" t="n">
        <v>0</v>
      </c>
      <c r="L2635" t="n">
        <v>0</v>
      </c>
      <c r="M2635" t="n">
        <v>0</v>
      </c>
      <c r="N2635" t="n">
        <v>0</v>
      </c>
      <c r="O2635" t="n">
        <v>0</v>
      </c>
      <c r="P2635" t="n">
        <v>0</v>
      </c>
      <c r="Q2635" t="n">
        <v>0</v>
      </c>
      <c r="R2635" s="2" t="inlineStr"/>
    </row>
    <row r="2636" ht="15" customHeight="1">
      <c r="A2636" t="inlineStr">
        <is>
          <t>A 46757-2023</t>
        </is>
      </c>
      <c r="B2636" s="1" t="n">
        <v>45198</v>
      </c>
      <c r="C2636" s="1" t="n">
        <v>45224</v>
      </c>
      <c r="D2636" t="inlineStr">
        <is>
          <t>STOCKHOLMS LÄN</t>
        </is>
      </c>
      <c r="E2636" t="inlineStr">
        <is>
          <t>SIGTUNA</t>
        </is>
      </c>
      <c r="G2636" t="n">
        <v>5.3</v>
      </c>
      <c r="H2636" t="n">
        <v>0</v>
      </c>
      <c r="I2636" t="n">
        <v>0</v>
      </c>
      <c r="J2636" t="n">
        <v>0</v>
      </c>
      <c r="K2636" t="n">
        <v>0</v>
      </c>
      <c r="L2636" t="n">
        <v>0</v>
      </c>
      <c r="M2636" t="n">
        <v>0</v>
      </c>
      <c r="N2636" t="n">
        <v>0</v>
      </c>
      <c r="O2636" t="n">
        <v>0</v>
      </c>
      <c r="P2636" t="n">
        <v>0</v>
      </c>
      <c r="Q2636" t="n">
        <v>0</v>
      </c>
      <c r="R2636" s="2" t="inlineStr"/>
    </row>
    <row r="2637" ht="15" customHeight="1">
      <c r="A2637" t="inlineStr">
        <is>
          <t>A 46919-2023</t>
        </is>
      </c>
      <c r="B2637" s="1" t="n">
        <v>45201</v>
      </c>
      <c r="C2637" s="1" t="n">
        <v>45224</v>
      </c>
      <c r="D2637" t="inlineStr">
        <is>
          <t>STOCKHOLMS LÄN</t>
        </is>
      </c>
      <c r="E2637" t="inlineStr">
        <is>
          <t>SALEM</t>
        </is>
      </c>
      <c r="F2637" t="inlineStr">
        <is>
          <t>Kommuner</t>
        </is>
      </c>
      <c r="G2637" t="n">
        <v>1.3</v>
      </c>
      <c r="H2637" t="n">
        <v>0</v>
      </c>
      <c r="I2637" t="n">
        <v>0</v>
      </c>
      <c r="J2637" t="n">
        <v>0</v>
      </c>
      <c r="K2637" t="n">
        <v>0</v>
      </c>
      <c r="L2637" t="n">
        <v>0</v>
      </c>
      <c r="M2637" t="n">
        <v>0</v>
      </c>
      <c r="N2637" t="n">
        <v>0</v>
      </c>
      <c r="O2637" t="n">
        <v>0</v>
      </c>
      <c r="P2637" t="n">
        <v>0</v>
      </c>
      <c r="Q2637" t="n">
        <v>0</v>
      </c>
      <c r="R2637" s="2" t="inlineStr"/>
    </row>
    <row r="2638" ht="15" customHeight="1">
      <c r="A2638" t="inlineStr">
        <is>
          <t>A 47388-2023</t>
        </is>
      </c>
      <c r="B2638" s="1" t="n">
        <v>45202</v>
      </c>
      <c r="C2638" s="1" t="n">
        <v>45224</v>
      </c>
      <c r="D2638" t="inlineStr">
        <is>
          <t>STOCKHOLMS LÄN</t>
        </is>
      </c>
      <c r="E2638" t="inlineStr">
        <is>
          <t>NORRTÄLJE</t>
        </is>
      </c>
      <c r="G2638" t="n">
        <v>1.1</v>
      </c>
      <c r="H2638" t="n">
        <v>0</v>
      </c>
      <c r="I2638" t="n">
        <v>0</v>
      </c>
      <c r="J2638" t="n">
        <v>0</v>
      </c>
      <c r="K2638" t="n">
        <v>0</v>
      </c>
      <c r="L2638" t="n">
        <v>0</v>
      </c>
      <c r="M2638" t="n">
        <v>0</v>
      </c>
      <c r="N2638" t="n">
        <v>0</v>
      </c>
      <c r="O2638" t="n">
        <v>0</v>
      </c>
      <c r="P2638" t="n">
        <v>0</v>
      </c>
      <c r="Q2638" t="n">
        <v>0</v>
      </c>
      <c r="R2638" s="2" t="inlineStr"/>
    </row>
    <row r="2639" ht="15" customHeight="1">
      <c r="A2639" t="inlineStr">
        <is>
          <t>A 48333-2023</t>
        </is>
      </c>
      <c r="B2639" s="1" t="n">
        <v>45205</v>
      </c>
      <c r="C2639" s="1" t="n">
        <v>45224</v>
      </c>
      <c r="D2639" t="inlineStr">
        <is>
          <t>STOCKHOLMS LÄN</t>
        </is>
      </c>
      <c r="E2639" t="inlineStr">
        <is>
          <t>NORRTÄLJE</t>
        </is>
      </c>
      <c r="G2639" t="n">
        <v>5.6</v>
      </c>
      <c r="H2639" t="n">
        <v>0</v>
      </c>
      <c r="I2639" t="n">
        <v>0</v>
      </c>
      <c r="J2639" t="n">
        <v>0</v>
      </c>
      <c r="K2639" t="n">
        <v>0</v>
      </c>
      <c r="L2639" t="n">
        <v>0</v>
      </c>
      <c r="M2639" t="n">
        <v>0</v>
      </c>
      <c r="N2639" t="n">
        <v>0</v>
      </c>
      <c r="O2639" t="n">
        <v>0</v>
      </c>
      <c r="P2639" t="n">
        <v>0</v>
      </c>
      <c r="Q2639" t="n">
        <v>0</v>
      </c>
      <c r="R2639" s="2" t="inlineStr"/>
    </row>
    <row r="2640" ht="15" customHeight="1">
      <c r="A2640" t="inlineStr">
        <is>
          <t>A 49224-2023</t>
        </is>
      </c>
      <c r="B2640" s="1" t="n">
        <v>45210</v>
      </c>
      <c r="C2640" s="1" t="n">
        <v>45224</v>
      </c>
      <c r="D2640" t="inlineStr">
        <is>
          <t>STOCKHOLMS LÄN</t>
        </is>
      </c>
      <c r="E2640" t="inlineStr">
        <is>
          <t>NORRTÄLJE</t>
        </is>
      </c>
      <c r="G2640" t="n">
        <v>0.6</v>
      </c>
      <c r="H2640" t="n">
        <v>0</v>
      </c>
      <c r="I2640" t="n">
        <v>0</v>
      </c>
      <c r="J2640" t="n">
        <v>0</v>
      </c>
      <c r="K2640" t="n">
        <v>0</v>
      </c>
      <c r="L2640" t="n">
        <v>0</v>
      </c>
      <c r="M2640" t="n">
        <v>0</v>
      </c>
      <c r="N2640" t="n">
        <v>0</v>
      </c>
      <c r="O2640" t="n">
        <v>0</v>
      </c>
      <c r="P2640" t="n">
        <v>0</v>
      </c>
      <c r="Q2640" t="n">
        <v>0</v>
      </c>
      <c r="R2640" s="2" t="inlineStr"/>
    </row>
    <row r="2641" ht="15" customHeight="1">
      <c r="A2641" t="inlineStr">
        <is>
          <t>A 49419-2023</t>
        </is>
      </c>
      <c r="B2641" s="1" t="n">
        <v>45211</v>
      </c>
      <c r="C2641" s="1" t="n">
        <v>45224</v>
      </c>
      <c r="D2641" t="inlineStr">
        <is>
          <t>STOCKHOLMS LÄN</t>
        </is>
      </c>
      <c r="E2641" t="inlineStr">
        <is>
          <t>HUDDINGE</t>
        </is>
      </c>
      <c r="F2641" t="inlineStr">
        <is>
          <t>Kommuner</t>
        </is>
      </c>
      <c r="G2641" t="n">
        <v>1.9</v>
      </c>
      <c r="H2641" t="n">
        <v>0</v>
      </c>
      <c r="I2641" t="n">
        <v>0</v>
      </c>
      <c r="J2641" t="n">
        <v>0</v>
      </c>
      <c r="K2641" t="n">
        <v>0</v>
      </c>
      <c r="L2641" t="n">
        <v>0</v>
      </c>
      <c r="M2641" t="n">
        <v>0</v>
      </c>
      <c r="N2641" t="n">
        <v>0</v>
      </c>
      <c r="O2641" t="n">
        <v>0</v>
      </c>
      <c r="P2641" t="n">
        <v>0</v>
      </c>
      <c r="Q2641" t="n">
        <v>0</v>
      </c>
      <c r="R2641" s="2" t="inlineStr"/>
    </row>
    <row r="2642" ht="15" customHeight="1">
      <c r="A2642" t="inlineStr">
        <is>
          <t>A 49421-2023</t>
        </is>
      </c>
      <c r="B2642" s="1" t="n">
        <v>45211</v>
      </c>
      <c r="C2642" s="1" t="n">
        <v>45224</v>
      </c>
      <c r="D2642" t="inlineStr">
        <is>
          <t>STOCKHOLMS LÄN</t>
        </is>
      </c>
      <c r="E2642" t="inlineStr">
        <is>
          <t>HUDDINGE</t>
        </is>
      </c>
      <c r="F2642" t="inlineStr">
        <is>
          <t>Kommuner</t>
        </is>
      </c>
      <c r="G2642" t="n">
        <v>1.4</v>
      </c>
      <c r="H2642" t="n">
        <v>0</v>
      </c>
      <c r="I2642" t="n">
        <v>0</v>
      </c>
      <c r="J2642" t="n">
        <v>0</v>
      </c>
      <c r="K2642" t="n">
        <v>0</v>
      </c>
      <c r="L2642" t="n">
        <v>0</v>
      </c>
      <c r="M2642" t="n">
        <v>0</v>
      </c>
      <c r="N2642" t="n">
        <v>0</v>
      </c>
      <c r="O2642" t="n">
        <v>0</v>
      </c>
      <c r="P2642" t="n">
        <v>0</v>
      </c>
      <c r="Q2642" t="n">
        <v>0</v>
      </c>
      <c r="R2642" s="2" t="inlineStr"/>
    </row>
    <row r="2643" ht="15" customHeight="1">
      <c r="A2643" t="inlineStr">
        <is>
          <t>A 49395-2023</t>
        </is>
      </c>
      <c r="B2643" s="1" t="n">
        <v>45211</v>
      </c>
      <c r="C2643" s="1" t="n">
        <v>45224</v>
      </c>
      <c r="D2643" t="inlineStr">
        <is>
          <t>STOCKHOLMS LÄN</t>
        </is>
      </c>
      <c r="E2643" t="inlineStr">
        <is>
          <t>SÖDERTÄLJE</t>
        </is>
      </c>
      <c r="G2643" t="n">
        <v>1.3</v>
      </c>
      <c r="H2643" t="n">
        <v>0</v>
      </c>
      <c r="I2643" t="n">
        <v>0</v>
      </c>
      <c r="J2643" t="n">
        <v>0</v>
      </c>
      <c r="K2643" t="n">
        <v>0</v>
      </c>
      <c r="L2643" t="n">
        <v>0</v>
      </c>
      <c r="M2643" t="n">
        <v>0</v>
      </c>
      <c r="N2643" t="n">
        <v>0</v>
      </c>
      <c r="O2643" t="n">
        <v>0</v>
      </c>
      <c r="P2643" t="n">
        <v>0</v>
      </c>
      <c r="Q2643" t="n">
        <v>0</v>
      </c>
      <c r="R2643" s="2" t="inlineStr"/>
    </row>
    <row r="2644" ht="15" customHeight="1">
      <c r="A2644" t="inlineStr">
        <is>
          <t>A 49388-2023</t>
        </is>
      </c>
      <c r="B2644" s="1" t="n">
        <v>45211</v>
      </c>
      <c r="C2644" s="1" t="n">
        <v>45224</v>
      </c>
      <c r="D2644" t="inlineStr">
        <is>
          <t>STOCKHOLMS LÄN</t>
        </is>
      </c>
      <c r="E2644" t="inlineStr">
        <is>
          <t>ÖSTERÅKER</t>
        </is>
      </c>
      <c r="G2644" t="n">
        <v>1.2</v>
      </c>
      <c r="H2644" t="n">
        <v>0</v>
      </c>
      <c r="I2644" t="n">
        <v>0</v>
      </c>
      <c r="J2644" t="n">
        <v>0</v>
      </c>
      <c r="K2644" t="n">
        <v>0</v>
      </c>
      <c r="L2644" t="n">
        <v>0</v>
      </c>
      <c r="M2644" t="n">
        <v>0</v>
      </c>
      <c r="N2644" t="n">
        <v>0</v>
      </c>
      <c r="O2644" t="n">
        <v>0</v>
      </c>
      <c r="P2644" t="n">
        <v>0</v>
      </c>
      <c r="Q2644" t="n">
        <v>0</v>
      </c>
      <c r="R2644" s="2" t="inlineStr"/>
    </row>
    <row r="2645" ht="15" customHeight="1">
      <c r="A2645" t="inlineStr">
        <is>
          <t>A 49523-2023</t>
        </is>
      </c>
      <c r="B2645" s="1" t="n">
        <v>45211</v>
      </c>
      <c r="C2645" s="1" t="n">
        <v>45224</v>
      </c>
      <c r="D2645" t="inlineStr">
        <is>
          <t>STOCKHOLMS LÄN</t>
        </is>
      </c>
      <c r="E2645" t="inlineStr">
        <is>
          <t>NYNÄSHAMN</t>
        </is>
      </c>
      <c r="G2645" t="n">
        <v>2.2</v>
      </c>
      <c r="H2645" t="n">
        <v>0</v>
      </c>
      <c r="I2645" t="n">
        <v>0</v>
      </c>
      <c r="J2645" t="n">
        <v>0</v>
      </c>
      <c r="K2645" t="n">
        <v>0</v>
      </c>
      <c r="L2645" t="n">
        <v>0</v>
      </c>
      <c r="M2645" t="n">
        <v>0</v>
      </c>
      <c r="N2645" t="n">
        <v>0</v>
      </c>
      <c r="O2645" t="n">
        <v>0</v>
      </c>
      <c r="P2645" t="n">
        <v>0</v>
      </c>
      <c r="Q2645" t="n">
        <v>0</v>
      </c>
      <c r="R2645" s="2" t="inlineStr"/>
    </row>
    <row r="2646" ht="15" customHeight="1">
      <c r="A2646" t="inlineStr">
        <is>
          <t>A 49700-2023</t>
        </is>
      </c>
      <c r="B2646" s="1" t="n">
        <v>45212</v>
      </c>
      <c r="C2646" s="1" t="n">
        <v>45224</v>
      </c>
      <c r="D2646" t="inlineStr">
        <is>
          <t>STOCKHOLMS LÄN</t>
        </is>
      </c>
      <c r="E2646" t="inlineStr">
        <is>
          <t>NORRTÄLJE</t>
        </is>
      </c>
      <c r="G2646" t="n">
        <v>1.4</v>
      </c>
      <c r="H2646" t="n">
        <v>0</v>
      </c>
      <c r="I2646" t="n">
        <v>0</v>
      </c>
      <c r="J2646" t="n">
        <v>0</v>
      </c>
      <c r="K2646" t="n">
        <v>0</v>
      </c>
      <c r="L2646" t="n">
        <v>0</v>
      </c>
      <c r="M2646" t="n">
        <v>0</v>
      </c>
      <c r="N2646" t="n">
        <v>0</v>
      </c>
      <c r="O2646" t="n">
        <v>0</v>
      </c>
      <c r="P2646" t="n">
        <v>0</v>
      </c>
      <c r="Q2646" t="n">
        <v>0</v>
      </c>
      <c r="R2646" s="2" t="inlineStr"/>
    </row>
    <row r="2647" ht="15" customHeight="1">
      <c r="A2647" t="inlineStr">
        <is>
          <t>A 50588-2023</t>
        </is>
      </c>
      <c r="B2647" s="1" t="n">
        <v>45217</v>
      </c>
      <c r="C2647" s="1" t="n">
        <v>45224</v>
      </c>
      <c r="D2647" t="inlineStr">
        <is>
          <t>STOCKHOLMS LÄN</t>
        </is>
      </c>
      <c r="E2647" t="inlineStr">
        <is>
          <t>VALLENTUNA</t>
        </is>
      </c>
      <c r="G2647" t="n">
        <v>2.4</v>
      </c>
      <c r="H2647" t="n">
        <v>0</v>
      </c>
      <c r="I2647" t="n">
        <v>0</v>
      </c>
      <c r="J2647" t="n">
        <v>0</v>
      </c>
      <c r="K2647" t="n">
        <v>0</v>
      </c>
      <c r="L2647" t="n">
        <v>0</v>
      </c>
      <c r="M2647" t="n">
        <v>0</v>
      </c>
      <c r="N2647" t="n">
        <v>0</v>
      </c>
      <c r="O2647" t="n">
        <v>0</v>
      </c>
      <c r="P2647" t="n">
        <v>0</v>
      </c>
      <c r="Q2647" t="n">
        <v>0</v>
      </c>
      <c r="R2647" s="2" t="inlineStr"/>
    </row>
    <row r="2648" ht="15" customHeight="1">
      <c r="A2648" t="inlineStr">
        <is>
          <t>A 50880-2023</t>
        </is>
      </c>
      <c r="B2648" s="1" t="n">
        <v>45218</v>
      </c>
      <c r="C2648" s="1" t="n">
        <v>45224</v>
      </c>
      <c r="D2648" t="inlineStr">
        <is>
          <t>STOCKHOLMS LÄN</t>
        </is>
      </c>
      <c r="E2648" t="inlineStr">
        <is>
          <t>NORRTÄLJE</t>
        </is>
      </c>
      <c r="G2648" t="n">
        <v>10.4</v>
      </c>
      <c r="H2648" t="n">
        <v>0</v>
      </c>
      <c r="I2648" t="n">
        <v>0</v>
      </c>
      <c r="J2648" t="n">
        <v>0</v>
      </c>
      <c r="K2648" t="n">
        <v>0</v>
      </c>
      <c r="L2648" t="n">
        <v>0</v>
      </c>
      <c r="M2648" t="n">
        <v>0</v>
      </c>
      <c r="N2648" t="n">
        <v>0</v>
      </c>
      <c r="O2648" t="n">
        <v>0</v>
      </c>
      <c r="P2648" t="n">
        <v>0</v>
      </c>
      <c r="Q2648" t="n">
        <v>0</v>
      </c>
      <c r="R2648" s="2" t="inlineStr"/>
    </row>
    <row r="2649" ht="15" customHeight="1">
      <c r="A2649" t="inlineStr">
        <is>
          <t>A 51043-2023</t>
        </is>
      </c>
      <c r="B2649" s="1" t="n">
        <v>45218</v>
      </c>
      <c r="C2649" s="1" t="n">
        <v>45224</v>
      </c>
      <c r="D2649" t="inlineStr">
        <is>
          <t>STOCKHOLMS LÄN</t>
        </is>
      </c>
      <c r="E2649" t="inlineStr">
        <is>
          <t>NORRTÄLJE</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51049-2023</t>
        </is>
      </c>
      <c r="B2650" s="1" t="n">
        <v>45218</v>
      </c>
      <c r="C2650" s="1" t="n">
        <v>45224</v>
      </c>
      <c r="D2650" t="inlineStr">
        <is>
          <t>STOCKHOLMS LÄN</t>
        </is>
      </c>
      <c r="E2650" t="inlineStr">
        <is>
          <t>NORRTÄLJE</t>
        </is>
      </c>
      <c r="G2650" t="n">
        <v>1.3</v>
      </c>
      <c r="H2650" t="n">
        <v>0</v>
      </c>
      <c r="I2650" t="n">
        <v>0</v>
      </c>
      <c r="J2650" t="n">
        <v>0</v>
      </c>
      <c r="K2650" t="n">
        <v>0</v>
      </c>
      <c r="L2650" t="n">
        <v>0</v>
      </c>
      <c r="M2650" t="n">
        <v>0</v>
      </c>
      <c r="N2650" t="n">
        <v>0</v>
      </c>
      <c r="O2650" t="n">
        <v>0</v>
      </c>
      <c r="P2650" t="n">
        <v>0</v>
      </c>
      <c r="Q2650" t="n">
        <v>0</v>
      </c>
      <c r="R2650" s="2" t="inlineStr"/>
    </row>
    <row r="2651" ht="15" customHeight="1">
      <c r="A2651" t="inlineStr">
        <is>
          <t>A 51046-2023</t>
        </is>
      </c>
      <c r="B2651" s="1" t="n">
        <v>45218</v>
      </c>
      <c r="C2651" s="1" t="n">
        <v>45224</v>
      </c>
      <c r="D2651" t="inlineStr">
        <is>
          <t>STOCKHOLMS LÄN</t>
        </is>
      </c>
      <c r="E2651" t="inlineStr">
        <is>
          <t>NORRTÄLJE</t>
        </is>
      </c>
      <c r="G2651" t="n">
        <v>2.5</v>
      </c>
      <c r="H2651" t="n">
        <v>0</v>
      </c>
      <c r="I2651" t="n">
        <v>0</v>
      </c>
      <c r="J2651" t="n">
        <v>0</v>
      </c>
      <c r="K2651" t="n">
        <v>0</v>
      </c>
      <c r="L2651" t="n">
        <v>0</v>
      </c>
      <c r="M2651" t="n">
        <v>0</v>
      </c>
      <c r="N2651" t="n">
        <v>0</v>
      </c>
      <c r="O2651" t="n">
        <v>0</v>
      </c>
      <c r="P2651" t="n">
        <v>0</v>
      </c>
      <c r="Q2651" t="n">
        <v>0</v>
      </c>
      <c r="R2651" s="2" t="inlineStr"/>
    </row>
    <row r="2652" ht="15" customHeight="1">
      <c r="A2652" t="inlineStr">
        <is>
          <t>A 51720-2023</t>
        </is>
      </c>
      <c r="B2652" s="1" t="n">
        <v>45222</v>
      </c>
      <c r="C2652" s="1" t="n">
        <v>45224</v>
      </c>
      <c r="D2652" t="inlineStr">
        <is>
          <t>STOCKHOLMS LÄN</t>
        </is>
      </c>
      <c r="E2652" t="inlineStr">
        <is>
          <t>SALEM</t>
        </is>
      </c>
      <c r="G2652" t="n">
        <v>0.4</v>
      </c>
      <c r="H2652" t="n">
        <v>0</v>
      </c>
      <c r="I2652" t="n">
        <v>0</v>
      </c>
      <c r="J2652" t="n">
        <v>0</v>
      </c>
      <c r="K2652" t="n">
        <v>0</v>
      </c>
      <c r="L2652" t="n">
        <v>0</v>
      </c>
      <c r="M2652" t="n">
        <v>0</v>
      </c>
      <c r="N2652" t="n">
        <v>0</v>
      </c>
      <c r="O2652" t="n">
        <v>0</v>
      </c>
      <c r="P2652" t="n">
        <v>0</v>
      </c>
      <c r="Q2652" t="n">
        <v>0</v>
      </c>
      <c r="R2652" s="2" t="inlineStr"/>
    </row>
    <row r="2653" ht="15" customHeight="1">
      <c r="A2653" t="inlineStr">
        <is>
          <t>A 51657-2023</t>
        </is>
      </c>
      <c r="B2653" s="1" t="n">
        <v>45222</v>
      </c>
      <c r="C2653" s="1" t="n">
        <v>45224</v>
      </c>
      <c r="D2653" t="inlineStr">
        <is>
          <t>STOCKHOLMS LÄN</t>
        </is>
      </c>
      <c r="E2653" t="inlineStr">
        <is>
          <t>NORRTÄLJE</t>
        </is>
      </c>
      <c r="G2653" t="n">
        <v>3.1</v>
      </c>
      <c r="H2653" t="n">
        <v>0</v>
      </c>
      <c r="I2653" t="n">
        <v>0</v>
      </c>
      <c r="J2653" t="n">
        <v>0</v>
      </c>
      <c r="K2653" t="n">
        <v>0</v>
      </c>
      <c r="L2653" t="n">
        <v>0</v>
      </c>
      <c r="M2653" t="n">
        <v>0</v>
      </c>
      <c r="N2653" t="n">
        <v>0</v>
      </c>
      <c r="O2653" t="n">
        <v>0</v>
      </c>
      <c r="P2653" t="n">
        <v>0</v>
      </c>
      <c r="Q2653" t="n">
        <v>0</v>
      </c>
      <c r="R2653" s="2" t="inlineStr"/>
    </row>
    <row r="2654" ht="15" customHeight="1">
      <c r="A2654" t="inlineStr">
        <is>
          <t>A 51674-2023</t>
        </is>
      </c>
      <c r="B2654" s="1" t="n">
        <v>45222</v>
      </c>
      <c r="C2654" s="1" t="n">
        <v>45224</v>
      </c>
      <c r="D2654" t="inlineStr">
        <is>
          <t>STOCKHOLMS LÄN</t>
        </is>
      </c>
      <c r="E2654" t="inlineStr">
        <is>
          <t>SÖDERTÄLJE</t>
        </is>
      </c>
      <c r="G2654" t="n">
        <v>8.300000000000001</v>
      </c>
      <c r="H2654" t="n">
        <v>0</v>
      </c>
      <c r="I2654" t="n">
        <v>0</v>
      </c>
      <c r="J2654" t="n">
        <v>0</v>
      </c>
      <c r="K2654" t="n">
        <v>0</v>
      </c>
      <c r="L2654" t="n">
        <v>0</v>
      </c>
      <c r="M2654" t="n">
        <v>0</v>
      </c>
      <c r="N2654" t="n">
        <v>0</v>
      </c>
      <c r="O2654" t="n">
        <v>0</v>
      </c>
      <c r="P2654" t="n">
        <v>0</v>
      </c>
      <c r="Q2654" t="n">
        <v>0</v>
      </c>
      <c r="R2654" s="2" t="inlineStr"/>
    </row>
    <row r="2655" ht="15" customHeight="1">
      <c r="A2655" t="inlineStr">
        <is>
          <t>A 51997-2023</t>
        </is>
      </c>
      <c r="B2655" s="1" t="n">
        <v>45223</v>
      </c>
      <c r="C2655" s="1" t="n">
        <v>45224</v>
      </c>
      <c r="D2655" t="inlineStr">
        <is>
          <t>STOCKHOLMS LÄN</t>
        </is>
      </c>
      <c r="E2655" t="inlineStr">
        <is>
          <t>NORRTÄLJE</t>
        </is>
      </c>
      <c r="G2655" t="n">
        <v>1.9</v>
      </c>
      <c r="H2655" t="n">
        <v>0</v>
      </c>
      <c r="I2655" t="n">
        <v>0</v>
      </c>
      <c r="J2655" t="n">
        <v>0</v>
      </c>
      <c r="K2655" t="n">
        <v>0</v>
      </c>
      <c r="L2655" t="n">
        <v>0</v>
      </c>
      <c r="M2655" t="n">
        <v>0</v>
      </c>
      <c r="N2655" t="n">
        <v>0</v>
      </c>
      <c r="O2655" t="n">
        <v>0</v>
      </c>
      <c r="P2655" t="n">
        <v>0</v>
      </c>
      <c r="Q2655" t="n">
        <v>0</v>
      </c>
      <c r="R2655" s="2" t="inlineStr"/>
    </row>
    <row r="2656" ht="15" customHeight="1">
      <c r="A2656" t="inlineStr">
        <is>
          <t>A 52003-2023</t>
        </is>
      </c>
      <c r="B2656" s="1" t="n">
        <v>45223</v>
      </c>
      <c r="C2656" s="1" t="n">
        <v>45224</v>
      </c>
      <c r="D2656" t="inlineStr">
        <is>
          <t>STOCKHOLMS LÄN</t>
        </is>
      </c>
      <c r="E2656" t="inlineStr">
        <is>
          <t>NYKVARN</t>
        </is>
      </c>
      <c r="G2656" t="n">
        <v>3.3</v>
      </c>
      <c r="H2656" t="n">
        <v>0</v>
      </c>
      <c r="I2656" t="n">
        <v>0</v>
      </c>
      <c r="J2656" t="n">
        <v>0</v>
      </c>
      <c r="K2656" t="n">
        <v>0</v>
      </c>
      <c r="L2656" t="n">
        <v>0</v>
      </c>
      <c r="M2656" t="n">
        <v>0</v>
      </c>
      <c r="N2656" t="n">
        <v>0</v>
      </c>
      <c r="O2656" t="n">
        <v>0</v>
      </c>
      <c r="P2656" t="n">
        <v>0</v>
      </c>
      <c r="Q2656" t="n">
        <v>0</v>
      </c>
      <c r="R2656" s="2" t="inlineStr"/>
    </row>
    <row r="2657" ht="15" customHeight="1">
      <c r="A2657" t="inlineStr">
        <is>
          <t>A 51978-2023</t>
        </is>
      </c>
      <c r="B2657" s="1" t="n">
        <v>45223</v>
      </c>
      <c r="C2657" s="1" t="n">
        <v>45224</v>
      </c>
      <c r="D2657" t="inlineStr">
        <is>
          <t>STOCKHOLMS LÄN</t>
        </is>
      </c>
      <c r="E2657" t="inlineStr">
        <is>
          <t>NORRTÄLJE</t>
        </is>
      </c>
      <c r="G2657" t="n">
        <v>1.9</v>
      </c>
      <c r="H2657" t="n">
        <v>0</v>
      </c>
      <c r="I2657" t="n">
        <v>0</v>
      </c>
      <c r="J2657" t="n">
        <v>0</v>
      </c>
      <c r="K2657" t="n">
        <v>0</v>
      </c>
      <c r="L2657" t="n">
        <v>0</v>
      </c>
      <c r="M2657" t="n">
        <v>0</v>
      </c>
      <c r="N2657" t="n">
        <v>0</v>
      </c>
      <c r="O2657" t="n">
        <v>0</v>
      </c>
      <c r="P2657" t="n">
        <v>0</v>
      </c>
      <c r="Q2657" t="n">
        <v>0</v>
      </c>
      <c r="R2657" s="2" t="inlineStr"/>
    </row>
    <row r="2658" ht="15" customHeight="1">
      <c r="A2658" t="inlineStr">
        <is>
          <t>A 52020-2023</t>
        </is>
      </c>
      <c r="B2658" s="1" t="n">
        <v>45223</v>
      </c>
      <c r="C2658" s="1" t="n">
        <v>45224</v>
      </c>
      <c r="D2658" t="inlineStr">
        <is>
          <t>STOCKHOLMS LÄN</t>
        </is>
      </c>
      <c r="E2658" t="inlineStr">
        <is>
          <t>NYKVARN</t>
        </is>
      </c>
      <c r="G2658" t="n">
        <v>4.6</v>
      </c>
      <c r="H2658" t="n">
        <v>0</v>
      </c>
      <c r="I2658" t="n">
        <v>0</v>
      </c>
      <c r="J2658" t="n">
        <v>0</v>
      </c>
      <c r="K2658" t="n">
        <v>0</v>
      </c>
      <c r="L2658" t="n">
        <v>0</v>
      </c>
      <c r="M2658" t="n">
        <v>0</v>
      </c>
      <c r="N2658" t="n">
        <v>0</v>
      </c>
      <c r="O2658" t="n">
        <v>0</v>
      </c>
      <c r="P2658" t="n">
        <v>0</v>
      </c>
      <c r="Q2658" t="n">
        <v>0</v>
      </c>
      <c r="R2658" s="2" t="inlineStr"/>
    </row>
    <row r="2659">
      <c r="A2659" t="inlineStr">
        <is>
          <t>A 52001-2023</t>
        </is>
      </c>
      <c r="B2659" s="1" t="n">
        <v>45223</v>
      </c>
      <c r="C2659" s="1" t="n">
        <v>45224</v>
      </c>
      <c r="D2659" t="inlineStr">
        <is>
          <t>STOCKHOLMS LÄN</t>
        </is>
      </c>
      <c r="E2659" t="inlineStr">
        <is>
          <t>NORRTÄLJE</t>
        </is>
      </c>
      <c r="G2659" t="n">
        <v>0.7</v>
      </c>
      <c r="H2659" t="n">
        <v>0</v>
      </c>
      <c r="I2659" t="n">
        <v>0</v>
      </c>
      <c r="J2659" t="n">
        <v>0</v>
      </c>
      <c r="K2659" t="n">
        <v>0</v>
      </c>
      <c r="L2659" t="n">
        <v>0</v>
      </c>
      <c r="M2659" t="n">
        <v>0</v>
      </c>
      <c r="N2659" t="n">
        <v>0</v>
      </c>
      <c r="O2659" t="n">
        <v>0</v>
      </c>
      <c r="P2659" t="n">
        <v>0</v>
      </c>
      <c r="Q2659" t="n">
        <v>0</v>
      </c>
      <c r="R26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2023-10-25T04:53:34Z</dcterms:created>
  <dcterms:modified xmlns:dcterms="http://purl.org/dc/terms/" xmlns:xsi="http://www.w3.org/2001/XMLSchema-instance" xsi:type="dcterms:W3CDTF">2023-10-25T04:53:35Z</dcterms:modified>
</cp:coreProperties>
</file>