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45208</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45208</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45208</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45208</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45208</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45208</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45208</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45208</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45208</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45208</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45208</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45208</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45208</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45208</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45208</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45208</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45208</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2663-2019</t>
        </is>
      </c>
      <c r="B20" s="1" t="n">
        <v>43478</v>
      </c>
      <c r="C20" s="1" t="n">
        <v>45208</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HYPERLINK("https://klasma.github.io/Logging_NORRTALJE/artfynd/A 2663-2019.xlsx", "A 2663-2019")</f>
        <v/>
      </c>
      <c r="T20">
        <f>HYPERLINK("https://klasma.github.io/Logging_NORRTALJE/kartor/A 2663-2019.png", "A 2663-2019")</f>
        <v/>
      </c>
      <c r="U20">
        <f>HYPERLINK("https://klasma.github.io/Logging_NORRTALJE/knärot/A 2663-2019.png", "A 2663-2019")</f>
        <v/>
      </c>
      <c r="V20">
        <f>HYPERLINK("https://klasma.github.io/Logging_NORRTALJE/klagomål/A 2663-2019.docx", "A 2663-2019")</f>
        <v/>
      </c>
      <c r="W20">
        <f>HYPERLINK("https://klasma.github.io/Logging_NORRTALJE/klagomålsmail/A 2663-2019.docx", "A 2663-2019")</f>
        <v/>
      </c>
      <c r="X20">
        <f>HYPERLINK("https://klasma.github.io/Logging_NORRTALJE/tillsyn/A 2663-2019.docx", "A 2663-2019")</f>
        <v/>
      </c>
      <c r="Y20">
        <f>HYPERLINK("https://klasma.github.io/Logging_NORRTALJE/tillsynsmail/A 2663-2019.docx", "A 2663-2019")</f>
        <v/>
      </c>
    </row>
    <row r="21" ht="15" customHeight="1">
      <c r="A21" t="inlineStr">
        <is>
          <t>A 10099-2019</t>
        </is>
      </c>
      <c r="B21" s="1" t="n">
        <v>43509</v>
      </c>
      <c r="C21" s="1" t="n">
        <v>45208</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59863-2022</t>
        </is>
      </c>
      <c r="B22" s="1" t="n">
        <v>44901</v>
      </c>
      <c r="C22" s="1" t="n">
        <v>45208</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HYPERLINK("https://klasma.github.io/Logging_SODERTALJE/artfynd/A 59863-2022.xlsx", "A 59863-2022")</f>
        <v/>
      </c>
      <c r="T22">
        <f>HYPERLINK("https://klasma.github.io/Logging_SODERTALJE/kartor/A 59863-2022.png", "A 59863-2022")</f>
        <v/>
      </c>
      <c r="V22">
        <f>HYPERLINK("https://klasma.github.io/Logging_SODERTALJE/klagomål/A 59863-2022.docx", "A 59863-2022")</f>
        <v/>
      </c>
      <c r="W22">
        <f>HYPERLINK("https://klasma.github.io/Logging_SODERTALJE/klagomålsmail/A 59863-2022.docx", "A 59863-2022")</f>
        <v/>
      </c>
      <c r="X22">
        <f>HYPERLINK("https://klasma.github.io/Logging_SODERTALJE/tillsyn/A 59863-2022.docx", "A 59863-2022")</f>
        <v/>
      </c>
      <c r="Y22">
        <f>HYPERLINK("https://klasma.github.io/Logging_SODERTALJE/tillsynsmail/A 59863-2022.docx", "A 59863-2022")</f>
        <v/>
      </c>
    </row>
    <row r="23" ht="15" customHeight="1">
      <c r="A23" t="inlineStr">
        <is>
          <t>A 34417-2023</t>
        </is>
      </c>
      <c r="B23" s="1" t="n">
        <v>45139</v>
      </c>
      <c r="C23" s="1" t="n">
        <v>45208</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HYPERLINK("https://klasma.github.io/Logging_HANINGE/artfynd/A 34417-2023.xlsx", "A 34417-2023")</f>
        <v/>
      </c>
      <c r="T23">
        <f>HYPERLINK("https://klasma.github.io/Logging_HANINGE/kartor/A 34417-2023.png", "A 34417-2023")</f>
        <v/>
      </c>
      <c r="V23">
        <f>HYPERLINK("https://klasma.github.io/Logging_HANINGE/klagomål/A 34417-2023.docx", "A 34417-2023")</f>
        <v/>
      </c>
      <c r="W23">
        <f>HYPERLINK("https://klasma.github.io/Logging_HANINGE/klagomålsmail/A 34417-2023.docx", "A 34417-2023")</f>
        <v/>
      </c>
      <c r="X23">
        <f>HYPERLINK("https://klasma.github.io/Logging_HANINGE/tillsyn/A 34417-2023.docx", "A 34417-2023")</f>
        <v/>
      </c>
      <c r="Y23">
        <f>HYPERLINK("https://klasma.github.io/Logging_HANINGE/tillsynsmail/A 34417-2023.docx", "A 34417-2023")</f>
        <v/>
      </c>
    </row>
    <row r="24" ht="15" customHeight="1">
      <c r="A24" t="inlineStr">
        <is>
          <t>A 34890-2018</t>
        </is>
      </c>
      <c r="B24" s="1" t="n">
        <v>43321</v>
      </c>
      <c r="C24" s="1" t="n">
        <v>45208</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HYPERLINK("https://klasma.github.io/Logging_UPPLANDS-BRO/artfynd/A 34890-2018.xlsx", "A 34890-2018")</f>
        <v/>
      </c>
      <c r="T24">
        <f>HYPERLINK("https://klasma.github.io/Logging_UPPLANDS-BRO/kartor/A 34890-2018.png", "A 34890-2018")</f>
        <v/>
      </c>
      <c r="V24">
        <f>HYPERLINK("https://klasma.github.io/Logging_UPPLANDS-BRO/klagomål/A 34890-2018.docx", "A 34890-2018")</f>
        <v/>
      </c>
      <c r="W24">
        <f>HYPERLINK("https://klasma.github.io/Logging_UPPLANDS-BRO/klagomålsmail/A 34890-2018.docx", "A 34890-2018")</f>
        <v/>
      </c>
      <c r="X24">
        <f>HYPERLINK("https://klasma.github.io/Logging_UPPLANDS-BRO/tillsyn/A 34890-2018.docx", "A 34890-2018")</f>
        <v/>
      </c>
      <c r="Y24">
        <f>HYPERLINK("https://klasma.github.io/Logging_UPPLANDS-BRO/tillsynsmail/A 34890-2018.docx", "A 34890-2018")</f>
        <v/>
      </c>
    </row>
    <row r="25" ht="15" customHeight="1">
      <c r="A25" t="inlineStr">
        <is>
          <t>A 5738-2020</t>
        </is>
      </c>
      <c r="B25" s="1" t="n">
        <v>43863</v>
      </c>
      <c r="C25" s="1" t="n">
        <v>45208</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HYPERLINK("https://klasma.github.io/Logging_NORRTALJE/artfynd/A 5738-2020.xlsx", "A 5738-2020")</f>
        <v/>
      </c>
      <c r="T25">
        <f>HYPERLINK("https://klasma.github.io/Logging_NORRTALJE/kartor/A 5738-2020.png", "A 5738-2020")</f>
        <v/>
      </c>
      <c r="V25">
        <f>HYPERLINK("https://klasma.github.io/Logging_NORRTALJE/klagomål/A 5738-2020.docx", "A 5738-2020")</f>
        <v/>
      </c>
      <c r="W25">
        <f>HYPERLINK("https://klasma.github.io/Logging_NORRTALJE/klagomålsmail/A 5738-2020.docx", "A 5738-2020")</f>
        <v/>
      </c>
      <c r="X25">
        <f>HYPERLINK("https://klasma.github.io/Logging_NORRTALJE/tillsyn/A 5738-2020.docx", "A 5738-2020")</f>
        <v/>
      </c>
      <c r="Y25">
        <f>HYPERLINK("https://klasma.github.io/Logging_NORRTALJE/tillsynsmail/A 5738-2020.docx", "A 5738-2020")</f>
        <v/>
      </c>
    </row>
    <row r="26" ht="15" customHeight="1">
      <c r="A26" t="inlineStr">
        <is>
          <t>A 20601-2022</t>
        </is>
      </c>
      <c r="B26" s="1" t="n">
        <v>44700</v>
      </c>
      <c r="C26" s="1" t="n">
        <v>45208</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HYPERLINK("https://klasma.github.io/Logging_UPPLANDS-BRO/artfynd/A 20601-2022.xlsx", "A 20601-2022")</f>
        <v/>
      </c>
      <c r="T26">
        <f>HYPERLINK("https://klasma.github.io/Logging_UPPLANDS-BRO/kartor/A 20601-2022.png", "A 20601-2022")</f>
        <v/>
      </c>
      <c r="V26">
        <f>HYPERLINK("https://klasma.github.io/Logging_UPPLANDS-BRO/klagomål/A 20601-2022.docx", "A 20601-2022")</f>
        <v/>
      </c>
      <c r="W26">
        <f>HYPERLINK("https://klasma.github.io/Logging_UPPLANDS-BRO/klagomålsmail/A 20601-2022.docx", "A 20601-2022")</f>
        <v/>
      </c>
      <c r="X26">
        <f>HYPERLINK("https://klasma.github.io/Logging_UPPLANDS-BRO/tillsyn/A 20601-2022.docx", "A 20601-2022")</f>
        <v/>
      </c>
      <c r="Y26">
        <f>HYPERLINK("https://klasma.github.io/Logging_UPPLANDS-BRO/tillsynsmail/A 20601-2022.docx", "A 20601-2022")</f>
        <v/>
      </c>
    </row>
    <row r="27" ht="15" customHeight="1">
      <c r="A27" t="inlineStr">
        <is>
          <t>A 2276-2019</t>
        </is>
      </c>
      <c r="B27" s="1" t="n">
        <v>43475</v>
      </c>
      <c r="C27" s="1" t="n">
        <v>45208</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HYPERLINK("https://klasma.github.io/Logging_NORRTALJE/artfynd/A 2276-2019.xlsx", "A 2276-2019")</f>
        <v/>
      </c>
      <c r="T27">
        <f>HYPERLINK("https://klasma.github.io/Logging_NORRTALJE/kartor/A 2276-2019.png", "A 2276-2019")</f>
        <v/>
      </c>
      <c r="V27">
        <f>HYPERLINK("https://klasma.github.io/Logging_NORRTALJE/klagomål/A 2276-2019.docx", "A 2276-2019")</f>
        <v/>
      </c>
      <c r="W27">
        <f>HYPERLINK("https://klasma.github.io/Logging_NORRTALJE/klagomålsmail/A 2276-2019.docx", "A 2276-2019")</f>
        <v/>
      </c>
      <c r="X27">
        <f>HYPERLINK("https://klasma.github.io/Logging_NORRTALJE/tillsyn/A 2276-2019.docx", "A 2276-2019")</f>
        <v/>
      </c>
      <c r="Y27">
        <f>HYPERLINK("https://klasma.github.io/Logging_NORRTALJE/tillsynsmail/A 2276-2019.docx", "A 2276-2019")</f>
        <v/>
      </c>
    </row>
    <row r="28" ht="15" customHeight="1">
      <c r="A28" t="inlineStr">
        <is>
          <t>A 28411-2019</t>
        </is>
      </c>
      <c r="B28" s="1" t="n">
        <v>43626</v>
      </c>
      <c r="C28" s="1" t="n">
        <v>45208</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HYPERLINK("https://klasma.github.io/Logging_NORRTALJE/artfynd/A 28411-2019.xlsx", "A 28411-2019")</f>
        <v/>
      </c>
      <c r="T28">
        <f>HYPERLINK("https://klasma.github.io/Logging_NORRTALJE/kartor/A 28411-2019.png", "A 28411-2019")</f>
        <v/>
      </c>
      <c r="V28">
        <f>HYPERLINK("https://klasma.github.io/Logging_NORRTALJE/klagomål/A 28411-2019.docx", "A 28411-2019")</f>
        <v/>
      </c>
      <c r="W28">
        <f>HYPERLINK("https://klasma.github.io/Logging_NORRTALJE/klagomålsmail/A 28411-2019.docx", "A 28411-2019")</f>
        <v/>
      </c>
      <c r="X28">
        <f>HYPERLINK("https://klasma.github.io/Logging_NORRTALJE/tillsyn/A 28411-2019.docx", "A 28411-2019")</f>
        <v/>
      </c>
      <c r="Y28">
        <f>HYPERLINK("https://klasma.github.io/Logging_NORRTALJE/tillsynsmail/A 28411-2019.docx", "A 28411-2019")</f>
        <v/>
      </c>
    </row>
    <row r="29" ht="15" customHeight="1">
      <c r="A29" t="inlineStr">
        <is>
          <t>A 63484-2019</t>
        </is>
      </c>
      <c r="B29" s="1" t="n">
        <v>43794</v>
      </c>
      <c r="C29" s="1" t="n">
        <v>45208</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HYPERLINK("https://klasma.github.io/Logging_NORRTALJE/artfynd/A 63484-2019.xlsx", "A 63484-2019")</f>
        <v/>
      </c>
      <c r="T29">
        <f>HYPERLINK("https://klasma.github.io/Logging_NORRTALJE/kartor/A 63484-2019.png", "A 63484-2019")</f>
        <v/>
      </c>
      <c r="V29">
        <f>HYPERLINK("https://klasma.github.io/Logging_NORRTALJE/klagomål/A 63484-2019.docx", "A 63484-2019")</f>
        <v/>
      </c>
      <c r="W29">
        <f>HYPERLINK("https://klasma.github.io/Logging_NORRTALJE/klagomålsmail/A 63484-2019.docx", "A 63484-2019")</f>
        <v/>
      </c>
      <c r="X29">
        <f>HYPERLINK("https://klasma.github.io/Logging_NORRTALJE/tillsyn/A 63484-2019.docx", "A 63484-2019")</f>
        <v/>
      </c>
      <c r="Y29">
        <f>HYPERLINK("https://klasma.github.io/Logging_NORRTALJE/tillsynsmail/A 63484-2019.docx", "A 63484-2019")</f>
        <v/>
      </c>
    </row>
    <row r="30" ht="15" customHeight="1">
      <c r="A30" t="inlineStr">
        <is>
          <t>A 51334-2022</t>
        </is>
      </c>
      <c r="B30" s="1" t="n">
        <v>44869</v>
      </c>
      <c r="C30" s="1" t="n">
        <v>45208</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HYPERLINK("https://klasma.github.io/Logging_NORRTALJE/artfynd/A 51334-2022.xlsx", "A 51334-2022")</f>
        <v/>
      </c>
      <c r="T30">
        <f>HYPERLINK("https://klasma.github.io/Logging_NORRTALJE/kartor/A 51334-2022.png", "A 51334-2022")</f>
        <v/>
      </c>
      <c r="V30">
        <f>HYPERLINK("https://klasma.github.io/Logging_NORRTALJE/klagomål/A 51334-2022.docx", "A 51334-2022")</f>
        <v/>
      </c>
      <c r="W30">
        <f>HYPERLINK("https://klasma.github.io/Logging_NORRTALJE/klagomålsmail/A 51334-2022.docx", "A 51334-2022")</f>
        <v/>
      </c>
      <c r="X30">
        <f>HYPERLINK("https://klasma.github.io/Logging_NORRTALJE/tillsyn/A 51334-2022.docx", "A 51334-2022")</f>
        <v/>
      </c>
      <c r="Y30">
        <f>HYPERLINK("https://klasma.github.io/Logging_NORRTALJE/tillsynsmail/A 51334-2022.docx", "A 51334-2022")</f>
        <v/>
      </c>
    </row>
    <row r="31" ht="15" customHeight="1">
      <c r="A31" t="inlineStr">
        <is>
          <t>A 25567-2023</t>
        </is>
      </c>
      <c r="B31" s="1" t="n">
        <v>45089</v>
      </c>
      <c r="C31" s="1" t="n">
        <v>45208</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HYPERLINK("https://klasma.github.io/Logging_HANINGE/artfynd/A 25567-2023.xlsx", "A 25567-2023")</f>
        <v/>
      </c>
      <c r="T31">
        <f>HYPERLINK("https://klasma.github.io/Logging_HANINGE/kartor/A 25567-2023.png", "A 25567-2023")</f>
        <v/>
      </c>
      <c r="V31">
        <f>HYPERLINK("https://klasma.github.io/Logging_HANINGE/klagomål/A 25567-2023.docx", "A 25567-2023")</f>
        <v/>
      </c>
      <c r="W31">
        <f>HYPERLINK("https://klasma.github.io/Logging_HANINGE/klagomålsmail/A 25567-2023.docx", "A 25567-2023")</f>
        <v/>
      </c>
      <c r="X31">
        <f>HYPERLINK("https://klasma.github.io/Logging_HANINGE/tillsyn/A 25567-2023.docx", "A 25567-2023")</f>
        <v/>
      </c>
      <c r="Y31">
        <f>HYPERLINK("https://klasma.github.io/Logging_HANINGE/tillsynsmail/A 25567-2023.docx", "A 25567-2023")</f>
        <v/>
      </c>
    </row>
    <row r="32" ht="15" customHeight="1">
      <c r="A32" t="inlineStr">
        <is>
          <t>A 26273-2019</t>
        </is>
      </c>
      <c r="B32" s="1" t="n">
        <v>43611</v>
      </c>
      <c r="C32" s="1" t="n">
        <v>45208</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HYPERLINK("https://klasma.github.io/Logging_NORRTALJE/artfynd/A 26273-2019.xlsx", "A 26273-2019")</f>
        <v/>
      </c>
      <c r="T32">
        <f>HYPERLINK("https://klasma.github.io/Logging_NORRTALJE/kartor/A 26273-2019.png", "A 26273-2019")</f>
        <v/>
      </c>
      <c r="U32">
        <f>HYPERLINK("https://klasma.github.io/Logging_NORRTALJE/knärot/A 26273-2019.png", "A 26273-2019")</f>
        <v/>
      </c>
      <c r="V32">
        <f>HYPERLINK("https://klasma.github.io/Logging_NORRTALJE/klagomål/A 26273-2019.docx", "A 26273-2019")</f>
        <v/>
      </c>
      <c r="W32">
        <f>HYPERLINK("https://klasma.github.io/Logging_NORRTALJE/klagomålsmail/A 26273-2019.docx", "A 26273-2019")</f>
        <v/>
      </c>
      <c r="X32">
        <f>HYPERLINK("https://klasma.github.io/Logging_NORRTALJE/tillsyn/A 26273-2019.docx", "A 26273-2019")</f>
        <v/>
      </c>
      <c r="Y32">
        <f>HYPERLINK("https://klasma.github.io/Logging_NORRTALJE/tillsynsmail/A 26273-2019.docx", "A 26273-2019")</f>
        <v/>
      </c>
    </row>
    <row r="33" ht="15" customHeight="1">
      <c r="A33" t="inlineStr">
        <is>
          <t>A 5736-2020</t>
        </is>
      </c>
      <c r="B33" s="1" t="n">
        <v>43863</v>
      </c>
      <c r="C33" s="1" t="n">
        <v>45208</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HYPERLINK("https://klasma.github.io/Logging_NORRTALJE/artfynd/A 5736-2020.xlsx", "A 5736-2020")</f>
        <v/>
      </c>
      <c r="T33">
        <f>HYPERLINK("https://klasma.github.io/Logging_NORRTALJE/kartor/A 5736-2020.png", "A 5736-2020")</f>
        <v/>
      </c>
      <c r="V33">
        <f>HYPERLINK("https://klasma.github.io/Logging_NORRTALJE/klagomål/A 5736-2020.docx", "A 5736-2020")</f>
        <v/>
      </c>
      <c r="W33">
        <f>HYPERLINK("https://klasma.github.io/Logging_NORRTALJE/klagomålsmail/A 5736-2020.docx", "A 5736-2020")</f>
        <v/>
      </c>
      <c r="X33">
        <f>HYPERLINK("https://klasma.github.io/Logging_NORRTALJE/tillsyn/A 5736-2020.docx", "A 5736-2020")</f>
        <v/>
      </c>
      <c r="Y33">
        <f>HYPERLINK("https://klasma.github.io/Logging_NORRTALJE/tillsynsmail/A 5736-2020.docx", "A 5736-2020")</f>
        <v/>
      </c>
    </row>
    <row r="34" ht="15" customHeight="1">
      <c r="A34" t="inlineStr">
        <is>
          <t>A 11053-2022</t>
        </is>
      </c>
      <c r="B34" s="1" t="n">
        <v>44628</v>
      </c>
      <c r="C34" s="1" t="n">
        <v>45208</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HYPERLINK("https://klasma.github.io/Logging_NYKVARN/artfynd/A 11053-2022.xlsx", "A 11053-2022")</f>
        <v/>
      </c>
      <c r="T34">
        <f>HYPERLINK("https://klasma.github.io/Logging_NYKVARN/kartor/A 11053-2022.png", "A 11053-2022")</f>
        <v/>
      </c>
      <c r="V34">
        <f>HYPERLINK("https://klasma.github.io/Logging_NYKVARN/klagomål/A 11053-2022.docx", "A 11053-2022")</f>
        <v/>
      </c>
      <c r="W34">
        <f>HYPERLINK("https://klasma.github.io/Logging_NYKVARN/klagomålsmail/A 11053-2022.docx", "A 11053-2022")</f>
        <v/>
      </c>
      <c r="X34">
        <f>HYPERLINK("https://klasma.github.io/Logging_NYKVARN/tillsyn/A 11053-2022.docx", "A 11053-2022")</f>
        <v/>
      </c>
      <c r="Y34">
        <f>HYPERLINK("https://klasma.github.io/Logging_NYKVARN/tillsynsmail/A 11053-2022.docx", "A 11053-2022")</f>
        <v/>
      </c>
    </row>
    <row r="35" ht="15" customHeight="1">
      <c r="A35" t="inlineStr">
        <is>
          <t>A 20632-2019</t>
        </is>
      </c>
      <c r="B35" s="1" t="n">
        <v>43572</v>
      </c>
      <c r="C35" s="1" t="n">
        <v>45208</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HYPERLINK("https://klasma.github.io/Logging_NORRTALJE/artfynd/A 20632-2019.xlsx", "A 20632-2019")</f>
        <v/>
      </c>
      <c r="T35">
        <f>HYPERLINK("https://klasma.github.io/Logging_NORRTALJE/kartor/A 20632-2019.png", "A 20632-2019")</f>
        <v/>
      </c>
      <c r="V35">
        <f>HYPERLINK("https://klasma.github.io/Logging_NORRTALJE/klagomål/A 20632-2019.docx", "A 20632-2019")</f>
        <v/>
      </c>
      <c r="W35">
        <f>HYPERLINK("https://klasma.github.io/Logging_NORRTALJE/klagomålsmail/A 20632-2019.docx", "A 20632-2019")</f>
        <v/>
      </c>
      <c r="X35">
        <f>HYPERLINK("https://klasma.github.io/Logging_NORRTALJE/tillsyn/A 20632-2019.docx", "A 20632-2019")</f>
        <v/>
      </c>
      <c r="Y35">
        <f>HYPERLINK("https://klasma.github.io/Logging_NORRTALJE/tillsynsmail/A 20632-2019.docx", "A 20632-2019")</f>
        <v/>
      </c>
    </row>
    <row r="36" ht="15" customHeight="1">
      <c r="A36" t="inlineStr">
        <is>
          <t>A 68153-2019</t>
        </is>
      </c>
      <c r="B36" s="1" t="n">
        <v>43817</v>
      </c>
      <c r="C36" s="1" t="n">
        <v>45208</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HYPERLINK("https://klasma.github.io/Logging_VALLENTUNA/artfynd/A 68153-2019.xlsx", "A 68153-2019")</f>
        <v/>
      </c>
      <c r="T36">
        <f>HYPERLINK("https://klasma.github.io/Logging_VALLENTUNA/kartor/A 68153-2019.png", "A 68153-2019")</f>
        <v/>
      </c>
      <c r="V36">
        <f>HYPERLINK("https://klasma.github.io/Logging_VALLENTUNA/klagomål/A 68153-2019.docx", "A 68153-2019")</f>
        <v/>
      </c>
      <c r="W36">
        <f>HYPERLINK("https://klasma.github.io/Logging_VALLENTUNA/klagomålsmail/A 68153-2019.docx", "A 68153-2019")</f>
        <v/>
      </c>
      <c r="X36">
        <f>HYPERLINK("https://klasma.github.io/Logging_VALLENTUNA/tillsyn/A 68153-2019.docx", "A 68153-2019")</f>
        <v/>
      </c>
      <c r="Y36">
        <f>HYPERLINK("https://klasma.github.io/Logging_VALLENTUNA/tillsynsmail/A 68153-2019.docx", "A 68153-2019")</f>
        <v/>
      </c>
    </row>
    <row r="37" ht="15" customHeight="1">
      <c r="A37" t="inlineStr">
        <is>
          <t>A 40859-2022</t>
        </is>
      </c>
      <c r="B37" s="1" t="n">
        <v>44825</v>
      </c>
      <c r="C37" s="1" t="n">
        <v>45208</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HYPERLINK("https://klasma.github.io/Logging_HANINGE/artfynd/A 40859-2022.xlsx", "A 40859-2022")</f>
        <v/>
      </c>
      <c r="T37">
        <f>HYPERLINK("https://klasma.github.io/Logging_HANINGE/kartor/A 40859-2022.png", "A 40859-2022")</f>
        <v/>
      </c>
      <c r="V37">
        <f>HYPERLINK("https://klasma.github.io/Logging_HANINGE/klagomål/A 40859-2022.docx", "A 40859-2022")</f>
        <v/>
      </c>
      <c r="W37">
        <f>HYPERLINK("https://klasma.github.io/Logging_HANINGE/klagomålsmail/A 40859-2022.docx", "A 40859-2022")</f>
        <v/>
      </c>
      <c r="X37">
        <f>HYPERLINK("https://klasma.github.io/Logging_HANINGE/tillsyn/A 40859-2022.docx", "A 40859-2022")</f>
        <v/>
      </c>
      <c r="Y37">
        <f>HYPERLINK("https://klasma.github.io/Logging_HANINGE/tillsynsmail/A 40859-2022.docx", "A 40859-2022")</f>
        <v/>
      </c>
    </row>
    <row r="38" ht="15" customHeight="1">
      <c r="A38" t="inlineStr">
        <is>
          <t>A 60543-2022</t>
        </is>
      </c>
      <c r="B38" s="1" t="n">
        <v>44911</v>
      </c>
      <c r="C38" s="1" t="n">
        <v>45208</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HYPERLINK("https://klasma.github.io/Logging_NORRTALJE/artfynd/A 60543-2022.xlsx", "A 60543-2022")</f>
        <v/>
      </c>
      <c r="T38">
        <f>HYPERLINK("https://klasma.github.io/Logging_NORRTALJE/kartor/A 60543-2022.png", "A 60543-2022")</f>
        <v/>
      </c>
      <c r="V38">
        <f>HYPERLINK("https://klasma.github.io/Logging_NORRTALJE/klagomål/A 60543-2022.docx", "A 60543-2022")</f>
        <v/>
      </c>
      <c r="W38">
        <f>HYPERLINK("https://klasma.github.io/Logging_NORRTALJE/klagomålsmail/A 60543-2022.docx", "A 60543-2022")</f>
        <v/>
      </c>
      <c r="X38">
        <f>HYPERLINK("https://klasma.github.io/Logging_NORRTALJE/tillsyn/A 60543-2022.docx", "A 60543-2022")</f>
        <v/>
      </c>
      <c r="Y38">
        <f>HYPERLINK("https://klasma.github.io/Logging_NORRTALJE/tillsynsmail/A 60543-2022.docx", "A 60543-2022")</f>
        <v/>
      </c>
    </row>
    <row r="39" ht="15" customHeight="1">
      <c r="A39" t="inlineStr">
        <is>
          <t>A 7987-2019</t>
        </is>
      </c>
      <c r="B39" s="1" t="n">
        <v>43493</v>
      </c>
      <c r="C39" s="1" t="n">
        <v>45208</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HYPERLINK("https://klasma.github.io/Logging_NORRTALJE/artfynd/A 7987-2019.xlsx", "A 7987-2019")</f>
        <v/>
      </c>
      <c r="T39">
        <f>HYPERLINK("https://klasma.github.io/Logging_NORRTALJE/kartor/A 7987-2019.png", "A 7987-2019")</f>
        <v/>
      </c>
      <c r="V39">
        <f>HYPERLINK("https://klasma.github.io/Logging_NORRTALJE/klagomål/A 7987-2019.docx", "A 7987-2019")</f>
        <v/>
      </c>
      <c r="W39">
        <f>HYPERLINK("https://klasma.github.io/Logging_NORRTALJE/klagomålsmail/A 7987-2019.docx", "A 7987-2019")</f>
        <v/>
      </c>
      <c r="X39">
        <f>HYPERLINK("https://klasma.github.io/Logging_NORRTALJE/tillsyn/A 7987-2019.docx", "A 7987-2019")</f>
        <v/>
      </c>
      <c r="Y39">
        <f>HYPERLINK("https://klasma.github.io/Logging_NORRTALJE/tillsynsmail/A 7987-2019.docx", "A 7987-2019")</f>
        <v/>
      </c>
    </row>
    <row r="40" ht="15" customHeight="1">
      <c r="A40" t="inlineStr">
        <is>
          <t>A 66797-2021</t>
        </is>
      </c>
      <c r="B40" s="1" t="n">
        <v>44519</v>
      </c>
      <c r="C40" s="1" t="n">
        <v>45208</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HYPERLINK("https://klasma.github.io/Logging_HANINGE/artfynd/A 66797-2021.xlsx", "A 66797-2021")</f>
        <v/>
      </c>
      <c r="T40">
        <f>HYPERLINK("https://klasma.github.io/Logging_HANINGE/kartor/A 66797-2021.png", "A 66797-2021")</f>
        <v/>
      </c>
      <c r="V40">
        <f>HYPERLINK("https://klasma.github.io/Logging_HANINGE/klagomål/A 66797-2021.docx", "A 66797-2021")</f>
        <v/>
      </c>
      <c r="W40">
        <f>HYPERLINK("https://klasma.github.io/Logging_HANINGE/klagomålsmail/A 66797-2021.docx", "A 66797-2021")</f>
        <v/>
      </c>
      <c r="X40">
        <f>HYPERLINK("https://klasma.github.io/Logging_HANINGE/tillsyn/A 66797-2021.docx", "A 66797-2021")</f>
        <v/>
      </c>
      <c r="Y40">
        <f>HYPERLINK("https://klasma.github.io/Logging_HANINGE/tillsynsmail/A 66797-2021.docx", "A 66797-2021")</f>
        <v/>
      </c>
    </row>
    <row r="41" ht="15" customHeight="1">
      <c r="A41" t="inlineStr">
        <is>
          <t>A 22060-2022</t>
        </is>
      </c>
      <c r="B41" s="1" t="n">
        <v>44711</v>
      </c>
      <c r="C41" s="1" t="n">
        <v>45208</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HYPERLINK("https://klasma.github.io/Logging_VALLENTUNA/artfynd/A 22060-2022.xlsx", "A 22060-2022")</f>
        <v/>
      </c>
      <c r="T41">
        <f>HYPERLINK("https://klasma.github.io/Logging_VALLENTUNA/kartor/A 22060-2022.png", "A 22060-2022")</f>
        <v/>
      </c>
      <c r="V41">
        <f>HYPERLINK("https://klasma.github.io/Logging_VALLENTUNA/klagomål/A 22060-2022.docx", "A 22060-2022")</f>
        <v/>
      </c>
      <c r="W41">
        <f>HYPERLINK("https://klasma.github.io/Logging_VALLENTUNA/klagomålsmail/A 22060-2022.docx", "A 22060-2022")</f>
        <v/>
      </c>
      <c r="X41">
        <f>HYPERLINK("https://klasma.github.io/Logging_VALLENTUNA/tillsyn/A 22060-2022.docx", "A 22060-2022")</f>
        <v/>
      </c>
      <c r="Y41">
        <f>HYPERLINK("https://klasma.github.io/Logging_VALLENTUNA/tillsynsmail/A 22060-2022.docx", "A 22060-2022")</f>
        <v/>
      </c>
    </row>
    <row r="42" ht="15" customHeight="1">
      <c r="A42" t="inlineStr">
        <is>
          <t>A 61724-2022</t>
        </is>
      </c>
      <c r="B42" s="1" t="n">
        <v>44917</v>
      </c>
      <c r="C42" s="1" t="n">
        <v>45208</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HYPERLINK("https://klasma.github.io/Logging_OSTERAKER/artfynd/A 61724-2022.xlsx", "A 61724-2022")</f>
        <v/>
      </c>
      <c r="T42">
        <f>HYPERLINK("https://klasma.github.io/Logging_OSTERAKER/kartor/A 61724-2022.png", "A 61724-2022")</f>
        <v/>
      </c>
      <c r="V42">
        <f>HYPERLINK("https://klasma.github.io/Logging_OSTERAKER/klagomål/A 61724-2022.docx", "A 61724-2022")</f>
        <v/>
      </c>
      <c r="W42">
        <f>HYPERLINK("https://klasma.github.io/Logging_OSTERAKER/klagomålsmail/A 61724-2022.docx", "A 61724-2022")</f>
        <v/>
      </c>
      <c r="X42">
        <f>HYPERLINK("https://klasma.github.io/Logging_OSTERAKER/tillsyn/A 61724-2022.docx", "A 61724-2022")</f>
        <v/>
      </c>
      <c r="Y42">
        <f>HYPERLINK("https://klasma.github.io/Logging_OSTERAKER/tillsynsmail/A 61724-2022.docx", "A 61724-2022")</f>
        <v/>
      </c>
    </row>
    <row r="43" ht="15" customHeight="1">
      <c r="A43" t="inlineStr">
        <is>
          <t>A 3472-2023</t>
        </is>
      </c>
      <c r="B43" s="1" t="n">
        <v>44949</v>
      </c>
      <c r="C43" s="1" t="n">
        <v>45208</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HYPERLINK("https://klasma.github.io/Logging_NORRTALJE/artfynd/A 3472-2023.xlsx", "A 3472-2023")</f>
        <v/>
      </c>
      <c r="T43">
        <f>HYPERLINK("https://klasma.github.io/Logging_NORRTALJE/kartor/A 3472-2023.png", "A 3472-2023")</f>
        <v/>
      </c>
      <c r="V43">
        <f>HYPERLINK("https://klasma.github.io/Logging_NORRTALJE/klagomål/A 3472-2023.docx", "A 3472-2023")</f>
        <v/>
      </c>
      <c r="W43">
        <f>HYPERLINK("https://klasma.github.io/Logging_NORRTALJE/klagomålsmail/A 3472-2023.docx", "A 3472-2023")</f>
        <v/>
      </c>
      <c r="X43">
        <f>HYPERLINK("https://klasma.github.io/Logging_NORRTALJE/tillsyn/A 3472-2023.docx", "A 3472-2023")</f>
        <v/>
      </c>
      <c r="Y43">
        <f>HYPERLINK("https://klasma.github.io/Logging_NORRTALJE/tillsynsmail/A 3472-2023.docx", "A 3472-2023")</f>
        <v/>
      </c>
    </row>
    <row r="44" ht="15" customHeight="1">
      <c r="A44" t="inlineStr">
        <is>
          <t>A 16743-2023</t>
        </is>
      </c>
      <c r="B44" s="1" t="n">
        <v>45030</v>
      </c>
      <c r="C44" s="1" t="n">
        <v>45208</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HYPERLINK("https://klasma.github.io/Logging_NORRTALJE/artfynd/A 16743-2023.xlsx", "A 16743-2023")</f>
        <v/>
      </c>
      <c r="T44">
        <f>HYPERLINK("https://klasma.github.io/Logging_NORRTALJE/kartor/A 16743-2023.png", "A 16743-2023")</f>
        <v/>
      </c>
      <c r="V44">
        <f>HYPERLINK("https://klasma.github.io/Logging_NORRTALJE/klagomål/A 16743-2023.docx", "A 16743-2023")</f>
        <v/>
      </c>
      <c r="W44">
        <f>HYPERLINK("https://klasma.github.io/Logging_NORRTALJE/klagomålsmail/A 16743-2023.docx", "A 16743-2023")</f>
        <v/>
      </c>
      <c r="X44">
        <f>HYPERLINK("https://klasma.github.io/Logging_NORRTALJE/tillsyn/A 16743-2023.docx", "A 16743-2023")</f>
        <v/>
      </c>
      <c r="Y44">
        <f>HYPERLINK("https://klasma.github.io/Logging_NORRTALJE/tillsynsmail/A 16743-2023.docx", "A 16743-2023")</f>
        <v/>
      </c>
    </row>
    <row r="45" ht="15" customHeight="1">
      <c r="A45" t="inlineStr">
        <is>
          <t>A 21999-2019</t>
        </is>
      </c>
      <c r="B45" s="1" t="n">
        <v>43584</v>
      </c>
      <c r="C45" s="1" t="n">
        <v>45208</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HYPERLINK("https://klasma.github.io/Logging_NORRTALJE/artfynd/A 21999-2019.xlsx", "A 21999-2019")</f>
        <v/>
      </c>
      <c r="T45">
        <f>HYPERLINK("https://klasma.github.io/Logging_NORRTALJE/kartor/A 21999-2019.png", "A 21999-2019")</f>
        <v/>
      </c>
      <c r="V45">
        <f>HYPERLINK("https://klasma.github.io/Logging_NORRTALJE/klagomål/A 21999-2019.docx", "A 21999-2019")</f>
        <v/>
      </c>
      <c r="W45">
        <f>HYPERLINK("https://klasma.github.io/Logging_NORRTALJE/klagomålsmail/A 21999-2019.docx", "A 21999-2019")</f>
        <v/>
      </c>
      <c r="X45">
        <f>HYPERLINK("https://klasma.github.io/Logging_NORRTALJE/tillsyn/A 21999-2019.docx", "A 21999-2019")</f>
        <v/>
      </c>
      <c r="Y45">
        <f>HYPERLINK("https://klasma.github.io/Logging_NORRTALJE/tillsynsmail/A 21999-2019.docx", "A 21999-2019")</f>
        <v/>
      </c>
    </row>
    <row r="46" ht="15" customHeight="1">
      <c r="A46" t="inlineStr">
        <is>
          <t>A 27195-2019</t>
        </is>
      </c>
      <c r="B46" s="1" t="n">
        <v>43614</v>
      </c>
      <c r="C46" s="1" t="n">
        <v>45208</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HYPERLINK("https://klasma.github.io/Logging_NORRTALJE/artfynd/A 27195-2019.xlsx", "A 27195-2019")</f>
        <v/>
      </c>
      <c r="T46">
        <f>HYPERLINK("https://klasma.github.io/Logging_NORRTALJE/kartor/A 27195-2019.png", "A 27195-2019")</f>
        <v/>
      </c>
      <c r="V46">
        <f>HYPERLINK("https://klasma.github.io/Logging_NORRTALJE/klagomål/A 27195-2019.docx", "A 27195-2019")</f>
        <v/>
      </c>
      <c r="W46">
        <f>HYPERLINK("https://klasma.github.io/Logging_NORRTALJE/klagomålsmail/A 27195-2019.docx", "A 27195-2019")</f>
        <v/>
      </c>
      <c r="X46">
        <f>HYPERLINK("https://klasma.github.io/Logging_NORRTALJE/tillsyn/A 27195-2019.docx", "A 27195-2019")</f>
        <v/>
      </c>
      <c r="Y46">
        <f>HYPERLINK("https://klasma.github.io/Logging_NORRTALJE/tillsynsmail/A 27195-2019.docx", "A 27195-2019")</f>
        <v/>
      </c>
    </row>
    <row r="47" ht="15" customHeight="1">
      <c r="A47" t="inlineStr">
        <is>
          <t>A 43913-2021</t>
        </is>
      </c>
      <c r="B47" s="1" t="n">
        <v>44434</v>
      </c>
      <c r="C47" s="1" t="n">
        <v>45208</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HYPERLINK("https://klasma.github.io/Logging_BOTKYRKA/artfynd/A 43913-2021.xlsx", "A 43913-2021")</f>
        <v/>
      </c>
      <c r="T47">
        <f>HYPERLINK("https://klasma.github.io/Logging_BOTKYRKA/kartor/A 43913-2021.png", "A 43913-2021")</f>
        <v/>
      </c>
      <c r="U47">
        <f>HYPERLINK("https://klasma.github.io/Logging_BOTKYRKA/knärot/A 43913-2021.png", "A 43913-2021")</f>
        <v/>
      </c>
      <c r="V47">
        <f>HYPERLINK("https://klasma.github.io/Logging_BOTKYRKA/klagomål/A 43913-2021.docx", "A 43913-2021")</f>
        <v/>
      </c>
      <c r="W47">
        <f>HYPERLINK("https://klasma.github.io/Logging_BOTKYRKA/klagomålsmail/A 43913-2021.docx", "A 43913-2021")</f>
        <v/>
      </c>
      <c r="X47">
        <f>HYPERLINK("https://klasma.github.io/Logging_BOTKYRKA/tillsyn/A 43913-2021.docx", "A 43913-2021")</f>
        <v/>
      </c>
      <c r="Y47">
        <f>HYPERLINK("https://klasma.github.io/Logging_BOTKYRKA/tillsynsmail/A 43913-2021.docx", "A 43913-2021")</f>
        <v/>
      </c>
    </row>
    <row r="48" ht="15" customHeight="1">
      <c r="A48" t="inlineStr">
        <is>
          <t>A 4262-2023</t>
        </is>
      </c>
      <c r="B48" s="1" t="n">
        <v>44953</v>
      </c>
      <c r="C48" s="1" t="n">
        <v>45208</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HYPERLINK("https://klasma.github.io/Logging_NORRTALJE/artfynd/A 4262-2023.xlsx", "A 4262-2023")</f>
        <v/>
      </c>
      <c r="T48">
        <f>HYPERLINK("https://klasma.github.io/Logging_NORRTALJE/kartor/A 4262-2023.png", "A 4262-2023")</f>
        <v/>
      </c>
      <c r="V48">
        <f>HYPERLINK("https://klasma.github.io/Logging_NORRTALJE/klagomål/A 4262-2023.docx", "A 4262-2023")</f>
        <v/>
      </c>
      <c r="W48">
        <f>HYPERLINK("https://klasma.github.io/Logging_NORRTALJE/klagomålsmail/A 4262-2023.docx", "A 4262-2023")</f>
        <v/>
      </c>
      <c r="X48">
        <f>HYPERLINK("https://klasma.github.io/Logging_NORRTALJE/tillsyn/A 4262-2023.docx", "A 4262-2023")</f>
        <v/>
      </c>
      <c r="Y48">
        <f>HYPERLINK("https://klasma.github.io/Logging_NORRTALJE/tillsynsmail/A 4262-2023.docx", "A 4262-2023")</f>
        <v/>
      </c>
    </row>
    <row r="49" ht="15" customHeight="1">
      <c r="A49" t="inlineStr">
        <is>
          <t>A 15265-2023</t>
        </is>
      </c>
      <c r="B49" s="1" t="n">
        <v>45019</v>
      </c>
      <c r="C49" s="1" t="n">
        <v>45208</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HYPERLINK("https://klasma.github.io/Logging_VALLENTUNA/artfynd/A 15265-2023.xlsx", "A 15265-2023")</f>
        <v/>
      </c>
      <c r="T49">
        <f>HYPERLINK("https://klasma.github.io/Logging_VALLENTUNA/kartor/A 15265-2023.png", "A 15265-2023")</f>
        <v/>
      </c>
      <c r="V49">
        <f>HYPERLINK("https://klasma.github.io/Logging_VALLENTUNA/klagomål/A 15265-2023.docx", "A 15265-2023")</f>
        <v/>
      </c>
      <c r="W49">
        <f>HYPERLINK("https://klasma.github.io/Logging_VALLENTUNA/klagomålsmail/A 15265-2023.docx", "A 15265-2023")</f>
        <v/>
      </c>
      <c r="X49">
        <f>HYPERLINK("https://klasma.github.io/Logging_VALLENTUNA/tillsyn/A 15265-2023.docx", "A 15265-2023")</f>
        <v/>
      </c>
      <c r="Y49">
        <f>HYPERLINK("https://klasma.github.io/Logging_VALLENTUNA/tillsynsmail/A 15265-2023.docx", "A 15265-2023")</f>
        <v/>
      </c>
    </row>
    <row r="50" ht="15" customHeight="1">
      <c r="A50" t="inlineStr">
        <is>
          <t>A 44847-2023</t>
        </is>
      </c>
      <c r="B50" s="1" t="n">
        <v>45190</v>
      </c>
      <c r="C50" s="1" t="n">
        <v>45208</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HYPERLINK("https://klasma.github.io/Logging_NORRTALJE/artfynd/A 44847-2023.xlsx", "A 44847-2023")</f>
        <v/>
      </c>
      <c r="T50">
        <f>HYPERLINK("https://klasma.github.io/Logging_NORRTALJE/kartor/A 44847-2023.png", "A 44847-2023")</f>
        <v/>
      </c>
      <c r="U50">
        <f>HYPERLINK("https://klasma.github.io/Logging_NORRTALJE/knärot/A 44847-2023.png", "A 44847-2023")</f>
        <v/>
      </c>
      <c r="V50">
        <f>HYPERLINK("https://klasma.github.io/Logging_NORRTALJE/klagomål/A 44847-2023.docx", "A 44847-2023")</f>
        <v/>
      </c>
      <c r="W50">
        <f>HYPERLINK("https://klasma.github.io/Logging_NORRTALJE/klagomålsmail/A 44847-2023.docx", "A 44847-2023")</f>
        <v/>
      </c>
      <c r="X50">
        <f>HYPERLINK("https://klasma.github.io/Logging_NORRTALJE/tillsyn/A 44847-2023.docx", "A 44847-2023")</f>
        <v/>
      </c>
      <c r="Y50">
        <f>HYPERLINK("https://klasma.github.io/Logging_NORRTALJE/tillsynsmail/A 44847-2023.docx", "A 44847-2023")</f>
        <v/>
      </c>
    </row>
    <row r="51" ht="15" customHeight="1">
      <c r="A51" t="inlineStr">
        <is>
          <t>A 4801-2019</t>
        </is>
      </c>
      <c r="B51" s="1" t="n">
        <v>43486</v>
      </c>
      <c r="C51" s="1" t="n">
        <v>45208</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HYPERLINK("https://klasma.github.io/Logging_SIGTUNA/artfynd/A 4801-2019.xlsx", "A 4801-2019")</f>
        <v/>
      </c>
      <c r="T51">
        <f>HYPERLINK("https://klasma.github.io/Logging_SIGTUNA/kartor/A 4801-2019.png", "A 4801-2019")</f>
        <v/>
      </c>
      <c r="V51">
        <f>HYPERLINK("https://klasma.github.io/Logging_SIGTUNA/klagomål/A 4801-2019.docx", "A 4801-2019")</f>
        <v/>
      </c>
      <c r="W51">
        <f>HYPERLINK("https://klasma.github.io/Logging_SIGTUNA/klagomålsmail/A 4801-2019.docx", "A 4801-2019")</f>
        <v/>
      </c>
      <c r="X51">
        <f>HYPERLINK("https://klasma.github.io/Logging_SIGTUNA/tillsyn/A 4801-2019.docx", "A 4801-2019")</f>
        <v/>
      </c>
      <c r="Y51">
        <f>HYPERLINK("https://klasma.github.io/Logging_SIGTUNA/tillsynsmail/A 4801-2019.docx", "A 4801-2019")</f>
        <v/>
      </c>
    </row>
    <row r="52" ht="15" customHeight="1">
      <c r="A52" t="inlineStr">
        <is>
          <t>A 11231-2021</t>
        </is>
      </c>
      <c r="B52" s="1" t="n">
        <v>44263</v>
      </c>
      <c r="C52" s="1" t="n">
        <v>45208</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HYPERLINK("https://klasma.github.io/Logging_NORRTALJE/artfynd/A 11231-2021.xlsx", "A 11231-2021")</f>
        <v/>
      </c>
      <c r="T52">
        <f>HYPERLINK("https://klasma.github.io/Logging_NORRTALJE/kartor/A 11231-2021.png", "A 11231-2021")</f>
        <v/>
      </c>
      <c r="V52">
        <f>HYPERLINK("https://klasma.github.io/Logging_NORRTALJE/klagomål/A 11231-2021.docx", "A 11231-2021")</f>
        <v/>
      </c>
      <c r="W52">
        <f>HYPERLINK("https://klasma.github.io/Logging_NORRTALJE/klagomålsmail/A 11231-2021.docx", "A 11231-2021")</f>
        <v/>
      </c>
      <c r="X52">
        <f>HYPERLINK("https://klasma.github.io/Logging_NORRTALJE/tillsyn/A 11231-2021.docx", "A 11231-2021")</f>
        <v/>
      </c>
      <c r="Y52">
        <f>HYPERLINK("https://klasma.github.io/Logging_NORRTALJE/tillsynsmail/A 11231-2021.docx", "A 11231-2021")</f>
        <v/>
      </c>
    </row>
    <row r="53" ht="15" customHeight="1">
      <c r="A53" t="inlineStr">
        <is>
          <t>A 31366-2021</t>
        </is>
      </c>
      <c r="B53" s="1" t="n">
        <v>44368</v>
      </c>
      <c r="C53" s="1" t="n">
        <v>45208</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HYPERLINK("https://klasma.github.io/Logging_UPPLANDS-BRO/artfynd/A 31366-2021.xlsx", "A 31366-2021")</f>
        <v/>
      </c>
      <c r="T53">
        <f>HYPERLINK("https://klasma.github.io/Logging_UPPLANDS-BRO/kartor/A 31366-2021.png", "A 31366-2021")</f>
        <v/>
      </c>
      <c r="V53">
        <f>HYPERLINK("https://klasma.github.io/Logging_UPPLANDS-BRO/klagomål/A 31366-2021.docx", "A 31366-2021")</f>
        <v/>
      </c>
      <c r="W53">
        <f>HYPERLINK("https://klasma.github.io/Logging_UPPLANDS-BRO/klagomålsmail/A 31366-2021.docx", "A 31366-2021")</f>
        <v/>
      </c>
      <c r="X53">
        <f>HYPERLINK("https://klasma.github.io/Logging_UPPLANDS-BRO/tillsyn/A 31366-2021.docx", "A 31366-2021")</f>
        <v/>
      </c>
      <c r="Y53">
        <f>HYPERLINK("https://klasma.github.io/Logging_UPPLANDS-BRO/tillsynsmail/A 31366-2021.docx", "A 31366-2021")</f>
        <v/>
      </c>
    </row>
    <row r="54" ht="15" customHeight="1">
      <c r="A54" t="inlineStr">
        <is>
          <t>A 52815-2021</t>
        </is>
      </c>
      <c r="B54" s="1" t="n">
        <v>44467</v>
      </c>
      <c r="C54" s="1" t="n">
        <v>45208</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HYPERLINK("https://klasma.github.io/Logging_NORRTALJE/artfynd/A 52815-2021.xlsx", "A 52815-2021")</f>
        <v/>
      </c>
      <c r="T54">
        <f>HYPERLINK("https://klasma.github.io/Logging_NORRTALJE/kartor/A 52815-2021.png", "A 52815-2021")</f>
        <v/>
      </c>
      <c r="V54">
        <f>HYPERLINK("https://klasma.github.io/Logging_NORRTALJE/klagomål/A 52815-2021.docx", "A 52815-2021")</f>
        <v/>
      </c>
      <c r="W54">
        <f>HYPERLINK("https://klasma.github.io/Logging_NORRTALJE/klagomålsmail/A 52815-2021.docx", "A 52815-2021")</f>
        <v/>
      </c>
      <c r="X54">
        <f>HYPERLINK("https://klasma.github.io/Logging_NORRTALJE/tillsyn/A 52815-2021.docx", "A 52815-2021")</f>
        <v/>
      </c>
      <c r="Y54">
        <f>HYPERLINK("https://klasma.github.io/Logging_NORRTALJE/tillsynsmail/A 52815-2021.docx", "A 52815-2021")</f>
        <v/>
      </c>
    </row>
    <row r="55" ht="15" customHeight="1">
      <c r="A55" t="inlineStr">
        <is>
          <t>A 4779-2019</t>
        </is>
      </c>
      <c r="B55" s="1" t="n">
        <v>43486</v>
      </c>
      <c r="C55" s="1" t="n">
        <v>45208</v>
      </c>
      <c r="D55" t="inlineStr">
        <is>
          <t>STOCKHOLMS LÄN</t>
        </is>
      </c>
      <c r="E55" t="inlineStr">
        <is>
          <t>VÄRMDÖ</t>
        </is>
      </c>
      <c r="F55" t="inlineStr">
        <is>
          <t>Övriga Aktiebolag</t>
        </is>
      </c>
      <c r="G55" t="n">
        <v>8.800000000000001</v>
      </c>
      <c r="H55" t="n">
        <v>4</v>
      </c>
      <c r="I55" t="n">
        <v>5</v>
      </c>
      <c r="J55" t="n">
        <v>2</v>
      </c>
      <c r="K55" t="n">
        <v>0</v>
      </c>
      <c r="L55" t="n">
        <v>0</v>
      </c>
      <c r="M55" t="n">
        <v>0</v>
      </c>
      <c r="N55" t="n">
        <v>0</v>
      </c>
      <c r="O55" t="n">
        <v>2</v>
      </c>
      <c r="P55" t="n">
        <v>0</v>
      </c>
      <c r="Q55" t="n">
        <v>8</v>
      </c>
      <c r="R55" s="2" t="inlineStr">
        <is>
          <t>Duvhök
Fyrflikig jordstjärna
Grovticka
Grön sköldmossa
Guldlockmossa
Skogsknipprot
Stor aspticka
Vanlig groda</t>
        </is>
      </c>
      <c r="S55">
        <f>HYPERLINK("https://klasma.github.io/Logging_VARMDO/artfynd/A 4779-2019.xlsx", "A 4779-2019")</f>
        <v/>
      </c>
      <c r="T55">
        <f>HYPERLINK("https://klasma.github.io/Logging_VARMDO/kartor/A 4779-2019.png", "A 4779-2019")</f>
        <v/>
      </c>
      <c r="V55">
        <f>HYPERLINK("https://klasma.github.io/Logging_VARMDO/klagomål/A 4779-2019.docx", "A 4779-2019")</f>
        <v/>
      </c>
      <c r="W55">
        <f>HYPERLINK("https://klasma.github.io/Logging_VARMDO/klagomålsmail/A 4779-2019.docx", "A 4779-2019")</f>
        <v/>
      </c>
      <c r="X55">
        <f>HYPERLINK("https://klasma.github.io/Logging_VARMDO/tillsyn/A 4779-2019.docx", "A 4779-2019")</f>
        <v/>
      </c>
      <c r="Y55">
        <f>HYPERLINK("https://klasma.github.io/Logging_VARMDO/tillsynsmail/A 4779-2019.docx", "A 4779-2019")</f>
        <v/>
      </c>
    </row>
    <row r="56" ht="15" customHeight="1">
      <c r="A56" t="inlineStr">
        <is>
          <t>A 9148-2020</t>
        </is>
      </c>
      <c r="B56" s="1" t="n">
        <v>43879</v>
      </c>
      <c r="C56" s="1" t="n">
        <v>45208</v>
      </c>
      <c r="D56" t="inlineStr">
        <is>
          <t>STOCKHOLMS LÄN</t>
        </is>
      </c>
      <c r="E56" t="inlineStr">
        <is>
          <t>SALEM</t>
        </is>
      </c>
      <c r="F56" t="inlineStr">
        <is>
          <t>Kommuner</t>
        </is>
      </c>
      <c r="G56" t="n">
        <v>2.1</v>
      </c>
      <c r="H56" t="n">
        <v>1</v>
      </c>
      <c r="I56" t="n">
        <v>6</v>
      </c>
      <c r="J56" t="n">
        <v>2</v>
      </c>
      <c r="K56" t="n">
        <v>0</v>
      </c>
      <c r="L56" t="n">
        <v>0</v>
      </c>
      <c r="M56" t="n">
        <v>0</v>
      </c>
      <c r="N56" t="n">
        <v>0</v>
      </c>
      <c r="O56" t="n">
        <v>2</v>
      </c>
      <c r="P56" t="n">
        <v>0</v>
      </c>
      <c r="Q56" t="n">
        <v>8</v>
      </c>
      <c r="R56" s="2" t="inlineStr">
        <is>
          <t>Granticka
Kandelabersvamp
Bronshjon
Fjällig taggsvamp s.str.
Grovticka
Grön sköldmossa
Hasselticka
Skarp dropptaggsvamp</t>
        </is>
      </c>
      <c r="S56">
        <f>HYPERLINK("https://klasma.github.io/Logging_SALEM/artfynd/A 9148-2020.xlsx", "A 9148-2020")</f>
        <v/>
      </c>
      <c r="T56">
        <f>HYPERLINK("https://klasma.github.io/Logging_SALEM/kartor/A 9148-2020.png", "A 9148-2020")</f>
        <v/>
      </c>
      <c r="V56">
        <f>HYPERLINK("https://klasma.github.io/Logging_SALEM/klagomål/A 9148-2020.docx", "A 9148-2020")</f>
        <v/>
      </c>
      <c r="W56">
        <f>HYPERLINK("https://klasma.github.io/Logging_SALEM/klagomålsmail/A 9148-2020.docx", "A 9148-2020")</f>
        <v/>
      </c>
      <c r="X56">
        <f>HYPERLINK("https://klasma.github.io/Logging_SALEM/tillsyn/A 9148-2020.docx", "A 9148-2020")</f>
        <v/>
      </c>
      <c r="Y56">
        <f>HYPERLINK("https://klasma.github.io/Logging_SALEM/tillsynsmail/A 9148-2020.docx", "A 9148-2020")</f>
        <v/>
      </c>
    </row>
    <row r="57" ht="15" customHeight="1">
      <c r="A57" t="inlineStr">
        <is>
          <t>A 27838-2021</t>
        </is>
      </c>
      <c r="B57" s="1" t="n">
        <v>44354</v>
      </c>
      <c r="C57" s="1" t="n">
        <v>45208</v>
      </c>
      <c r="D57" t="inlineStr">
        <is>
          <t>STOCKHOLMS LÄN</t>
        </is>
      </c>
      <c r="E57" t="inlineStr">
        <is>
          <t>SÖDERTÄLJE</t>
        </is>
      </c>
      <c r="F57" t="inlineStr">
        <is>
          <t>Sveaskog</t>
        </is>
      </c>
      <c r="G57" t="n">
        <v>3.8</v>
      </c>
      <c r="H57" t="n">
        <v>1</v>
      </c>
      <c r="I57" t="n">
        <v>5</v>
      </c>
      <c r="J57" t="n">
        <v>3</v>
      </c>
      <c r="K57" t="n">
        <v>0</v>
      </c>
      <c r="L57" t="n">
        <v>0</v>
      </c>
      <c r="M57" t="n">
        <v>0</v>
      </c>
      <c r="N57" t="n">
        <v>0</v>
      </c>
      <c r="O57" t="n">
        <v>3</v>
      </c>
      <c r="P57" t="n">
        <v>0</v>
      </c>
      <c r="Q57" t="n">
        <v>8</v>
      </c>
      <c r="R57" s="2" t="inlineStr">
        <is>
          <t>Ekticka
Kortskaftad ärgspik
Rödbrun blekspik
Grön sköldmossa
Guldlockmossa
Kornig nållav
Rostfläck
Vätteros</t>
        </is>
      </c>
      <c r="S57">
        <f>HYPERLINK("https://klasma.github.io/Logging_SODERTALJE/artfynd/A 27838-2021.xlsx", "A 27838-2021")</f>
        <v/>
      </c>
      <c r="T57">
        <f>HYPERLINK("https://klasma.github.io/Logging_SODERTALJE/kartor/A 27838-2021.png", "A 27838-2021")</f>
        <v/>
      </c>
      <c r="V57">
        <f>HYPERLINK("https://klasma.github.io/Logging_SODERTALJE/klagomål/A 27838-2021.docx", "A 27838-2021")</f>
        <v/>
      </c>
      <c r="W57">
        <f>HYPERLINK("https://klasma.github.io/Logging_SODERTALJE/klagomålsmail/A 27838-2021.docx", "A 27838-2021")</f>
        <v/>
      </c>
      <c r="X57">
        <f>HYPERLINK("https://klasma.github.io/Logging_SODERTALJE/tillsyn/A 27838-2021.docx", "A 27838-2021")</f>
        <v/>
      </c>
      <c r="Y57">
        <f>HYPERLINK("https://klasma.github.io/Logging_SODERTALJE/tillsynsmail/A 27838-2021.docx", "A 27838-2021")</f>
        <v/>
      </c>
    </row>
    <row r="58" ht="15" customHeight="1">
      <c r="A58" t="inlineStr">
        <is>
          <t>A 29817-2021</t>
        </is>
      </c>
      <c r="B58" s="1" t="n">
        <v>44362</v>
      </c>
      <c r="C58" s="1" t="n">
        <v>45208</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HYPERLINK("https://klasma.github.io/Logging_VARMDO/artfynd/A 29817-2021.xlsx", "A 29817-2021")</f>
        <v/>
      </c>
      <c r="T58">
        <f>HYPERLINK("https://klasma.github.io/Logging_VARMDO/kartor/A 29817-2021.png", "A 29817-2021")</f>
        <v/>
      </c>
      <c r="V58">
        <f>HYPERLINK("https://klasma.github.io/Logging_VARMDO/klagomål/A 29817-2021.docx", "A 29817-2021")</f>
        <v/>
      </c>
      <c r="W58">
        <f>HYPERLINK("https://klasma.github.io/Logging_VARMDO/klagomålsmail/A 29817-2021.docx", "A 29817-2021")</f>
        <v/>
      </c>
      <c r="X58">
        <f>HYPERLINK("https://klasma.github.io/Logging_VARMDO/tillsyn/A 29817-2021.docx", "A 29817-2021")</f>
        <v/>
      </c>
      <c r="Y58">
        <f>HYPERLINK("https://klasma.github.io/Logging_VARMDO/tillsynsmail/A 29817-2021.docx", "A 29817-2021")</f>
        <v/>
      </c>
    </row>
    <row r="59" ht="15" customHeight="1">
      <c r="A59" t="inlineStr">
        <is>
          <t>A 25512-2022</t>
        </is>
      </c>
      <c r="B59" s="1" t="n">
        <v>44732</v>
      </c>
      <c r="C59" s="1" t="n">
        <v>45208</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HYPERLINK("https://klasma.github.io/Logging_VALLENTUNA/artfynd/A 25512-2022.xlsx", "A 25512-2022")</f>
        <v/>
      </c>
      <c r="T59">
        <f>HYPERLINK("https://klasma.github.io/Logging_VALLENTUNA/kartor/A 25512-2022.png", "A 25512-2022")</f>
        <v/>
      </c>
      <c r="V59">
        <f>HYPERLINK("https://klasma.github.io/Logging_VALLENTUNA/klagomål/A 25512-2022.docx", "A 25512-2022")</f>
        <v/>
      </c>
      <c r="W59">
        <f>HYPERLINK("https://klasma.github.io/Logging_VALLENTUNA/klagomålsmail/A 25512-2022.docx", "A 25512-2022")</f>
        <v/>
      </c>
      <c r="X59">
        <f>HYPERLINK("https://klasma.github.io/Logging_VALLENTUNA/tillsyn/A 25512-2022.docx", "A 25512-2022")</f>
        <v/>
      </c>
      <c r="Y59">
        <f>HYPERLINK("https://klasma.github.io/Logging_VALLENTUNA/tillsynsmail/A 25512-2022.docx", "A 25512-2022")</f>
        <v/>
      </c>
    </row>
    <row r="60" ht="15" customHeight="1">
      <c r="A60" t="inlineStr">
        <is>
          <t>A 48658-2022</t>
        </is>
      </c>
      <c r="B60" s="1" t="n">
        <v>44859</v>
      </c>
      <c r="C60" s="1" t="n">
        <v>45208</v>
      </c>
      <c r="D60" t="inlineStr">
        <is>
          <t>STOCKHOLMS LÄN</t>
        </is>
      </c>
      <c r="E60" t="inlineStr">
        <is>
          <t>VÄRMDÖ</t>
        </is>
      </c>
      <c r="G60" t="n">
        <v>8.1</v>
      </c>
      <c r="H60" t="n">
        <v>0</v>
      </c>
      <c r="I60" t="n">
        <v>5</v>
      </c>
      <c r="J60" t="n">
        <v>3</v>
      </c>
      <c r="K60" t="n">
        <v>0</v>
      </c>
      <c r="L60" t="n">
        <v>0</v>
      </c>
      <c r="M60" t="n">
        <v>0</v>
      </c>
      <c r="N60" t="n">
        <v>0</v>
      </c>
      <c r="O60" t="n">
        <v>3</v>
      </c>
      <c r="P60" t="n">
        <v>0</v>
      </c>
      <c r="Q60" t="n">
        <v>8</v>
      </c>
      <c r="R60" s="2" t="inlineStr">
        <is>
          <t>Rosenticka
Tallticka
Ullticka
Blåmossa
Bronshjon
Flagellkvastmossa
Kattfotslav
Rödgul trumpetsvamp</t>
        </is>
      </c>
      <c r="S60">
        <f>HYPERLINK("https://klasma.github.io/Logging_VARMDO/artfynd/A 48658-2022.xlsx", "A 48658-2022")</f>
        <v/>
      </c>
      <c r="T60">
        <f>HYPERLINK("https://klasma.github.io/Logging_VARMDO/kartor/A 48658-2022.png", "A 48658-2022")</f>
        <v/>
      </c>
      <c r="V60">
        <f>HYPERLINK("https://klasma.github.io/Logging_VARMDO/klagomål/A 48658-2022.docx", "A 48658-2022")</f>
        <v/>
      </c>
      <c r="W60">
        <f>HYPERLINK("https://klasma.github.io/Logging_VARMDO/klagomålsmail/A 48658-2022.docx", "A 48658-2022")</f>
        <v/>
      </c>
      <c r="X60">
        <f>HYPERLINK("https://klasma.github.io/Logging_VARMDO/tillsyn/A 48658-2022.docx", "A 48658-2022")</f>
        <v/>
      </c>
      <c r="Y60">
        <f>HYPERLINK("https://klasma.github.io/Logging_VARMDO/tillsynsmail/A 48658-2022.docx", "A 48658-2022")</f>
        <v/>
      </c>
    </row>
    <row r="61" ht="15" customHeight="1">
      <c r="A61" t="inlineStr">
        <is>
          <t>A 14020-2023</t>
        </is>
      </c>
      <c r="B61" s="1" t="n">
        <v>45008</v>
      </c>
      <c r="C61" s="1" t="n">
        <v>45208</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HYPERLINK("https://klasma.github.io/Logging_EKERO/artfynd/A 14020-2023.xlsx", "A 14020-2023")</f>
        <v/>
      </c>
      <c r="T61">
        <f>HYPERLINK("https://klasma.github.io/Logging_EKERO/kartor/A 14020-2023.png", "A 14020-2023")</f>
        <v/>
      </c>
      <c r="V61">
        <f>HYPERLINK("https://klasma.github.io/Logging_EKERO/klagomål/A 14020-2023.docx", "A 14020-2023")</f>
        <v/>
      </c>
      <c r="W61">
        <f>HYPERLINK("https://klasma.github.io/Logging_EKERO/klagomålsmail/A 14020-2023.docx", "A 14020-2023")</f>
        <v/>
      </c>
      <c r="X61">
        <f>HYPERLINK("https://klasma.github.io/Logging_EKERO/tillsyn/A 14020-2023.docx", "A 14020-2023")</f>
        <v/>
      </c>
      <c r="Y61">
        <f>HYPERLINK("https://klasma.github.io/Logging_EKERO/tillsynsmail/A 14020-2023.docx", "A 14020-2023")</f>
        <v/>
      </c>
    </row>
    <row r="62" ht="15" customHeight="1">
      <c r="A62" t="inlineStr">
        <is>
          <t>A 4794-2019</t>
        </is>
      </c>
      <c r="B62" s="1" t="n">
        <v>43486</v>
      </c>
      <c r="C62" s="1" t="n">
        <v>45208</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HYPERLINK("https://klasma.github.io/Logging_SIGTUNA/artfynd/A 4794-2019.xlsx", "A 4794-2019")</f>
        <v/>
      </c>
      <c r="T62">
        <f>HYPERLINK("https://klasma.github.io/Logging_SIGTUNA/kartor/A 4794-2019.png", "A 4794-2019")</f>
        <v/>
      </c>
      <c r="V62">
        <f>HYPERLINK("https://klasma.github.io/Logging_SIGTUNA/klagomål/A 4794-2019.docx", "A 4794-2019")</f>
        <v/>
      </c>
      <c r="W62">
        <f>HYPERLINK("https://klasma.github.io/Logging_SIGTUNA/klagomålsmail/A 4794-2019.docx", "A 4794-2019")</f>
        <v/>
      </c>
      <c r="X62">
        <f>HYPERLINK("https://klasma.github.io/Logging_SIGTUNA/tillsyn/A 4794-2019.docx", "A 4794-2019")</f>
        <v/>
      </c>
      <c r="Y62">
        <f>HYPERLINK("https://klasma.github.io/Logging_SIGTUNA/tillsynsmail/A 4794-2019.docx", "A 4794-2019")</f>
        <v/>
      </c>
    </row>
    <row r="63" ht="15" customHeight="1">
      <c r="A63" t="inlineStr">
        <is>
          <t>A 6703-2020</t>
        </is>
      </c>
      <c r="B63" s="1" t="n">
        <v>43865</v>
      </c>
      <c r="C63" s="1" t="n">
        <v>45208</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HYPERLINK("https://klasma.github.io/Logging_HANINGE/artfynd/A 6703-2020.xlsx", "A 6703-2020")</f>
        <v/>
      </c>
      <c r="T63">
        <f>HYPERLINK("https://klasma.github.io/Logging_HANINGE/kartor/A 6703-2020.png", "A 6703-2020")</f>
        <v/>
      </c>
      <c r="V63">
        <f>HYPERLINK("https://klasma.github.io/Logging_HANINGE/klagomål/A 6703-2020.docx", "A 6703-2020")</f>
        <v/>
      </c>
      <c r="W63">
        <f>HYPERLINK("https://klasma.github.io/Logging_HANINGE/klagomålsmail/A 6703-2020.docx", "A 6703-2020")</f>
        <v/>
      </c>
      <c r="X63">
        <f>HYPERLINK("https://klasma.github.io/Logging_HANINGE/tillsyn/A 6703-2020.docx", "A 6703-2020")</f>
        <v/>
      </c>
      <c r="Y63">
        <f>HYPERLINK("https://klasma.github.io/Logging_HANINGE/tillsynsmail/A 6703-2020.docx", "A 6703-2020")</f>
        <v/>
      </c>
    </row>
    <row r="64" ht="15" customHeight="1">
      <c r="A64" t="inlineStr">
        <is>
          <t>A 7430-2020</t>
        </is>
      </c>
      <c r="B64" s="1" t="n">
        <v>43871</v>
      </c>
      <c r="C64" s="1" t="n">
        <v>45208</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HYPERLINK("https://klasma.github.io/Logging_NYNASHAMN/artfynd/A 7430-2020.xlsx", "A 7430-2020")</f>
        <v/>
      </c>
      <c r="T64">
        <f>HYPERLINK("https://klasma.github.io/Logging_NYNASHAMN/kartor/A 7430-2020.png", "A 7430-2020")</f>
        <v/>
      </c>
      <c r="V64">
        <f>HYPERLINK("https://klasma.github.io/Logging_NYNASHAMN/klagomål/A 7430-2020.docx", "A 7430-2020")</f>
        <v/>
      </c>
      <c r="W64">
        <f>HYPERLINK("https://klasma.github.io/Logging_NYNASHAMN/klagomålsmail/A 7430-2020.docx", "A 7430-2020")</f>
        <v/>
      </c>
      <c r="X64">
        <f>HYPERLINK("https://klasma.github.io/Logging_NYNASHAMN/tillsyn/A 7430-2020.docx", "A 7430-2020")</f>
        <v/>
      </c>
      <c r="Y64">
        <f>HYPERLINK("https://klasma.github.io/Logging_NYNASHAMN/tillsynsmail/A 7430-2020.docx", "A 7430-2020")</f>
        <v/>
      </c>
    </row>
    <row r="65" ht="15" customHeight="1">
      <c r="A65" t="inlineStr">
        <is>
          <t>A 12772-2021</t>
        </is>
      </c>
      <c r="B65" s="1" t="n">
        <v>44270</v>
      </c>
      <c r="C65" s="1" t="n">
        <v>45208</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HYPERLINK("https://klasma.github.io/Logging_SODERTALJE/artfynd/A 12772-2021.xlsx", "A 12772-2021")</f>
        <v/>
      </c>
      <c r="T65">
        <f>HYPERLINK("https://klasma.github.io/Logging_SODERTALJE/kartor/A 12772-2021.png", "A 12772-2021")</f>
        <v/>
      </c>
      <c r="V65">
        <f>HYPERLINK("https://klasma.github.io/Logging_SODERTALJE/klagomål/A 12772-2021.docx", "A 12772-2021")</f>
        <v/>
      </c>
      <c r="W65">
        <f>HYPERLINK("https://klasma.github.io/Logging_SODERTALJE/klagomålsmail/A 12772-2021.docx", "A 12772-2021")</f>
        <v/>
      </c>
      <c r="X65">
        <f>HYPERLINK("https://klasma.github.io/Logging_SODERTALJE/tillsyn/A 12772-2021.docx", "A 12772-2021")</f>
        <v/>
      </c>
      <c r="Y65">
        <f>HYPERLINK("https://klasma.github.io/Logging_SODERTALJE/tillsynsmail/A 12772-2021.docx", "A 12772-2021")</f>
        <v/>
      </c>
    </row>
    <row r="66" ht="15" customHeight="1">
      <c r="A66" t="inlineStr">
        <is>
          <t>A 47346-2021</t>
        </is>
      </c>
      <c r="B66" s="1" t="n">
        <v>44447</v>
      </c>
      <c r="C66" s="1" t="n">
        <v>45208</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HYPERLINK("https://klasma.github.io/Logging_NORRTALJE/artfynd/A 47346-2021.xlsx", "A 47346-2021")</f>
        <v/>
      </c>
      <c r="T66">
        <f>HYPERLINK("https://klasma.github.io/Logging_NORRTALJE/kartor/A 47346-2021.png", "A 47346-2021")</f>
        <v/>
      </c>
      <c r="V66">
        <f>HYPERLINK("https://klasma.github.io/Logging_NORRTALJE/klagomål/A 47346-2021.docx", "A 47346-2021")</f>
        <v/>
      </c>
      <c r="W66">
        <f>HYPERLINK("https://klasma.github.io/Logging_NORRTALJE/klagomålsmail/A 47346-2021.docx", "A 47346-2021")</f>
        <v/>
      </c>
      <c r="X66">
        <f>HYPERLINK("https://klasma.github.io/Logging_NORRTALJE/tillsyn/A 47346-2021.docx", "A 47346-2021")</f>
        <v/>
      </c>
      <c r="Y66">
        <f>HYPERLINK("https://klasma.github.io/Logging_NORRTALJE/tillsynsmail/A 47346-2021.docx", "A 47346-2021")</f>
        <v/>
      </c>
    </row>
    <row r="67" ht="15" customHeight="1">
      <c r="A67" t="inlineStr">
        <is>
          <t>A 13933-2022</t>
        </is>
      </c>
      <c r="B67" s="1" t="n">
        <v>44650</v>
      </c>
      <c r="C67" s="1" t="n">
        <v>45208</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HYPERLINK("https://klasma.github.io/Logging_NORRTALJE/artfynd/A 13933-2022.xlsx", "A 13933-2022")</f>
        <v/>
      </c>
      <c r="T67">
        <f>HYPERLINK("https://klasma.github.io/Logging_NORRTALJE/kartor/A 13933-2022.png", "A 13933-2022")</f>
        <v/>
      </c>
      <c r="V67">
        <f>HYPERLINK("https://klasma.github.io/Logging_NORRTALJE/klagomål/A 13933-2022.docx", "A 13933-2022")</f>
        <v/>
      </c>
      <c r="W67">
        <f>HYPERLINK("https://klasma.github.io/Logging_NORRTALJE/klagomålsmail/A 13933-2022.docx", "A 13933-2022")</f>
        <v/>
      </c>
      <c r="X67">
        <f>HYPERLINK("https://klasma.github.io/Logging_NORRTALJE/tillsyn/A 13933-2022.docx", "A 13933-2022")</f>
        <v/>
      </c>
      <c r="Y67">
        <f>HYPERLINK("https://klasma.github.io/Logging_NORRTALJE/tillsynsmail/A 13933-2022.docx", "A 13933-2022")</f>
        <v/>
      </c>
    </row>
    <row r="68" ht="15" customHeight="1">
      <c r="A68" t="inlineStr">
        <is>
          <t>A 22064-2022</t>
        </is>
      </c>
      <c r="B68" s="1" t="n">
        <v>44711</v>
      </c>
      <c r="C68" s="1" t="n">
        <v>45208</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HYPERLINK("https://klasma.github.io/Logging_VALLENTUNA/artfynd/A 22064-2022.xlsx", "A 22064-2022")</f>
        <v/>
      </c>
      <c r="T68">
        <f>HYPERLINK("https://klasma.github.io/Logging_VALLENTUNA/kartor/A 22064-2022.png", "A 22064-2022")</f>
        <v/>
      </c>
      <c r="V68">
        <f>HYPERLINK("https://klasma.github.io/Logging_VALLENTUNA/klagomål/A 22064-2022.docx", "A 22064-2022")</f>
        <v/>
      </c>
      <c r="W68">
        <f>HYPERLINK("https://klasma.github.io/Logging_VALLENTUNA/klagomålsmail/A 22064-2022.docx", "A 22064-2022")</f>
        <v/>
      </c>
      <c r="X68">
        <f>HYPERLINK("https://klasma.github.io/Logging_VALLENTUNA/tillsyn/A 22064-2022.docx", "A 22064-2022")</f>
        <v/>
      </c>
      <c r="Y68">
        <f>HYPERLINK("https://klasma.github.io/Logging_VALLENTUNA/tillsynsmail/A 22064-2022.docx", "A 22064-2022")</f>
        <v/>
      </c>
    </row>
    <row r="69" ht="15" customHeight="1">
      <c r="A69" t="inlineStr">
        <is>
          <t>A 24150-2022</t>
        </is>
      </c>
      <c r="B69" s="1" t="n">
        <v>44725</v>
      </c>
      <c r="C69" s="1" t="n">
        <v>45208</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HYPERLINK("https://klasma.github.io/Logging_NORRTALJE/artfynd/A 24150-2022.xlsx", "A 24150-2022")</f>
        <v/>
      </c>
      <c r="T69">
        <f>HYPERLINK("https://klasma.github.io/Logging_NORRTALJE/kartor/A 24150-2022.png", "A 24150-2022")</f>
        <v/>
      </c>
      <c r="V69">
        <f>HYPERLINK("https://klasma.github.io/Logging_NORRTALJE/klagomål/A 24150-2022.docx", "A 24150-2022")</f>
        <v/>
      </c>
      <c r="W69">
        <f>HYPERLINK("https://klasma.github.io/Logging_NORRTALJE/klagomålsmail/A 24150-2022.docx", "A 24150-2022")</f>
        <v/>
      </c>
      <c r="X69">
        <f>HYPERLINK("https://klasma.github.io/Logging_NORRTALJE/tillsyn/A 24150-2022.docx", "A 24150-2022")</f>
        <v/>
      </c>
      <c r="Y69">
        <f>HYPERLINK("https://klasma.github.io/Logging_NORRTALJE/tillsynsmail/A 24150-2022.docx", "A 24150-2022")</f>
        <v/>
      </c>
    </row>
    <row r="70" ht="15" customHeight="1">
      <c r="A70" t="inlineStr">
        <is>
          <t>A 45811-2022</t>
        </is>
      </c>
      <c r="B70" s="1" t="n">
        <v>44846</v>
      </c>
      <c r="C70" s="1" t="n">
        <v>45208</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HYPERLINK("https://klasma.github.io/Logging_NORRTALJE/artfynd/A 45811-2022.xlsx", "A 45811-2022")</f>
        <v/>
      </c>
      <c r="T70">
        <f>HYPERLINK("https://klasma.github.io/Logging_NORRTALJE/kartor/A 45811-2022.png", "A 45811-2022")</f>
        <v/>
      </c>
      <c r="V70">
        <f>HYPERLINK("https://klasma.github.io/Logging_NORRTALJE/klagomål/A 45811-2022.docx", "A 45811-2022")</f>
        <v/>
      </c>
      <c r="W70">
        <f>HYPERLINK("https://klasma.github.io/Logging_NORRTALJE/klagomålsmail/A 45811-2022.docx", "A 45811-2022")</f>
        <v/>
      </c>
      <c r="X70">
        <f>HYPERLINK("https://klasma.github.io/Logging_NORRTALJE/tillsyn/A 45811-2022.docx", "A 45811-2022")</f>
        <v/>
      </c>
      <c r="Y70">
        <f>HYPERLINK("https://klasma.github.io/Logging_NORRTALJE/tillsynsmail/A 45811-2022.docx", "A 45811-2022")</f>
        <v/>
      </c>
    </row>
    <row r="71" ht="15" customHeight="1">
      <c r="A71" t="inlineStr">
        <is>
          <t>A 5527-2023</t>
        </is>
      </c>
      <c r="B71" s="1" t="n">
        <v>44960</v>
      </c>
      <c r="C71" s="1" t="n">
        <v>45208</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HYPERLINK("https://klasma.github.io/Logging_NYNASHAMN/artfynd/A 5527-2023.xlsx", "A 5527-2023")</f>
        <v/>
      </c>
      <c r="T71">
        <f>HYPERLINK("https://klasma.github.io/Logging_NYNASHAMN/kartor/A 5527-2023.png", "A 5527-2023")</f>
        <v/>
      </c>
      <c r="V71">
        <f>HYPERLINK("https://klasma.github.io/Logging_NYNASHAMN/klagomål/A 5527-2023.docx", "A 5527-2023")</f>
        <v/>
      </c>
      <c r="W71">
        <f>HYPERLINK("https://klasma.github.io/Logging_NYNASHAMN/klagomålsmail/A 5527-2023.docx", "A 5527-2023")</f>
        <v/>
      </c>
      <c r="X71">
        <f>HYPERLINK("https://klasma.github.io/Logging_NYNASHAMN/tillsyn/A 5527-2023.docx", "A 5527-2023")</f>
        <v/>
      </c>
      <c r="Y71">
        <f>HYPERLINK("https://klasma.github.io/Logging_NYNASHAMN/tillsynsmail/A 5527-2023.docx", "A 5527-2023")</f>
        <v/>
      </c>
    </row>
    <row r="72" ht="15" customHeight="1">
      <c r="A72" t="inlineStr">
        <is>
          <t>A 18284-2019</t>
        </is>
      </c>
      <c r="B72" s="1" t="n">
        <v>43558</v>
      </c>
      <c r="C72" s="1" t="n">
        <v>45208</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HYPERLINK("https://klasma.github.io/Logging_NORRTALJE/artfynd/A 18284-2019.xlsx", "A 18284-2019")</f>
        <v/>
      </c>
      <c r="T72">
        <f>HYPERLINK("https://klasma.github.io/Logging_NORRTALJE/kartor/A 18284-2019.png", "A 18284-2019")</f>
        <v/>
      </c>
      <c r="V72">
        <f>HYPERLINK("https://klasma.github.io/Logging_NORRTALJE/klagomål/A 18284-2019.docx", "A 18284-2019")</f>
        <v/>
      </c>
      <c r="W72">
        <f>HYPERLINK("https://klasma.github.io/Logging_NORRTALJE/klagomålsmail/A 18284-2019.docx", "A 18284-2019")</f>
        <v/>
      </c>
      <c r="X72">
        <f>HYPERLINK("https://klasma.github.io/Logging_NORRTALJE/tillsyn/A 18284-2019.docx", "A 18284-2019")</f>
        <v/>
      </c>
      <c r="Y72">
        <f>HYPERLINK("https://klasma.github.io/Logging_NORRTALJE/tillsynsmail/A 18284-2019.docx", "A 18284-2019")</f>
        <v/>
      </c>
    </row>
    <row r="73" ht="15" customHeight="1">
      <c r="A73" t="inlineStr">
        <is>
          <t>A 20255-2019</t>
        </is>
      </c>
      <c r="B73" s="1" t="n">
        <v>43571</v>
      </c>
      <c r="C73" s="1" t="n">
        <v>45208</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HYPERLINK("https://klasma.github.io/Logging_NORRTALJE/artfynd/A 20255-2019.xlsx", "A 20255-2019")</f>
        <v/>
      </c>
      <c r="T73">
        <f>HYPERLINK("https://klasma.github.io/Logging_NORRTALJE/kartor/A 20255-2019.png", "A 20255-2019")</f>
        <v/>
      </c>
      <c r="V73">
        <f>HYPERLINK("https://klasma.github.io/Logging_NORRTALJE/klagomål/A 20255-2019.docx", "A 20255-2019")</f>
        <v/>
      </c>
      <c r="W73">
        <f>HYPERLINK("https://klasma.github.io/Logging_NORRTALJE/klagomålsmail/A 20255-2019.docx", "A 20255-2019")</f>
        <v/>
      </c>
      <c r="X73">
        <f>HYPERLINK("https://klasma.github.io/Logging_NORRTALJE/tillsyn/A 20255-2019.docx", "A 20255-2019")</f>
        <v/>
      </c>
      <c r="Y73">
        <f>HYPERLINK("https://klasma.github.io/Logging_NORRTALJE/tillsynsmail/A 20255-2019.docx", "A 20255-2019")</f>
        <v/>
      </c>
    </row>
    <row r="74" ht="15" customHeight="1">
      <c r="A74" t="inlineStr">
        <is>
          <t>A 59328-2019</t>
        </is>
      </c>
      <c r="B74" s="1" t="n">
        <v>43775</v>
      </c>
      <c r="C74" s="1" t="n">
        <v>45208</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HYPERLINK("https://klasma.github.io/Logging_NORRTALJE/artfynd/A 59328-2019.xlsx", "A 59328-2019")</f>
        <v/>
      </c>
      <c r="T74">
        <f>HYPERLINK("https://klasma.github.io/Logging_NORRTALJE/kartor/A 59328-2019.png", "A 59328-2019")</f>
        <v/>
      </c>
      <c r="V74">
        <f>HYPERLINK("https://klasma.github.io/Logging_NORRTALJE/klagomål/A 59328-2019.docx", "A 59328-2019")</f>
        <v/>
      </c>
      <c r="W74">
        <f>HYPERLINK("https://klasma.github.io/Logging_NORRTALJE/klagomålsmail/A 59328-2019.docx", "A 59328-2019")</f>
        <v/>
      </c>
      <c r="X74">
        <f>HYPERLINK("https://klasma.github.io/Logging_NORRTALJE/tillsyn/A 59328-2019.docx", "A 59328-2019")</f>
        <v/>
      </c>
      <c r="Y74">
        <f>HYPERLINK("https://klasma.github.io/Logging_NORRTALJE/tillsynsmail/A 59328-2019.docx", "A 59328-2019")</f>
        <v/>
      </c>
    </row>
    <row r="75" ht="15" customHeight="1">
      <c r="A75" t="inlineStr">
        <is>
          <t>A 57469-2020</t>
        </is>
      </c>
      <c r="B75" s="1" t="n">
        <v>44139</v>
      </c>
      <c r="C75" s="1" t="n">
        <v>45208</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HYPERLINK("https://klasma.github.io/Logging_HANINGE/artfynd/A 57469-2020.xlsx", "A 57469-2020")</f>
        <v/>
      </c>
      <c r="T75">
        <f>HYPERLINK("https://klasma.github.io/Logging_HANINGE/kartor/A 57469-2020.png", "A 57469-2020")</f>
        <v/>
      </c>
      <c r="V75">
        <f>HYPERLINK("https://klasma.github.io/Logging_HANINGE/klagomål/A 57469-2020.docx", "A 57469-2020")</f>
        <v/>
      </c>
      <c r="W75">
        <f>HYPERLINK("https://klasma.github.io/Logging_HANINGE/klagomålsmail/A 57469-2020.docx", "A 57469-2020")</f>
        <v/>
      </c>
      <c r="X75">
        <f>HYPERLINK("https://klasma.github.io/Logging_HANINGE/tillsyn/A 57469-2020.docx", "A 57469-2020")</f>
        <v/>
      </c>
      <c r="Y75">
        <f>HYPERLINK("https://klasma.github.io/Logging_HANINGE/tillsynsmail/A 57469-2020.docx", "A 57469-2020")</f>
        <v/>
      </c>
    </row>
    <row r="76" ht="15" customHeight="1">
      <c r="A76" t="inlineStr">
        <is>
          <t>A 52616-2021</t>
        </is>
      </c>
      <c r="B76" s="1" t="n">
        <v>44463</v>
      </c>
      <c r="C76" s="1" t="n">
        <v>45208</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HYPERLINK("https://klasma.github.io/Logging_HANINGE/artfynd/A 52616-2021.xlsx", "A 52616-2021")</f>
        <v/>
      </c>
      <c r="T76">
        <f>HYPERLINK("https://klasma.github.io/Logging_HANINGE/kartor/A 52616-2021.png", "A 52616-2021")</f>
        <v/>
      </c>
      <c r="V76">
        <f>HYPERLINK("https://klasma.github.io/Logging_HANINGE/klagomål/A 52616-2021.docx", "A 52616-2021")</f>
        <v/>
      </c>
      <c r="W76">
        <f>HYPERLINK("https://klasma.github.io/Logging_HANINGE/klagomålsmail/A 52616-2021.docx", "A 52616-2021")</f>
        <v/>
      </c>
      <c r="X76">
        <f>HYPERLINK("https://klasma.github.io/Logging_HANINGE/tillsyn/A 52616-2021.docx", "A 52616-2021")</f>
        <v/>
      </c>
      <c r="Y76">
        <f>HYPERLINK("https://klasma.github.io/Logging_HANINGE/tillsynsmail/A 52616-2021.docx", "A 52616-2021")</f>
        <v/>
      </c>
    </row>
    <row r="77" ht="15" customHeight="1">
      <c r="A77" t="inlineStr">
        <is>
          <t>A 21729-2023</t>
        </is>
      </c>
      <c r="B77" s="1" t="n">
        <v>45063</v>
      </c>
      <c r="C77" s="1" t="n">
        <v>45208</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HYPERLINK("https://klasma.github.io/Logging_NORRTALJE/artfynd/A 21729-2023.xlsx", "A 21729-2023")</f>
        <v/>
      </c>
      <c r="T77">
        <f>HYPERLINK("https://klasma.github.io/Logging_NORRTALJE/kartor/A 21729-2023.png", "A 21729-2023")</f>
        <v/>
      </c>
      <c r="V77">
        <f>HYPERLINK("https://klasma.github.io/Logging_NORRTALJE/klagomål/A 21729-2023.docx", "A 21729-2023")</f>
        <v/>
      </c>
      <c r="W77">
        <f>HYPERLINK("https://klasma.github.io/Logging_NORRTALJE/klagomålsmail/A 21729-2023.docx", "A 21729-2023")</f>
        <v/>
      </c>
      <c r="X77">
        <f>HYPERLINK("https://klasma.github.io/Logging_NORRTALJE/tillsyn/A 21729-2023.docx", "A 21729-2023")</f>
        <v/>
      </c>
      <c r="Y77">
        <f>HYPERLINK("https://klasma.github.io/Logging_NORRTALJE/tillsynsmail/A 21729-2023.docx", "A 21729-2023")</f>
        <v/>
      </c>
    </row>
    <row r="78" ht="15" customHeight="1">
      <c r="A78" t="inlineStr">
        <is>
          <t>A 34394-2023</t>
        </is>
      </c>
      <c r="B78" s="1" t="n">
        <v>45139</v>
      </c>
      <c r="C78" s="1" t="n">
        <v>45208</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HYPERLINK("https://klasma.github.io/Logging_NORRTALJE/artfynd/A 34394-2023.xlsx", "A 34394-2023")</f>
        <v/>
      </c>
      <c r="T78">
        <f>HYPERLINK("https://klasma.github.io/Logging_NORRTALJE/kartor/A 34394-2023.png", "A 34394-2023")</f>
        <v/>
      </c>
      <c r="V78">
        <f>HYPERLINK("https://klasma.github.io/Logging_NORRTALJE/klagomål/A 34394-2023.docx", "A 34394-2023")</f>
        <v/>
      </c>
      <c r="W78">
        <f>HYPERLINK("https://klasma.github.io/Logging_NORRTALJE/klagomålsmail/A 34394-2023.docx", "A 34394-2023")</f>
        <v/>
      </c>
      <c r="X78">
        <f>HYPERLINK("https://klasma.github.io/Logging_NORRTALJE/tillsyn/A 34394-2023.docx", "A 34394-2023")</f>
        <v/>
      </c>
      <c r="Y78">
        <f>HYPERLINK("https://klasma.github.io/Logging_NORRTALJE/tillsynsmail/A 34394-2023.docx", "A 34394-2023")</f>
        <v/>
      </c>
    </row>
    <row r="79" ht="15" customHeight="1">
      <c r="A79" t="inlineStr">
        <is>
          <t>A 39902-2019</t>
        </is>
      </c>
      <c r="B79" s="1" t="n">
        <v>43692</v>
      </c>
      <c r="C79" s="1" t="n">
        <v>45208</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HYPERLINK("https://klasma.github.io/Logging_NYNASHAMN/artfynd/A 39902-2019.xlsx", "A 39902-2019")</f>
        <v/>
      </c>
      <c r="T79">
        <f>HYPERLINK("https://klasma.github.io/Logging_NYNASHAMN/kartor/A 39902-2019.png", "A 39902-2019")</f>
        <v/>
      </c>
      <c r="V79">
        <f>HYPERLINK("https://klasma.github.io/Logging_NYNASHAMN/klagomål/A 39902-2019.docx", "A 39902-2019")</f>
        <v/>
      </c>
      <c r="W79">
        <f>HYPERLINK("https://klasma.github.io/Logging_NYNASHAMN/klagomålsmail/A 39902-2019.docx", "A 39902-2019")</f>
        <v/>
      </c>
      <c r="X79">
        <f>HYPERLINK("https://klasma.github.io/Logging_NYNASHAMN/tillsyn/A 39902-2019.docx", "A 39902-2019")</f>
        <v/>
      </c>
      <c r="Y79">
        <f>HYPERLINK("https://klasma.github.io/Logging_NYNASHAMN/tillsynsmail/A 39902-2019.docx", "A 39902-2019")</f>
        <v/>
      </c>
    </row>
    <row r="80" ht="15" customHeight="1">
      <c r="A80" t="inlineStr">
        <is>
          <t>A 45469-2019</t>
        </is>
      </c>
      <c r="B80" s="1" t="n">
        <v>43714</v>
      </c>
      <c r="C80" s="1" t="n">
        <v>45208</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HYPERLINK("https://klasma.github.io/Logging_NORRTALJE/artfynd/A 45469-2019.xlsx", "A 45469-2019")</f>
        <v/>
      </c>
      <c r="T80">
        <f>HYPERLINK("https://klasma.github.io/Logging_NORRTALJE/kartor/A 45469-2019.png", "A 45469-2019")</f>
        <v/>
      </c>
      <c r="V80">
        <f>HYPERLINK("https://klasma.github.io/Logging_NORRTALJE/klagomål/A 45469-2019.docx", "A 45469-2019")</f>
        <v/>
      </c>
      <c r="W80">
        <f>HYPERLINK("https://klasma.github.io/Logging_NORRTALJE/klagomålsmail/A 45469-2019.docx", "A 45469-2019")</f>
        <v/>
      </c>
      <c r="X80">
        <f>HYPERLINK("https://klasma.github.io/Logging_NORRTALJE/tillsyn/A 45469-2019.docx", "A 45469-2019")</f>
        <v/>
      </c>
      <c r="Y80">
        <f>HYPERLINK("https://klasma.github.io/Logging_NORRTALJE/tillsynsmail/A 45469-2019.docx", "A 45469-2019")</f>
        <v/>
      </c>
    </row>
    <row r="81" ht="15" customHeight="1">
      <c r="A81" t="inlineStr">
        <is>
          <t>A 3220-2020</t>
        </is>
      </c>
      <c r="B81" s="1" t="n">
        <v>43851</v>
      </c>
      <c r="C81" s="1" t="n">
        <v>45208</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HYPERLINK("https://klasma.github.io/Logging_NYNASHAMN/artfynd/A 3220-2020.xlsx", "A 3220-2020")</f>
        <v/>
      </c>
      <c r="T81">
        <f>HYPERLINK("https://klasma.github.io/Logging_NYNASHAMN/kartor/A 3220-2020.png", "A 3220-2020")</f>
        <v/>
      </c>
      <c r="V81">
        <f>HYPERLINK("https://klasma.github.io/Logging_NYNASHAMN/klagomål/A 3220-2020.docx", "A 3220-2020")</f>
        <v/>
      </c>
      <c r="W81">
        <f>HYPERLINK("https://klasma.github.io/Logging_NYNASHAMN/klagomålsmail/A 3220-2020.docx", "A 3220-2020")</f>
        <v/>
      </c>
      <c r="X81">
        <f>HYPERLINK("https://klasma.github.io/Logging_NYNASHAMN/tillsyn/A 3220-2020.docx", "A 3220-2020")</f>
        <v/>
      </c>
      <c r="Y81">
        <f>HYPERLINK("https://klasma.github.io/Logging_NYNASHAMN/tillsynsmail/A 3220-2020.docx", "A 3220-2020")</f>
        <v/>
      </c>
    </row>
    <row r="82" ht="15" customHeight="1">
      <c r="A82" t="inlineStr">
        <is>
          <t>A 26334-2020</t>
        </is>
      </c>
      <c r="B82" s="1" t="n">
        <v>43986</v>
      </c>
      <c r="C82" s="1" t="n">
        <v>45208</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HYPERLINK("https://klasma.github.io/Logging_EKERO/artfynd/A 26334-2020.xlsx", "A 26334-2020")</f>
        <v/>
      </c>
      <c r="T82">
        <f>HYPERLINK("https://klasma.github.io/Logging_EKERO/kartor/A 26334-2020.png", "A 26334-2020")</f>
        <v/>
      </c>
      <c r="V82">
        <f>HYPERLINK("https://klasma.github.io/Logging_EKERO/klagomål/A 26334-2020.docx", "A 26334-2020")</f>
        <v/>
      </c>
      <c r="W82">
        <f>HYPERLINK("https://klasma.github.io/Logging_EKERO/klagomålsmail/A 26334-2020.docx", "A 26334-2020")</f>
        <v/>
      </c>
      <c r="X82">
        <f>HYPERLINK("https://klasma.github.io/Logging_EKERO/tillsyn/A 26334-2020.docx", "A 26334-2020")</f>
        <v/>
      </c>
      <c r="Y82">
        <f>HYPERLINK("https://klasma.github.io/Logging_EKERO/tillsynsmail/A 26334-2020.docx", "A 26334-2020")</f>
        <v/>
      </c>
    </row>
    <row r="83" ht="15" customHeight="1">
      <c r="A83" t="inlineStr">
        <is>
          <t>A 32532-2020</t>
        </is>
      </c>
      <c r="B83" s="1" t="n">
        <v>44018</v>
      </c>
      <c r="C83" s="1" t="n">
        <v>45208</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HYPERLINK("https://klasma.github.io/Logging_HANINGE/artfynd/A 32532-2020.xlsx", "A 32532-2020")</f>
        <v/>
      </c>
      <c r="T83">
        <f>HYPERLINK("https://klasma.github.io/Logging_HANINGE/kartor/A 32532-2020.png", "A 32532-2020")</f>
        <v/>
      </c>
      <c r="V83">
        <f>HYPERLINK("https://klasma.github.io/Logging_HANINGE/klagomål/A 32532-2020.docx", "A 32532-2020")</f>
        <v/>
      </c>
      <c r="W83">
        <f>HYPERLINK("https://klasma.github.io/Logging_HANINGE/klagomålsmail/A 32532-2020.docx", "A 32532-2020")</f>
        <v/>
      </c>
      <c r="X83">
        <f>HYPERLINK("https://klasma.github.io/Logging_HANINGE/tillsyn/A 32532-2020.docx", "A 32532-2020")</f>
        <v/>
      </c>
      <c r="Y83">
        <f>HYPERLINK("https://klasma.github.io/Logging_HANINGE/tillsynsmail/A 32532-2020.docx", "A 32532-2020")</f>
        <v/>
      </c>
    </row>
    <row r="84" ht="15" customHeight="1">
      <c r="A84" t="inlineStr">
        <is>
          <t>A 42457-2020</t>
        </is>
      </c>
      <c r="B84" s="1" t="n">
        <v>44076</v>
      </c>
      <c r="C84" s="1" t="n">
        <v>45208</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HYPERLINK("https://klasma.github.io/Logging_NORRTALJE/artfynd/A 42457-2020.xlsx", "A 42457-2020")</f>
        <v/>
      </c>
      <c r="T84">
        <f>HYPERLINK("https://klasma.github.io/Logging_NORRTALJE/kartor/A 42457-2020.png", "A 42457-2020")</f>
        <v/>
      </c>
      <c r="V84">
        <f>HYPERLINK("https://klasma.github.io/Logging_NORRTALJE/klagomål/A 42457-2020.docx", "A 42457-2020")</f>
        <v/>
      </c>
      <c r="W84">
        <f>HYPERLINK("https://klasma.github.io/Logging_NORRTALJE/klagomålsmail/A 42457-2020.docx", "A 42457-2020")</f>
        <v/>
      </c>
      <c r="X84">
        <f>HYPERLINK("https://klasma.github.io/Logging_NORRTALJE/tillsyn/A 42457-2020.docx", "A 42457-2020")</f>
        <v/>
      </c>
      <c r="Y84">
        <f>HYPERLINK("https://klasma.github.io/Logging_NORRTALJE/tillsynsmail/A 42457-2020.docx", "A 42457-2020")</f>
        <v/>
      </c>
    </row>
    <row r="85" ht="15" customHeight="1">
      <c r="A85" t="inlineStr">
        <is>
          <t>A 37679-2021</t>
        </is>
      </c>
      <c r="B85" s="1" t="n">
        <v>44400</v>
      </c>
      <c r="C85" s="1" t="n">
        <v>45208</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HYPERLINK("https://klasma.github.io/Logging_SODERTALJE/artfynd/A 37679-2021.xlsx", "A 37679-2021")</f>
        <v/>
      </c>
      <c r="T85">
        <f>HYPERLINK("https://klasma.github.io/Logging_SODERTALJE/kartor/A 37679-2021.png", "A 37679-2021")</f>
        <v/>
      </c>
      <c r="V85">
        <f>HYPERLINK("https://klasma.github.io/Logging_SODERTALJE/klagomål/A 37679-2021.docx", "A 37679-2021")</f>
        <v/>
      </c>
      <c r="W85">
        <f>HYPERLINK("https://klasma.github.io/Logging_SODERTALJE/klagomålsmail/A 37679-2021.docx", "A 37679-2021")</f>
        <v/>
      </c>
      <c r="X85">
        <f>HYPERLINK("https://klasma.github.io/Logging_SODERTALJE/tillsyn/A 37679-2021.docx", "A 37679-2021")</f>
        <v/>
      </c>
      <c r="Y85">
        <f>HYPERLINK("https://klasma.github.io/Logging_SODERTALJE/tillsynsmail/A 37679-2021.docx", "A 37679-2021")</f>
        <v/>
      </c>
    </row>
    <row r="86" ht="15" customHeight="1">
      <c r="A86" t="inlineStr">
        <is>
          <t>A 72111-2021</t>
        </is>
      </c>
      <c r="B86" s="1" t="n">
        <v>44544</v>
      </c>
      <c r="C86" s="1" t="n">
        <v>45208</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HYPERLINK("https://klasma.github.io/Logging_NORRTALJE/artfynd/A 72111-2021.xlsx", "A 72111-2021")</f>
        <v/>
      </c>
      <c r="T86">
        <f>HYPERLINK("https://klasma.github.io/Logging_NORRTALJE/kartor/A 72111-2021.png", "A 72111-2021")</f>
        <v/>
      </c>
      <c r="V86">
        <f>HYPERLINK("https://klasma.github.io/Logging_NORRTALJE/klagomål/A 72111-2021.docx", "A 72111-2021")</f>
        <v/>
      </c>
      <c r="W86">
        <f>HYPERLINK("https://klasma.github.io/Logging_NORRTALJE/klagomålsmail/A 72111-2021.docx", "A 72111-2021")</f>
        <v/>
      </c>
      <c r="X86">
        <f>HYPERLINK("https://klasma.github.io/Logging_NORRTALJE/tillsyn/A 72111-2021.docx", "A 72111-2021")</f>
        <v/>
      </c>
      <c r="Y86">
        <f>HYPERLINK("https://klasma.github.io/Logging_NORRTALJE/tillsynsmail/A 72111-2021.docx", "A 72111-2021")</f>
        <v/>
      </c>
    </row>
    <row r="87" ht="15" customHeight="1">
      <c r="A87" t="inlineStr">
        <is>
          <t>A 10000-2022</t>
        </is>
      </c>
      <c r="B87" s="1" t="n">
        <v>44621</v>
      </c>
      <c r="C87" s="1" t="n">
        <v>45208</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HYPERLINK("https://klasma.github.io/Logging_SIGTUNA/artfynd/A 10000-2022.xlsx", "A 10000-2022")</f>
        <v/>
      </c>
      <c r="T87">
        <f>HYPERLINK("https://klasma.github.io/Logging_SIGTUNA/kartor/A 10000-2022.png", "A 10000-2022")</f>
        <v/>
      </c>
      <c r="V87">
        <f>HYPERLINK("https://klasma.github.io/Logging_SIGTUNA/klagomål/A 10000-2022.docx", "A 10000-2022")</f>
        <v/>
      </c>
      <c r="W87">
        <f>HYPERLINK("https://klasma.github.io/Logging_SIGTUNA/klagomålsmail/A 10000-2022.docx", "A 10000-2022")</f>
        <v/>
      </c>
      <c r="X87">
        <f>HYPERLINK("https://klasma.github.io/Logging_SIGTUNA/tillsyn/A 10000-2022.docx", "A 10000-2022")</f>
        <v/>
      </c>
      <c r="Y87">
        <f>HYPERLINK("https://klasma.github.io/Logging_SIGTUNA/tillsynsmail/A 10000-2022.docx", "A 10000-2022")</f>
        <v/>
      </c>
    </row>
    <row r="88" ht="15" customHeight="1">
      <c r="A88" t="inlineStr">
        <is>
          <t>A 12403-2022</t>
        </is>
      </c>
      <c r="B88" s="1" t="n">
        <v>44637</v>
      </c>
      <c r="C88" s="1" t="n">
        <v>45208</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HYPERLINK("https://klasma.github.io/Logging_NYKVARN/artfynd/A 12403-2022.xlsx", "A 12403-2022")</f>
        <v/>
      </c>
      <c r="T88">
        <f>HYPERLINK("https://klasma.github.io/Logging_NYKVARN/kartor/A 12403-2022.png", "A 12403-2022")</f>
        <v/>
      </c>
      <c r="V88">
        <f>HYPERLINK("https://klasma.github.io/Logging_NYKVARN/klagomål/A 12403-2022.docx", "A 12403-2022")</f>
        <v/>
      </c>
      <c r="W88">
        <f>HYPERLINK("https://klasma.github.io/Logging_NYKVARN/klagomålsmail/A 12403-2022.docx", "A 12403-2022")</f>
        <v/>
      </c>
      <c r="X88">
        <f>HYPERLINK("https://klasma.github.io/Logging_NYKVARN/tillsyn/A 12403-2022.docx", "A 12403-2022")</f>
        <v/>
      </c>
      <c r="Y88">
        <f>HYPERLINK("https://klasma.github.io/Logging_NYKVARN/tillsynsmail/A 12403-2022.docx", "A 12403-2022")</f>
        <v/>
      </c>
    </row>
    <row r="89" ht="15" customHeight="1">
      <c r="A89" t="inlineStr">
        <is>
          <t>A 8216-2023</t>
        </is>
      </c>
      <c r="B89" s="1" t="n">
        <v>44974</v>
      </c>
      <c r="C89" s="1" t="n">
        <v>45208</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HYPERLINK("https://klasma.github.io/Logging_EKERO/artfynd/A 8216-2023.xlsx", "A 8216-2023")</f>
        <v/>
      </c>
      <c r="T89">
        <f>HYPERLINK("https://klasma.github.io/Logging_EKERO/kartor/A 8216-2023.png", "A 8216-2023")</f>
        <v/>
      </c>
      <c r="V89">
        <f>HYPERLINK("https://klasma.github.io/Logging_EKERO/klagomål/A 8216-2023.docx", "A 8216-2023")</f>
        <v/>
      </c>
      <c r="W89">
        <f>HYPERLINK("https://klasma.github.io/Logging_EKERO/klagomålsmail/A 8216-2023.docx", "A 8216-2023")</f>
        <v/>
      </c>
      <c r="X89">
        <f>HYPERLINK("https://klasma.github.io/Logging_EKERO/tillsyn/A 8216-2023.docx", "A 8216-2023")</f>
        <v/>
      </c>
      <c r="Y89">
        <f>HYPERLINK("https://klasma.github.io/Logging_EKERO/tillsynsmail/A 8216-2023.docx", "A 8216-2023")</f>
        <v/>
      </c>
    </row>
    <row r="90" ht="15" customHeight="1">
      <c r="A90" t="inlineStr">
        <is>
          <t>A 21922-2023</t>
        </is>
      </c>
      <c r="B90" s="1" t="n">
        <v>45068</v>
      </c>
      <c r="C90" s="1" t="n">
        <v>45208</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HYPERLINK("https://klasma.github.io/Logging_NORRTALJE/artfynd/A 21922-2023.xlsx", "A 21922-2023")</f>
        <v/>
      </c>
      <c r="T90">
        <f>HYPERLINK("https://klasma.github.io/Logging_NORRTALJE/kartor/A 21922-2023.png", "A 21922-2023")</f>
        <v/>
      </c>
      <c r="V90">
        <f>HYPERLINK("https://klasma.github.io/Logging_NORRTALJE/klagomål/A 21922-2023.docx", "A 21922-2023")</f>
        <v/>
      </c>
      <c r="W90">
        <f>HYPERLINK("https://klasma.github.io/Logging_NORRTALJE/klagomålsmail/A 21922-2023.docx", "A 21922-2023")</f>
        <v/>
      </c>
      <c r="X90">
        <f>HYPERLINK("https://klasma.github.io/Logging_NORRTALJE/tillsyn/A 21922-2023.docx", "A 21922-2023")</f>
        <v/>
      </c>
      <c r="Y90">
        <f>HYPERLINK("https://klasma.github.io/Logging_NORRTALJE/tillsynsmail/A 21922-2023.docx", "A 21922-2023")</f>
        <v/>
      </c>
    </row>
    <row r="91" ht="15" customHeight="1">
      <c r="A91" t="inlineStr">
        <is>
          <t>A 21927-2023</t>
        </is>
      </c>
      <c r="B91" s="1" t="n">
        <v>45068</v>
      </c>
      <c r="C91" s="1" t="n">
        <v>45208</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HYPERLINK("https://klasma.github.io/Logging_NORRTALJE/artfynd/A 21927-2023.xlsx", "A 21927-2023")</f>
        <v/>
      </c>
      <c r="T91">
        <f>HYPERLINK("https://klasma.github.io/Logging_NORRTALJE/kartor/A 21927-2023.png", "A 21927-2023")</f>
        <v/>
      </c>
      <c r="V91">
        <f>HYPERLINK("https://klasma.github.io/Logging_NORRTALJE/klagomål/A 21927-2023.docx", "A 21927-2023")</f>
        <v/>
      </c>
      <c r="W91">
        <f>HYPERLINK("https://klasma.github.io/Logging_NORRTALJE/klagomålsmail/A 21927-2023.docx", "A 21927-2023")</f>
        <v/>
      </c>
      <c r="X91">
        <f>HYPERLINK("https://klasma.github.io/Logging_NORRTALJE/tillsyn/A 21927-2023.docx", "A 21927-2023")</f>
        <v/>
      </c>
      <c r="Y91">
        <f>HYPERLINK("https://klasma.github.io/Logging_NORRTALJE/tillsynsmail/A 21927-2023.docx", "A 21927-2023")</f>
        <v/>
      </c>
    </row>
    <row r="92" ht="15" customHeight="1">
      <c r="A92" t="inlineStr">
        <is>
          <t>A 25533-2023</t>
        </is>
      </c>
      <c r="B92" s="1" t="n">
        <v>45089</v>
      </c>
      <c r="C92" s="1" t="n">
        <v>45208</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HYPERLINK("https://klasma.github.io/Logging_SALEM/artfynd/A 25533-2023.xlsx", "A 25533-2023")</f>
        <v/>
      </c>
      <c r="T92">
        <f>HYPERLINK("https://klasma.github.io/Logging_SALEM/kartor/A 25533-2023.png", "A 25533-2023")</f>
        <v/>
      </c>
      <c r="V92">
        <f>HYPERLINK("https://klasma.github.io/Logging_SALEM/klagomål/A 25533-2023.docx", "A 25533-2023")</f>
        <v/>
      </c>
      <c r="W92">
        <f>HYPERLINK("https://klasma.github.io/Logging_SALEM/klagomålsmail/A 25533-2023.docx", "A 25533-2023")</f>
        <v/>
      </c>
      <c r="X92">
        <f>HYPERLINK("https://klasma.github.io/Logging_SALEM/tillsyn/A 25533-2023.docx", "A 25533-2023")</f>
        <v/>
      </c>
      <c r="Y92">
        <f>HYPERLINK("https://klasma.github.io/Logging_SALEM/tillsynsmail/A 25533-2023.docx", "A 25533-2023")</f>
        <v/>
      </c>
    </row>
    <row r="93" ht="15" customHeight="1">
      <c r="A93" t="inlineStr">
        <is>
          <t>A 36119-2023</t>
        </is>
      </c>
      <c r="B93" s="1" t="n">
        <v>45148</v>
      </c>
      <c r="C93" s="1" t="n">
        <v>45208</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HYPERLINK("https://klasma.github.io/Logging_VALLENTUNA/artfynd/A 36119-2023.xlsx", "A 36119-2023")</f>
        <v/>
      </c>
      <c r="T93">
        <f>HYPERLINK("https://klasma.github.io/Logging_VALLENTUNA/kartor/A 36119-2023.png", "A 36119-2023")</f>
        <v/>
      </c>
      <c r="V93">
        <f>HYPERLINK("https://klasma.github.io/Logging_VALLENTUNA/klagomål/A 36119-2023.docx", "A 36119-2023")</f>
        <v/>
      </c>
      <c r="W93">
        <f>HYPERLINK("https://klasma.github.io/Logging_VALLENTUNA/klagomålsmail/A 36119-2023.docx", "A 36119-2023")</f>
        <v/>
      </c>
      <c r="X93">
        <f>HYPERLINK("https://klasma.github.io/Logging_VALLENTUNA/tillsyn/A 36119-2023.docx", "A 36119-2023")</f>
        <v/>
      </c>
      <c r="Y93">
        <f>HYPERLINK("https://klasma.github.io/Logging_VALLENTUNA/tillsynsmail/A 36119-2023.docx", "A 36119-2023")</f>
        <v/>
      </c>
    </row>
    <row r="94" ht="15" customHeight="1">
      <c r="A94" t="inlineStr">
        <is>
          <t>A 48515-2018</t>
        </is>
      </c>
      <c r="B94" s="1" t="n">
        <v>43374</v>
      </c>
      <c r="C94" s="1" t="n">
        <v>45208</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HYPERLINK("https://klasma.github.io/Logging_HANINGE/artfynd/A 48515-2018.xlsx", "A 48515-2018")</f>
        <v/>
      </c>
      <c r="T94">
        <f>HYPERLINK("https://klasma.github.io/Logging_HANINGE/kartor/A 48515-2018.png", "A 48515-2018")</f>
        <v/>
      </c>
      <c r="V94">
        <f>HYPERLINK("https://klasma.github.io/Logging_HANINGE/klagomål/A 48515-2018.docx", "A 48515-2018")</f>
        <v/>
      </c>
      <c r="W94">
        <f>HYPERLINK("https://klasma.github.io/Logging_HANINGE/klagomålsmail/A 48515-2018.docx", "A 48515-2018")</f>
        <v/>
      </c>
      <c r="X94">
        <f>HYPERLINK("https://klasma.github.io/Logging_HANINGE/tillsyn/A 48515-2018.docx", "A 48515-2018")</f>
        <v/>
      </c>
      <c r="Y94">
        <f>HYPERLINK("https://klasma.github.io/Logging_HANINGE/tillsynsmail/A 48515-2018.docx", "A 48515-2018")</f>
        <v/>
      </c>
    </row>
    <row r="95" ht="15" customHeight="1">
      <c r="A95" t="inlineStr">
        <is>
          <t>A 55163-2018</t>
        </is>
      </c>
      <c r="B95" s="1" t="n">
        <v>43396</v>
      </c>
      <c r="C95" s="1" t="n">
        <v>45208</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HYPERLINK("https://klasma.github.io/Logging_SIGTUNA/artfynd/A 55163-2018.xlsx", "A 55163-2018")</f>
        <v/>
      </c>
      <c r="T95">
        <f>HYPERLINK("https://klasma.github.io/Logging_SIGTUNA/kartor/A 55163-2018.png", "A 55163-2018")</f>
        <v/>
      </c>
      <c r="V95">
        <f>HYPERLINK("https://klasma.github.io/Logging_SIGTUNA/klagomål/A 55163-2018.docx", "A 55163-2018")</f>
        <v/>
      </c>
      <c r="W95">
        <f>HYPERLINK("https://klasma.github.io/Logging_SIGTUNA/klagomålsmail/A 55163-2018.docx", "A 55163-2018")</f>
        <v/>
      </c>
      <c r="X95">
        <f>HYPERLINK("https://klasma.github.io/Logging_SIGTUNA/tillsyn/A 55163-2018.docx", "A 55163-2018")</f>
        <v/>
      </c>
      <c r="Y95">
        <f>HYPERLINK("https://klasma.github.io/Logging_SIGTUNA/tillsynsmail/A 55163-2018.docx", "A 55163-2018")</f>
        <v/>
      </c>
    </row>
    <row r="96" ht="15" customHeight="1">
      <c r="A96" t="inlineStr">
        <is>
          <t>A 67155-2018</t>
        </is>
      </c>
      <c r="B96" s="1" t="n">
        <v>43438</v>
      </c>
      <c r="C96" s="1" t="n">
        <v>45208</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HYPERLINK("https://klasma.github.io/Logging_NYKVARN/artfynd/A 67155-2018.xlsx", "A 67155-2018")</f>
        <v/>
      </c>
      <c r="T96">
        <f>HYPERLINK("https://klasma.github.io/Logging_NYKVARN/kartor/A 67155-2018.png", "A 67155-2018")</f>
        <v/>
      </c>
      <c r="V96">
        <f>HYPERLINK("https://klasma.github.io/Logging_NYKVARN/klagomål/A 67155-2018.docx", "A 67155-2018")</f>
        <v/>
      </c>
      <c r="W96">
        <f>HYPERLINK("https://klasma.github.io/Logging_NYKVARN/klagomålsmail/A 67155-2018.docx", "A 67155-2018")</f>
        <v/>
      </c>
      <c r="X96">
        <f>HYPERLINK("https://klasma.github.io/Logging_NYKVARN/tillsyn/A 67155-2018.docx", "A 67155-2018")</f>
        <v/>
      </c>
      <c r="Y96">
        <f>HYPERLINK("https://klasma.github.io/Logging_NYKVARN/tillsynsmail/A 67155-2018.docx", "A 67155-2018")</f>
        <v/>
      </c>
    </row>
    <row r="97" ht="15" customHeight="1">
      <c r="A97" t="inlineStr">
        <is>
          <t>A 67203-2018</t>
        </is>
      </c>
      <c r="B97" s="1" t="n">
        <v>43438</v>
      </c>
      <c r="C97" s="1" t="n">
        <v>45208</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HYPERLINK("https://klasma.github.io/Logging_HANINGE/artfynd/A 67203-2018.xlsx", "A 67203-2018")</f>
        <v/>
      </c>
      <c r="T97">
        <f>HYPERLINK("https://klasma.github.io/Logging_HANINGE/kartor/A 67203-2018.png", "A 67203-2018")</f>
        <v/>
      </c>
      <c r="V97">
        <f>HYPERLINK("https://klasma.github.io/Logging_HANINGE/klagomål/A 67203-2018.docx", "A 67203-2018")</f>
        <v/>
      </c>
      <c r="W97">
        <f>HYPERLINK("https://klasma.github.io/Logging_HANINGE/klagomålsmail/A 67203-2018.docx", "A 67203-2018")</f>
        <v/>
      </c>
      <c r="X97">
        <f>HYPERLINK("https://klasma.github.io/Logging_HANINGE/tillsyn/A 67203-2018.docx", "A 67203-2018")</f>
        <v/>
      </c>
      <c r="Y97">
        <f>HYPERLINK("https://klasma.github.io/Logging_HANINGE/tillsynsmail/A 67203-2018.docx", "A 67203-2018")</f>
        <v/>
      </c>
    </row>
    <row r="98" ht="15" customHeight="1">
      <c r="A98" t="inlineStr">
        <is>
          <t>A 67201-2018</t>
        </is>
      </c>
      <c r="B98" s="1" t="n">
        <v>43438</v>
      </c>
      <c r="C98" s="1" t="n">
        <v>45208</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HYPERLINK("https://klasma.github.io/Logging_HANINGE/artfynd/A 67201-2018.xlsx", "A 67201-2018")</f>
        <v/>
      </c>
      <c r="T98">
        <f>HYPERLINK("https://klasma.github.io/Logging_HANINGE/kartor/A 67201-2018.png", "A 67201-2018")</f>
        <v/>
      </c>
      <c r="V98">
        <f>HYPERLINK("https://klasma.github.io/Logging_HANINGE/klagomål/A 67201-2018.docx", "A 67201-2018")</f>
        <v/>
      </c>
      <c r="W98">
        <f>HYPERLINK("https://klasma.github.io/Logging_HANINGE/klagomålsmail/A 67201-2018.docx", "A 67201-2018")</f>
        <v/>
      </c>
      <c r="X98">
        <f>HYPERLINK("https://klasma.github.io/Logging_HANINGE/tillsyn/A 67201-2018.docx", "A 67201-2018")</f>
        <v/>
      </c>
      <c r="Y98">
        <f>HYPERLINK("https://klasma.github.io/Logging_HANINGE/tillsynsmail/A 67201-2018.docx", "A 67201-2018")</f>
        <v/>
      </c>
    </row>
    <row r="99" ht="15" customHeight="1">
      <c r="A99" t="inlineStr">
        <is>
          <t>A 71283-2018</t>
        </is>
      </c>
      <c r="B99" s="1" t="n">
        <v>43453</v>
      </c>
      <c r="C99" s="1" t="n">
        <v>45208</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HYPERLINK("https://klasma.github.io/Logging_NYNASHAMN/artfynd/A 71283-2018.xlsx", "A 71283-2018")</f>
        <v/>
      </c>
      <c r="T99">
        <f>HYPERLINK("https://klasma.github.io/Logging_NYNASHAMN/kartor/A 71283-2018.png", "A 71283-2018")</f>
        <v/>
      </c>
      <c r="V99">
        <f>HYPERLINK("https://klasma.github.io/Logging_NYNASHAMN/klagomål/A 71283-2018.docx", "A 71283-2018")</f>
        <v/>
      </c>
      <c r="W99">
        <f>HYPERLINK("https://klasma.github.io/Logging_NYNASHAMN/klagomålsmail/A 71283-2018.docx", "A 71283-2018")</f>
        <v/>
      </c>
      <c r="X99">
        <f>HYPERLINK("https://klasma.github.io/Logging_NYNASHAMN/tillsyn/A 71283-2018.docx", "A 71283-2018")</f>
        <v/>
      </c>
      <c r="Y99">
        <f>HYPERLINK("https://klasma.github.io/Logging_NYNASHAMN/tillsynsmail/A 71283-2018.docx", "A 71283-2018")</f>
        <v/>
      </c>
    </row>
    <row r="100" ht="15" customHeight="1">
      <c r="A100" t="inlineStr">
        <is>
          <t>A 11366-2019</t>
        </is>
      </c>
      <c r="B100" s="1" t="n">
        <v>43517</v>
      </c>
      <c r="C100" s="1" t="n">
        <v>45208</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HYPERLINK("https://klasma.github.io/Logging_NORRTALJE/artfynd/A 11366-2019.xlsx", "A 11366-2019")</f>
        <v/>
      </c>
      <c r="T100">
        <f>HYPERLINK("https://klasma.github.io/Logging_NORRTALJE/kartor/A 11366-2019.png", "A 11366-2019")</f>
        <v/>
      </c>
      <c r="V100">
        <f>HYPERLINK("https://klasma.github.io/Logging_NORRTALJE/klagomål/A 11366-2019.docx", "A 11366-2019")</f>
        <v/>
      </c>
      <c r="W100">
        <f>HYPERLINK("https://klasma.github.io/Logging_NORRTALJE/klagomålsmail/A 11366-2019.docx", "A 11366-2019")</f>
        <v/>
      </c>
      <c r="X100">
        <f>HYPERLINK("https://klasma.github.io/Logging_NORRTALJE/tillsyn/A 11366-2019.docx", "A 11366-2019")</f>
        <v/>
      </c>
      <c r="Y100">
        <f>HYPERLINK("https://klasma.github.io/Logging_NORRTALJE/tillsynsmail/A 11366-2019.docx", "A 11366-2019")</f>
        <v/>
      </c>
    </row>
    <row r="101" ht="15" customHeight="1">
      <c r="A101" t="inlineStr">
        <is>
          <t>A 25507-2019</t>
        </is>
      </c>
      <c r="B101" s="1" t="n">
        <v>43606</v>
      </c>
      <c r="C101" s="1" t="n">
        <v>45208</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HYPERLINK("https://klasma.github.io/Logging_NORRTALJE/artfynd/A 25507-2019.xlsx", "A 25507-2019")</f>
        <v/>
      </c>
      <c r="T101">
        <f>HYPERLINK("https://klasma.github.io/Logging_NORRTALJE/kartor/A 25507-2019.png", "A 25507-2019")</f>
        <v/>
      </c>
      <c r="V101">
        <f>HYPERLINK("https://klasma.github.io/Logging_NORRTALJE/klagomål/A 25507-2019.docx", "A 25507-2019")</f>
        <v/>
      </c>
      <c r="W101">
        <f>HYPERLINK("https://klasma.github.io/Logging_NORRTALJE/klagomålsmail/A 25507-2019.docx", "A 25507-2019")</f>
        <v/>
      </c>
      <c r="X101">
        <f>HYPERLINK("https://klasma.github.io/Logging_NORRTALJE/tillsyn/A 25507-2019.docx", "A 25507-2019")</f>
        <v/>
      </c>
      <c r="Y101">
        <f>HYPERLINK("https://klasma.github.io/Logging_NORRTALJE/tillsynsmail/A 25507-2019.docx", "A 25507-2019")</f>
        <v/>
      </c>
    </row>
    <row r="102" ht="15" customHeight="1">
      <c r="A102" t="inlineStr">
        <is>
          <t>A 28408-2019</t>
        </is>
      </c>
      <c r="B102" s="1" t="n">
        <v>43626</v>
      </c>
      <c r="C102" s="1" t="n">
        <v>45208</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HYPERLINK("https://klasma.github.io/Logging_NORRTALJE/artfynd/A 28408-2019.xlsx", "A 28408-2019")</f>
        <v/>
      </c>
      <c r="T102">
        <f>HYPERLINK("https://klasma.github.io/Logging_NORRTALJE/kartor/A 28408-2019.png", "A 28408-2019")</f>
        <v/>
      </c>
      <c r="U102">
        <f>HYPERLINK("https://klasma.github.io/Logging_NORRTALJE/knärot/A 28408-2019.png", "A 28408-2019")</f>
        <v/>
      </c>
      <c r="V102">
        <f>HYPERLINK("https://klasma.github.io/Logging_NORRTALJE/klagomål/A 28408-2019.docx", "A 28408-2019")</f>
        <v/>
      </c>
      <c r="W102">
        <f>HYPERLINK("https://klasma.github.io/Logging_NORRTALJE/klagomålsmail/A 28408-2019.docx", "A 28408-2019")</f>
        <v/>
      </c>
      <c r="X102">
        <f>HYPERLINK("https://klasma.github.io/Logging_NORRTALJE/tillsyn/A 28408-2019.docx", "A 28408-2019")</f>
        <v/>
      </c>
      <c r="Y102">
        <f>HYPERLINK("https://klasma.github.io/Logging_NORRTALJE/tillsynsmail/A 28408-2019.docx", "A 28408-2019")</f>
        <v/>
      </c>
    </row>
    <row r="103" ht="15" customHeight="1">
      <c r="A103" t="inlineStr">
        <is>
          <t>A 68127-2019</t>
        </is>
      </c>
      <c r="B103" s="1" t="n">
        <v>43817</v>
      </c>
      <c r="C103" s="1" t="n">
        <v>45208</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HYPERLINK("https://klasma.github.io/Logging_VALLENTUNA/artfynd/A 68127-2019.xlsx", "A 68127-2019")</f>
        <v/>
      </c>
      <c r="T103">
        <f>HYPERLINK("https://klasma.github.io/Logging_VALLENTUNA/kartor/A 68127-2019.png", "A 68127-2019")</f>
        <v/>
      </c>
      <c r="V103">
        <f>HYPERLINK("https://klasma.github.io/Logging_VALLENTUNA/klagomål/A 68127-2019.docx", "A 68127-2019")</f>
        <v/>
      </c>
      <c r="W103">
        <f>HYPERLINK("https://klasma.github.io/Logging_VALLENTUNA/klagomålsmail/A 68127-2019.docx", "A 68127-2019")</f>
        <v/>
      </c>
      <c r="X103">
        <f>HYPERLINK("https://klasma.github.io/Logging_VALLENTUNA/tillsyn/A 68127-2019.docx", "A 68127-2019")</f>
        <v/>
      </c>
      <c r="Y103">
        <f>HYPERLINK("https://klasma.github.io/Logging_VALLENTUNA/tillsynsmail/A 68127-2019.docx", "A 68127-2019")</f>
        <v/>
      </c>
    </row>
    <row r="104" ht="15" customHeight="1">
      <c r="A104" t="inlineStr">
        <is>
          <t>A 5732-2020</t>
        </is>
      </c>
      <c r="B104" s="1" t="n">
        <v>43863</v>
      </c>
      <c r="C104" s="1" t="n">
        <v>45208</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HYPERLINK("https://klasma.github.io/Logging_NORRTALJE/artfynd/A 5732-2020.xlsx", "A 5732-2020")</f>
        <v/>
      </c>
      <c r="T104">
        <f>HYPERLINK("https://klasma.github.io/Logging_NORRTALJE/kartor/A 5732-2020.png", "A 5732-2020")</f>
        <v/>
      </c>
      <c r="V104">
        <f>HYPERLINK("https://klasma.github.io/Logging_NORRTALJE/klagomål/A 5732-2020.docx", "A 5732-2020")</f>
        <v/>
      </c>
      <c r="W104">
        <f>HYPERLINK("https://klasma.github.io/Logging_NORRTALJE/klagomålsmail/A 5732-2020.docx", "A 5732-2020")</f>
        <v/>
      </c>
      <c r="X104">
        <f>HYPERLINK("https://klasma.github.io/Logging_NORRTALJE/tillsyn/A 5732-2020.docx", "A 5732-2020")</f>
        <v/>
      </c>
      <c r="Y104">
        <f>HYPERLINK("https://klasma.github.io/Logging_NORRTALJE/tillsynsmail/A 5732-2020.docx", "A 5732-2020")</f>
        <v/>
      </c>
    </row>
    <row r="105" ht="15" customHeight="1">
      <c r="A105" t="inlineStr">
        <is>
          <t>A 11714-2021</t>
        </is>
      </c>
      <c r="B105" s="1" t="n">
        <v>44265</v>
      </c>
      <c r="C105" s="1" t="n">
        <v>45208</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HYPERLINK("https://klasma.github.io/Logging_SIGTUNA/artfynd/A 11714-2021.xlsx", "A 11714-2021")</f>
        <v/>
      </c>
      <c r="T105">
        <f>HYPERLINK("https://klasma.github.io/Logging_SIGTUNA/kartor/A 11714-2021.png", "A 11714-2021")</f>
        <v/>
      </c>
      <c r="V105">
        <f>HYPERLINK("https://klasma.github.io/Logging_SIGTUNA/klagomål/A 11714-2021.docx", "A 11714-2021")</f>
        <v/>
      </c>
      <c r="W105">
        <f>HYPERLINK("https://klasma.github.io/Logging_SIGTUNA/klagomålsmail/A 11714-2021.docx", "A 11714-2021")</f>
        <v/>
      </c>
      <c r="X105">
        <f>HYPERLINK("https://klasma.github.io/Logging_SIGTUNA/tillsyn/A 11714-2021.docx", "A 11714-2021")</f>
        <v/>
      </c>
      <c r="Y105">
        <f>HYPERLINK("https://klasma.github.io/Logging_SIGTUNA/tillsynsmail/A 11714-2021.docx", "A 11714-2021")</f>
        <v/>
      </c>
    </row>
    <row r="106" ht="15" customHeight="1">
      <c r="A106" t="inlineStr">
        <is>
          <t>A 24052-2021</t>
        </is>
      </c>
      <c r="B106" s="1" t="n">
        <v>44336</v>
      </c>
      <c r="C106" s="1" t="n">
        <v>45208</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HYPERLINK("https://klasma.github.io/Logging_NORRTALJE/artfynd/A 24052-2021.xlsx", "A 24052-2021")</f>
        <v/>
      </c>
      <c r="T106">
        <f>HYPERLINK("https://klasma.github.io/Logging_NORRTALJE/kartor/A 24052-2021.png", "A 24052-2021")</f>
        <v/>
      </c>
      <c r="V106">
        <f>HYPERLINK("https://klasma.github.io/Logging_NORRTALJE/klagomål/A 24052-2021.docx", "A 24052-2021")</f>
        <v/>
      </c>
      <c r="W106">
        <f>HYPERLINK("https://klasma.github.io/Logging_NORRTALJE/klagomålsmail/A 24052-2021.docx", "A 24052-2021")</f>
        <v/>
      </c>
      <c r="X106">
        <f>HYPERLINK("https://klasma.github.io/Logging_NORRTALJE/tillsyn/A 24052-2021.docx", "A 24052-2021")</f>
        <v/>
      </c>
      <c r="Y106">
        <f>HYPERLINK("https://klasma.github.io/Logging_NORRTALJE/tillsynsmail/A 24052-2021.docx", "A 24052-2021")</f>
        <v/>
      </c>
    </row>
    <row r="107" ht="15" customHeight="1">
      <c r="A107" t="inlineStr">
        <is>
          <t>A 72305-2021</t>
        </is>
      </c>
      <c r="B107" s="1" t="n">
        <v>44545</v>
      </c>
      <c r="C107" s="1" t="n">
        <v>45208</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HYPERLINK("https://klasma.github.io/Logging_NORRTALJE/artfynd/A 72305-2021.xlsx", "A 72305-2021")</f>
        <v/>
      </c>
      <c r="T107">
        <f>HYPERLINK("https://klasma.github.io/Logging_NORRTALJE/kartor/A 72305-2021.png", "A 72305-2021")</f>
        <v/>
      </c>
      <c r="V107">
        <f>HYPERLINK("https://klasma.github.io/Logging_NORRTALJE/klagomål/A 72305-2021.docx", "A 72305-2021")</f>
        <v/>
      </c>
      <c r="W107">
        <f>HYPERLINK("https://klasma.github.io/Logging_NORRTALJE/klagomålsmail/A 72305-2021.docx", "A 72305-2021")</f>
        <v/>
      </c>
      <c r="X107">
        <f>HYPERLINK("https://klasma.github.io/Logging_NORRTALJE/tillsyn/A 72305-2021.docx", "A 72305-2021")</f>
        <v/>
      </c>
      <c r="Y107">
        <f>HYPERLINK("https://klasma.github.io/Logging_NORRTALJE/tillsynsmail/A 72305-2021.docx", "A 72305-2021")</f>
        <v/>
      </c>
    </row>
    <row r="108" ht="15" customHeight="1">
      <c r="A108" t="inlineStr">
        <is>
          <t>A 73783-2021</t>
        </is>
      </c>
      <c r="B108" s="1" t="n">
        <v>44552</v>
      </c>
      <c r="C108" s="1" t="n">
        <v>45208</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HYPERLINK("https://klasma.github.io/Logging_UPPLANDS-BRO/artfynd/A 73783-2021.xlsx", "A 73783-2021")</f>
        <v/>
      </c>
      <c r="T108">
        <f>HYPERLINK("https://klasma.github.io/Logging_UPPLANDS-BRO/kartor/A 73783-2021.png", "A 73783-2021")</f>
        <v/>
      </c>
      <c r="V108">
        <f>HYPERLINK("https://klasma.github.io/Logging_UPPLANDS-BRO/klagomål/A 73783-2021.docx", "A 73783-2021")</f>
        <v/>
      </c>
      <c r="W108">
        <f>HYPERLINK("https://klasma.github.io/Logging_UPPLANDS-BRO/klagomålsmail/A 73783-2021.docx", "A 73783-2021")</f>
        <v/>
      </c>
      <c r="X108">
        <f>HYPERLINK("https://klasma.github.io/Logging_UPPLANDS-BRO/tillsyn/A 73783-2021.docx", "A 73783-2021")</f>
        <v/>
      </c>
      <c r="Y108">
        <f>HYPERLINK("https://klasma.github.io/Logging_UPPLANDS-BRO/tillsynsmail/A 73783-2021.docx", "A 73783-2021")</f>
        <v/>
      </c>
    </row>
    <row r="109" ht="15" customHeight="1">
      <c r="A109" t="inlineStr">
        <is>
          <t>A 4384-2022</t>
        </is>
      </c>
      <c r="B109" s="1" t="n">
        <v>44589</v>
      </c>
      <c r="C109" s="1" t="n">
        <v>45208</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HYPERLINK("https://klasma.github.io/Logging_SODERTALJE/artfynd/A 4384-2022.xlsx", "A 4384-2022")</f>
        <v/>
      </c>
      <c r="T109">
        <f>HYPERLINK("https://klasma.github.io/Logging_SODERTALJE/kartor/A 4384-2022.png", "A 4384-2022")</f>
        <v/>
      </c>
      <c r="U109">
        <f>HYPERLINK("https://klasma.github.io/Logging_SODERTALJE/knärot/A 4384-2022.png", "A 4384-2022")</f>
        <v/>
      </c>
      <c r="V109">
        <f>HYPERLINK("https://klasma.github.io/Logging_SODERTALJE/klagomål/A 4384-2022.docx", "A 4384-2022")</f>
        <v/>
      </c>
      <c r="W109">
        <f>HYPERLINK("https://klasma.github.io/Logging_SODERTALJE/klagomålsmail/A 4384-2022.docx", "A 4384-2022")</f>
        <v/>
      </c>
      <c r="X109">
        <f>HYPERLINK("https://klasma.github.io/Logging_SODERTALJE/tillsyn/A 4384-2022.docx", "A 4384-2022")</f>
        <v/>
      </c>
      <c r="Y109">
        <f>HYPERLINK("https://klasma.github.io/Logging_SODERTALJE/tillsynsmail/A 4384-2022.docx", "A 4384-2022")</f>
        <v/>
      </c>
    </row>
    <row r="110" ht="15" customHeight="1">
      <c r="A110" t="inlineStr">
        <is>
          <t>A 14771-2022</t>
        </is>
      </c>
      <c r="B110" s="1" t="n">
        <v>44656</v>
      </c>
      <c r="C110" s="1" t="n">
        <v>45208</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HYPERLINK("https://klasma.github.io/Logging_SODERTALJE/artfynd/A 14771-2022.xlsx", "A 14771-2022")</f>
        <v/>
      </c>
      <c r="T110">
        <f>HYPERLINK("https://klasma.github.io/Logging_SODERTALJE/kartor/A 14771-2022.png", "A 14771-2022")</f>
        <v/>
      </c>
      <c r="V110">
        <f>HYPERLINK("https://klasma.github.io/Logging_SODERTALJE/klagomål/A 14771-2022.docx", "A 14771-2022")</f>
        <v/>
      </c>
      <c r="W110">
        <f>HYPERLINK("https://klasma.github.io/Logging_SODERTALJE/klagomålsmail/A 14771-2022.docx", "A 14771-2022")</f>
        <v/>
      </c>
      <c r="X110">
        <f>HYPERLINK("https://klasma.github.io/Logging_SODERTALJE/tillsyn/A 14771-2022.docx", "A 14771-2022")</f>
        <v/>
      </c>
      <c r="Y110">
        <f>HYPERLINK("https://klasma.github.io/Logging_SODERTALJE/tillsynsmail/A 14771-2022.docx", "A 14771-2022")</f>
        <v/>
      </c>
    </row>
    <row r="111" ht="15" customHeight="1">
      <c r="A111" t="inlineStr">
        <is>
          <t>A 24599-2022</t>
        </is>
      </c>
      <c r="B111" s="1" t="n">
        <v>44727</v>
      </c>
      <c r="C111" s="1" t="n">
        <v>45208</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HYPERLINK("https://klasma.github.io/Logging_BOTKYRKA/artfynd/A 24599-2022.xlsx", "A 24599-2022")</f>
        <v/>
      </c>
      <c r="T111">
        <f>HYPERLINK("https://klasma.github.io/Logging_BOTKYRKA/kartor/A 24599-2022.png", "A 24599-2022")</f>
        <v/>
      </c>
      <c r="V111">
        <f>HYPERLINK("https://klasma.github.io/Logging_BOTKYRKA/klagomål/A 24599-2022.docx", "A 24599-2022")</f>
        <v/>
      </c>
      <c r="W111">
        <f>HYPERLINK("https://klasma.github.io/Logging_BOTKYRKA/klagomålsmail/A 24599-2022.docx", "A 24599-2022")</f>
        <v/>
      </c>
      <c r="X111">
        <f>HYPERLINK("https://klasma.github.io/Logging_BOTKYRKA/tillsyn/A 24599-2022.docx", "A 24599-2022")</f>
        <v/>
      </c>
      <c r="Y111">
        <f>HYPERLINK("https://klasma.github.io/Logging_BOTKYRKA/tillsynsmail/A 24599-2022.docx", "A 24599-2022")</f>
        <v/>
      </c>
    </row>
    <row r="112" ht="15" customHeight="1">
      <c r="A112" t="inlineStr">
        <is>
          <t>A 1212-2023</t>
        </is>
      </c>
      <c r="B112" s="1" t="n">
        <v>44935</v>
      </c>
      <c r="C112" s="1" t="n">
        <v>45208</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HYPERLINK("https://klasma.github.io/Logging_NYNASHAMN/artfynd/A 1212-2023.xlsx", "A 1212-2023")</f>
        <v/>
      </c>
      <c r="T112">
        <f>HYPERLINK("https://klasma.github.io/Logging_NYNASHAMN/kartor/A 1212-2023.png", "A 1212-2023")</f>
        <v/>
      </c>
      <c r="V112">
        <f>HYPERLINK("https://klasma.github.io/Logging_NYNASHAMN/klagomål/A 1212-2023.docx", "A 1212-2023")</f>
        <v/>
      </c>
      <c r="W112">
        <f>HYPERLINK("https://klasma.github.io/Logging_NYNASHAMN/klagomålsmail/A 1212-2023.docx", "A 1212-2023")</f>
        <v/>
      </c>
      <c r="X112">
        <f>HYPERLINK("https://klasma.github.io/Logging_NYNASHAMN/tillsyn/A 1212-2023.docx", "A 1212-2023")</f>
        <v/>
      </c>
      <c r="Y112">
        <f>HYPERLINK("https://klasma.github.io/Logging_NYNASHAMN/tillsynsmail/A 1212-2023.docx", "A 1212-2023")</f>
        <v/>
      </c>
    </row>
    <row r="113" ht="15" customHeight="1">
      <c r="A113" t="inlineStr">
        <is>
          <t>A 5558-2023</t>
        </is>
      </c>
      <c r="B113" s="1" t="n">
        <v>44960</v>
      </c>
      <c r="C113" s="1" t="n">
        <v>45208</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HYPERLINK("https://klasma.github.io/Logging_NYNASHAMN/artfynd/A 5558-2023.xlsx", "A 5558-2023")</f>
        <v/>
      </c>
      <c r="T113">
        <f>HYPERLINK("https://klasma.github.io/Logging_NYNASHAMN/kartor/A 5558-2023.png", "A 5558-2023")</f>
        <v/>
      </c>
      <c r="V113">
        <f>HYPERLINK("https://klasma.github.io/Logging_NYNASHAMN/klagomål/A 5558-2023.docx", "A 5558-2023")</f>
        <v/>
      </c>
      <c r="W113">
        <f>HYPERLINK("https://klasma.github.io/Logging_NYNASHAMN/klagomålsmail/A 5558-2023.docx", "A 5558-2023")</f>
        <v/>
      </c>
      <c r="X113">
        <f>HYPERLINK("https://klasma.github.io/Logging_NYNASHAMN/tillsyn/A 5558-2023.docx", "A 5558-2023")</f>
        <v/>
      </c>
      <c r="Y113">
        <f>HYPERLINK("https://klasma.github.io/Logging_NYNASHAMN/tillsynsmail/A 5558-2023.docx", "A 5558-2023")</f>
        <v/>
      </c>
    </row>
    <row r="114" ht="15" customHeight="1">
      <c r="A114" t="inlineStr">
        <is>
          <t>A 12577-2023</t>
        </is>
      </c>
      <c r="B114" s="1" t="n">
        <v>45000</v>
      </c>
      <c r="C114" s="1" t="n">
        <v>45208</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HYPERLINK("https://klasma.github.io/Logging_VALLENTUNA/artfynd/A 12577-2023.xlsx", "A 12577-2023")</f>
        <v/>
      </c>
      <c r="T114">
        <f>HYPERLINK("https://klasma.github.io/Logging_VALLENTUNA/kartor/A 12577-2023.png", "A 12577-2023")</f>
        <v/>
      </c>
      <c r="V114">
        <f>HYPERLINK("https://klasma.github.io/Logging_VALLENTUNA/klagomål/A 12577-2023.docx", "A 12577-2023")</f>
        <v/>
      </c>
      <c r="W114">
        <f>HYPERLINK("https://klasma.github.io/Logging_VALLENTUNA/klagomålsmail/A 12577-2023.docx", "A 12577-2023")</f>
        <v/>
      </c>
      <c r="X114">
        <f>HYPERLINK("https://klasma.github.io/Logging_VALLENTUNA/tillsyn/A 12577-2023.docx", "A 12577-2023")</f>
        <v/>
      </c>
      <c r="Y114">
        <f>HYPERLINK("https://klasma.github.io/Logging_VALLENTUNA/tillsynsmail/A 12577-2023.docx", "A 12577-2023")</f>
        <v/>
      </c>
    </row>
    <row r="115" ht="15" customHeight="1">
      <c r="A115" t="inlineStr">
        <is>
          <t>A 31462-2023</t>
        </is>
      </c>
      <c r="B115" s="1" t="n">
        <v>45114</v>
      </c>
      <c r="C115" s="1" t="n">
        <v>45208</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HYPERLINK("https://klasma.github.io/Logging_NORRTALJE/artfynd/A 31462-2023.xlsx", "A 31462-2023")</f>
        <v/>
      </c>
      <c r="T115">
        <f>HYPERLINK("https://klasma.github.io/Logging_NORRTALJE/kartor/A 31462-2023.png", "A 31462-2023")</f>
        <v/>
      </c>
      <c r="V115">
        <f>HYPERLINK("https://klasma.github.io/Logging_NORRTALJE/klagomål/A 31462-2023.docx", "A 31462-2023")</f>
        <v/>
      </c>
      <c r="W115">
        <f>HYPERLINK("https://klasma.github.io/Logging_NORRTALJE/klagomålsmail/A 31462-2023.docx", "A 31462-2023")</f>
        <v/>
      </c>
      <c r="X115">
        <f>HYPERLINK("https://klasma.github.io/Logging_NORRTALJE/tillsyn/A 31462-2023.docx", "A 31462-2023")</f>
        <v/>
      </c>
      <c r="Y115">
        <f>HYPERLINK("https://klasma.github.io/Logging_NORRTALJE/tillsynsmail/A 31462-2023.docx", "A 31462-2023")</f>
        <v/>
      </c>
    </row>
    <row r="116" ht="15" customHeight="1">
      <c r="A116" t="inlineStr">
        <is>
          <t>A 64166-2018</t>
        </is>
      </c>
      <c r="B116" s="1" t="n">
        <v>43430</v>
      </c>
      <c r="C116" s="1" t="n">
        <v>45208</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HYPERLINK("https://klasma.github.io/Logging_SIGTUNA/artfynd/A 64166-2018.xlsx", "A 64166-2018")</f>
        <v/>
      </c>
      <c r="T116">
        <f>HYPERLINK("https://klasma.github.io/Logging_SIGTUNA/kartor/A 64166-2018.png", "A 64166-2018")</f>
        <v/>
      </c>
      <c r="V116">
        <f>HYPERLINK("https://klasma.github.io/Logging_SIGTUNA/klagomål/A 64166-2018.docx", "A 64166-2018")</f>
        <v/>
      </c>
      <c r="W116">
        <f>HYPERLINK("https://klasma.github.io/Logging_SIGTUNA/klagomålsmail/A 64166-2018.docx", "A 64166-2018")</f>
        <v/>
      </c>
      <c r="X116">
        <f>HYPERLINK("https://klasma.github.io/Logging_SIGTUNA/tillsyn/A 64166-2018.docx", "A 64166-2018")</f>
        <v/>
      </c>
      <c r="Y116">
        <f>HYPERLINK("https://klasma.github.io/Logging_SIGTUNA/tillsynsmail/A 64166-2018.docx", "A 64166-2018")</f>
        <v/>
      </c>
    </row>
    <row r="117" ht="15" customHeight="1">
      <c r="A117" t="inlineStr">
        <is>
          <t>A 4031-2019</t>
        </is>
      </c>
      <c r="B117" s="1" t="n">
        <v>43482</v>
      </c>
      <c r="C117" s="1" t="n">
        <v>45208</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HYPERLINK("https://klasma.github.io/Logging_NORRTALJE/artfynd/A 4031-2019.xlsx", "A 4031-2019")</f>
        <v/>
      </c>
      <c r="T117">
        <f>HYPERLINK("https://klasma.github.io/Logging_NORRTALJE/kartor/A 4031-2019.png", "A 4031-2019")</f>
        <v/>
      </c>
      <c r="V117">
        <f>HYPERLINK("https://klasma.github.io/Logging_NORRTALJE/klagomål/A 4031-2019.docx", "A 4031-2019")</f>
        <v/>
      </c>
      <c r="W117">
        <f>HYPERLINK("https://klasma.github.io/Logging_NORRTALJE/klagomålsmail/A 4031-2019.docx", "A 4031-2019")</f>
        <v/>
      </c>
      <c r="X117">
        <f>HYPERLINK("https://klasma.github.io/Logging_NORRTALJE/tillsyn/A 4031-2019.docx", "A 4031-2019")</f>
        <v/>
      </c>
      <c r="Y117">
        <f>HYPERLINK("https://klasma.github.io/Logging_NORRTALJE/tillsynsmail/A 4031-2019.docx", "A 4031-2019")</f>
        <v/>
      </c>
    </row>
    <row r="118" ht="15" customHeight="1">
      <c r="A118" t="inlineStr">
        <is>
          <t>A 6046-2019</t>
        </is>
      </c>
      <c r="B118" s="1" t="n">
        <v>43493</v>
      </c>
      <c r="C118" s="1" t="n">
        <v>45208</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HYPERLINK("https://klasma.github.io/Logging_NORRTALJE/artfynd/A 6046-2019.xlsx", "A 6046-2019")</f>
        <v/>
      </c>
      <c r="T118">
        <f>HYPERLINK("https://klasma.github.io/Logging_NORRTALJE/kartor/A 6046-2019.png", "A 6046-2019")</f>
        <v/>
      </c>
      <c r="V118">
        <f>HYPERLINK("https://klasma.github.io/Logging_NORRTALJE/klagomål/A 6046-2019.docx", "A 6046-2019")</f>
        <v/>
      </c>
      <c r="W118">
        <f>HYPERLINK("https://klasma.github.io/Logging_NORRTALJE/klagomålsmail/A 6046-2019.docx", "A 6046-2019")</f>
        <v/>
      </c>
      <c r="X118">
        <f>HYPERLINK("https://klasma.github.io/Logging_NORRTALJE/tillsyn/A 6046-2019.docx", "A 6046-2019")</f>
        <v/>
      </c>
      <c r="Y118">
        <f>HYPERLINK("https://klasma.github.io/Logging_NORRTALJE/tillsynsmail/A 6046-2019.docx", "A 6046-2019")</f>
        <v/>
      </c>
    </row>
    <row r="119" ht="15" customHeight="1">
      <c r="A119" t="inlineStr">
        <is>
          <t>A 12643-2019</t>
        </is>
      </c>
      <c r="B119" s="1" t="n">
        <v>43524</v>
      </c>
      <c r="C119" s="1" t="n">
        <v>45208</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HYPERLINK("https://klasma.github.io/Logging_NORRTALJE/artfynd/A 12643-2019.xlsx", "A 12643-2019")</f>
        <v/>
      </c>
      <c r="T119">
        <f>HYPERLINK("https://klasma.github.io/Logging_NORRTALJE/kartor/A 12643-2019.png", "A 12643-2019")</f>
        <v/>
      </c>
      <c r="V119">
        <f>HYPERLINK("https://klasma.github.io/Logging_NORRTALJE/klagomål/A 12643-2019.docx", "A 12643-2019")</f>
        <v/>
      </c>
      <c r="W119">
        <f>HYPERLINK("https://klasma.github.io/Logging_NORRTALJE/klagomålsmail/A 12643-2019.docx", "A 12643-2019")</f>
        <v/>
      </c>
      <c r="X119">
        <f>HYPERLINK("https://klasma.github.io/Logging_NORRTALJE/tillsyn/A 12643-2019.docx", "A 12643-2019")</f>
        <v/>
      </c>
      <c r="Y119">
        <f>HYPERLINK("https://klasma.github.io/Logging_NORRTALJE/tillsynsmail/A 12643-2019.docx", "A 12643-2019")</f>
        <v/>
      </c>
    </row>
    <row r="120" ht="15" customHeight="1">
      <c r="A120" t="inlineStr">
        <is>
          <t>A 19617-2019</t>
        </is>
      </c>
      <c r="B120" s="1" t="n">
        <v>43566</v>
      </c>
      <c r="C120" s="1" t="n">
        <v>45208</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HYPERLINK("https://klasma.github.io/Logging_NORRTALJE/artfynd/A 19617-2019.xlsx", "A 19617-2019")</f>
        <v/>
      </c>
      <c r="T120">
        <f>HYPERLINK("https://klasma.github.io/Logging_NORRTALJE/kartor/A 19617-2019.png", "A 19617-2019")</f>
        <v/>
      </c>
      <c r="V120">
        <f>HYPERLINK("https://klasma.github.io/Logging_NORRTALJE/klagomål/A 19617-2019.docx", "A 19617-2019")</f>
        <v/>
      </c>
      <c r="W120">
        <f>HYPERLINK("https://klasma.github.io/Logging_NORRTALJE/klagomålsmail/A 19617-2019.docx", "A 19617-2019")</f>
        <v/>
      </c>
      <c r="X120">
        <f>HYPERLINK("https://klasma.github.io/Logging_NORRTALJE/tillsyn/A 19617-2019.docx", "A 19617-2019")</f>
        <v/>
      </c>
      <c r="Y120">
        <f>HYPERLINK("https://klasma.github.io/Logging_NORRTALJE/tillsynsmail/A 19617-2019.docx", "A 19617-2019")</f>
        <v/>
      </c>
    </row>
    <row r="121" ht="15" customHeight="1">
      <c r="A121" t="inlineStr">
        <is>
          <t>A 59655-2019</t>
        </is>
      </c>
      <c r="B121" s="1" t="n">
        <v>43776</v>
      </c>
      <c r="C121" s="1" t="n">
        <v>45208</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HYPERLINK("https://klasma.github.io/Logging_SODERTALJE/artfynd/A 59655-2019.xlsx", "A 59655-2019")</f>
        <v/>
      </c>
      <c r="T121">
        <f>HYPERLINK("https://klasma.github.io/Logging_SODERTALJE/kartor/A 59655-2019.png", "A 59655-2019")</f>
        <v/>
      </c>
      <c r="V121">
        <f>HYPERLINK("https://klasma.github.io/Logging_SODERTALJE/klagomål/A 59655-2019.docx", "A 59655-2019")</f>
        <v/>
      </c>
      <c r="W121">
        <f>HYPERLINK("https://klasma.github.io/Logging_SODERTALJE/klagomålsmail/A 59655-2019.docx", "A 59655-2019")</f>
        <v/>
      </c>
      <c r="X121">
        <f>HYPERLINK("https://klasma.github.io/Logging_SODERTALJE/tillsyn/A 59655-2019.docx", "A 59655-2019")</f>
        <v/>
      </c>
      <c r="Y121">
        <f>HYPERLINK("https://klasma.github.io/Logging_SODERTALJE/tillsynsmail/A 59655-2019.docx", "A 59655-2019")</f>
        <v/>
      </c>
    </row>
    <row r="122" ht="15" customHeight="1">
      <c r="A122" t="inlineStr">
        <is>
          <t>A 13892-2020</t>
        </is>
      </c>
      <c r="B122" s="1" t="n">
        <v>43906</v>
      </c>
      <c r="C122" s="1" t="n">
        <v>45208</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HYPERLINK("https://klasma.github.io/Logging_HANINGE/artfynd/A 13892-2020.xlsx", "A 13892-2020")</f>
        <v/>
      </c>
      <c r="T122">
        <f>HYPERLINK("https://klasma.github.io/Logging_HANINGE/kartor/A 13892-2020.png", "A 13892-2020")</f>
        <v/>
      </c>
      <c r="V122">
        <f>HYPERLINK("https://klasma.github.io/Logging_HANINGE/klagomål/A 13892-2020.docx", "A 13892-2020")</f>
        <v/>
      </c>
      <c r="W122">
        <f>HYPERLINK("https://klasma.github.io/Logging_HANINGE/klagomålsmail/A 13892-2020.docx", "A 13892-2020")</f>
        <v/>
      </c>
      <c r="X122">
        <f>HYPERLINK("https://klasma.github.io/Logging_HANINGE/tillsyn/A 13892-2020.docx", "A 13892-2020")</f>
        <v/>
      </c>
      <c r="Y122">
        <f>HYPERLINK("https://klasma.github.io/Logging_HANINGE/tillsynsmail/A 13892-2020.docx", "A 13892-2020")</f>
        <v/>
      </c>
    </row>
    <row r="123" ht="15" customHeight="1">
      <c r="A123" t="inlineStr">
        <is>
          <t>A 24386-2020</t>
        </is>
      </c>
      <c r="B123" s="1" t="n">
        <v>43973</v>
      </c>
      <c r="C123" s="1" t="n">
        <v>45208</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HYPERLINK("https://klasma.github.io/Logging_SIGTUNA/artfynd/A 24386-2020.xlsx", "A 24386-2020")</f>
        <v/>
      </c>
      <c r="T123">
        <f>HYPERLINK("https://klasma.github.io/Logging_SIGTUNA/kartor/A 24386-2020.png", "A 24386-2020")</f>
        <v/>
      </c>
      <c r="V123">
        <f>HYPERLINK("https://klasma.github.io/Logging_SIGTUNA/klagomål/A 24386-2020.docx", "A 24386-2020")</f>
        <v/>
      </c>
      <c r="W123">
        <f>HYPERLINK("https://klasma.github.io/Logging_SIGTUNA/klagomålsmail/A 24386-2020.docx", "A 24386-2020")</f>
        <v/>
      </c>
      <c r="X123">
        <f>HYPERLINK("https://klasma.github.io/Logging_SIGTUNA/tillsyn/A 24386-2020.docx", "A 24386-2020")</f>
        <v/>
      </c>
      <c r="Y123">
        <f>HYPERLINK("https://klasma.github.io/Logging_SIGTUNA/tillsynsmail/A 24386-2020.docx", "A 24386-2020")</f>
        <v/>
      </c>
    </row>
    <row r="124" ht="15" customHeight="1">
      <c r="A124" t="inlineStr">
        <is>
          <t>A 45510-2020</t>
        </is>
      </c>
      <c r="B124" s="1" t="n">
        <v>44089</v>
      </c>
      <c r="C124" s="1" t="n">
        <v>45208</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45208</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45208</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45208</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45208</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45208</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45208</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45208</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45208</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45208</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45208</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45208</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45208</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45208</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45208</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45208</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45208</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45208</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45208</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45208</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45208</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45208</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45208</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45208</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45208</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45208</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45208</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45208</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45208</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45208</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45208</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45208</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45208</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45208</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45208</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45208</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45208</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45208</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45208</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45208</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45208</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45208</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45208</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45208</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45208</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45208</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45208</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45208</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45208</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45208</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45208</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45208</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45208</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45208</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45208</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45208</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45208</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45208</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45208</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45208</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45208</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45208</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45208</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45208</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45208</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45208</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45208</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45208</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45208</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45208</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45208</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45208</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45208</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45208</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45208</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45208</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45208</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45208</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45208</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45208</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45208</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45208</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45208</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45208</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45208</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45208</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45208</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45208</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45208</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45208</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45208</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35554-2023</t>
        </is>
      </c>
      <c r="B215" s="1" t="n">
        <v>45147</v>
      </c>
      <c r="C215" s="1" t="n">
        <v>45208</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HYPERLINK("https://klasma.github.io/Logging_VARMDO/artfynd/A 35554-2023.xlsx", "A 35554-2023")</f>
        <v/>
      </c>
      <c r="T215">
        <f>HYPERLINK("https://klasma.github.io/Logging_VARMDO/kartor/A 35554-2023.png", "A 35554-2023")</f>
        <v/>
      </c>
      <c r="V215">
        <f>HYPERLINK("https://klasma.github.io/Logging_VARMDO/klagomål/A 35554-2023.docx", "A 35554-2023")</f>
        <v/>
      </c>
      <c r="W215">
        <f>HYPERLINK("https://klasma.github.io/Logging_VARMDO/klagomålsmail/A 35554-2023.docx", "A 35554-2023")</f>
        <v/>
      </c>
      <c r="X215">
        <f>HYPERLINK("https://klasma.github.io/Logging_VARMDO/tillsyn/A 35554-2023.docx", "A 35554-2023")</f>
        <v/>
      </c>
      <c r="Y215">
        <f>HYPERLINK("https://klasma.github.io/Logging_VARMDO/tillsynsmail/A 35554-2023.docx", "A 35554-2023")</f>
        <v/>
      </c>
    </row>
    <row r="216" ht="15" customHeight="1">
      <c r="A216" t="inlineStr">
        <is>
          <t>A 35937-2023</t>
        </is>
      </c>
      <c r="B216" s="1" t="n">
        <v>45148</v>
      </c>
      <c r="C216" s="1" t="n">
        <v>45208</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HYPERLINK("https://klasma.github.io/Logging_SODERTALJE/artfynd/A 35937-2023.xlsx", "A 35937-2023")</f>
        <v/>
      </c>
      <c r="T216">
        <f>HYPERLINK("https://klasma.github.io/Logging_SODERTALJE/kartor/A 35937-2023.png", "A 35937-2023")</f>
        <v/>
      </c>
      <c r="V216">
        <f>HYPERLINK("https://klasma.github.io/Logging_SODERTALJE/klagomål/A 35937-2023.docx", "A 35937-2023")</f>
        <v/>
      </c>
      <c r="W216">
        <f>HYPERLINK("https://klasma.github.io/Logging_SODERTALJE/klagomålsmail/A 35937-2023.docx", "A 35937-2023")</f>
        <v/>
      </c>
      <c r="X216">
        <f>HYPERLINK("https://klasma.github.io/Logging_SODERTALJE/tillsyn/A 35937-2023.docx", "A 35937-2023")</f>
        <v/>
      </c>
      <c r="Y216">
        <f>HYPERLINK("https://klasma.github.io/Logging_SODERTALJE/tillsynsmail/A 35937-2023.docx", "A 35937-2023")</f>
        <v/>
      </c>
    </row>
    <row r="217" ht="15" customHeight="1">
      <c r="A217" t="inlineStr">
        <is>
          <t>A 41122-2018</t>
        </is>
      </c>
      <c r="B217" s="1" t="n">
        <v>43348</v>
      </c>
      <c r="C217" s="1" t="n">
        <v>45208</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HYPERLINK("https://klasma.github.io/Logging_SODERTALJE/artfynd/A 41122-2018.xlsx", "A 41122-2018")</f>
        <v/>
      </c>
      <c r="T217">
        <f>HYPERLINK("https://klasma.github.io/Logging_SODERTALJE/kartor/A 41122-2018.png", "A 41122-2018")</f>
        <v/>
      </c>
      <c r="V217">
        <f>HYPERLINK("https://klasma.github.io/Logging_SODERTALJE/klagomål/A 41122-2018.docx", "A 41122-2018")</f>
        <v/>
      </c>
      <c r="W217">
        <f>HYPERLINK("https://klasma.github.io/Logging_SODERTALJE/klagomålsmail/A 41122-2018.docx", "A 41122-2018")</f>
        <v/>
      </c>
      <c r="X217">
        <f>HYPERLINK("https://klasma.github.io/Logging_SODERTALJE/tillsyn/A 41122-2018.docx", "A 41122-2018")</f>
        <v/>
      </c>
      <c r="Y217">
        <f>HYPERLINK("https://klasma.github.io/Logging_SODERTALJE/tillsynsmail/A 41122-2018.docx", "A 41122-2018")</f>
        <v/>
      </c>
    </row>
    <row r="218" ht="15" customHeight="1">
      <c r="A218" t="inlineStr">
        <is>
          <t>A 57725-2018</t>
        </is>
      </c>
      <c r="B218" s="1" t="n">
        <v>43405</v>
      </c>
      <c r="C218" s="1" t="n">
        <v>45208</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HYPERLINK("https://klasma.github.io/Logging_BOTKYRKA/artfynd/A 57725-2018.xlsx", "A 57725-2018")</f>
        <v/>
      </c>
      <c r="T218">
        <f>HYPERLINK("https://klasma.github.io/Logging_BOTKYRKA/kartor/A 57725-2018.png", "A 57725-2018")</f>
        <v/>
      </c>
      <c r="V218">
        <f>HYPERLINK("https://klasma.github.io/Logging_BOTKYRKA/klagomål/A 57725-2018.docx", "A 57725-2018")</f>
        <v/>
      </c>
      <c r="W218">
        <f>HYPERLINK("https://klasma.github.io/Logging_BOTKYRKA/klagomålsmail/A 57725-2018.docx", "A 57725-2018")</f>
        <v/>
      </c>
      <c r="X218">
        <f>HYPERLINK("https://klasma.github.io/Logging_BOTKYRKA/tillsyn/A 57725-2018.docx", "A 57725-2018")</f>
        <v/>
      </c>
      <c r="Y218">
        <f>HYPERLINK("https://klasma.github.io/Logging_BOTKYRKA/tillsynsmail/A 57725-2018.docx", "A 57725-2018")</f>
        <v/>
      </c>
    </row>
    <row r="219" ht="15" customHeight="1">
      <c r="A219" t="inlineStr">
        <is>
          <t>A 62482-2018</t>
        </is>
      </c>
      <c r="B219" s="1" t="n">
        <v>43415</v>
      </c>
      <c r="C219" s="1" t="n">
        <v>45208</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HYPERLINK("https://klasma.github.io/Logging_NORRTALJE/artfynd/A 62482-2018.xlsx", "A 62482-2018")</f>
        <v/>
      </c>
      <c r="T219">
        <f>HYPERLINK("https://klasma.github.io/Logging_NORRTALJE/kartor/A 62482-2018.png", "A 62482-2018")</f>
        <v/>
      </c>
      <c r="V219">
        <f>HYPERLINK("https://klasma.github.io/Logging_NORRTALJE/klagomål/A 62482-2018.docx", "A 62482-2018")</f>
        <v/>
      </c>
      <c r="W219">
        <f>HYPERLINK("https://klasma.github.io/Logging_NORRTALJE/klagomålsmail/A 62482-2018.docx", "A 62482-2018")</f>
        <v/>
      </c>
      <c r="X219">
        <f>HYPERLINK("https://klasma.github.io/Logging_NORRTALJE/tillsyn/A 62482-2018.docx", "A 62482-2018")</f>
        <v/>
      </c>
      <c r="Y219">
        <f>HYPERLINK("https://klasma.github.io/Logging_NORRTALJE/tillsynsmail/A 62482-2018.docx", "A 62482-2018")</f>
        <v/>
      </c>
    </row>
    <row r="220" ht="15" customHeight="1">
      <c r="A220" t="inlineStr">
        <is>
          <t>A 62403-2018</t>
        </is>
      </c>
      <c r="B220" s="1" t="n">
        <v>43416</v>
      </c>
      <c r="C220" s="1" t="n">
        <v>45208</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HYPERLINK("https://klasma.github.io/Logging_NORRTALJE/artfynd/A 62403-2018.xlsx", "A 62403-2018")</f>
        <v/>
      </c>
      <c r="T220">
        <f>HYPERLINK("https://klasma.github.io/Logging_NORRTALJE/kartor/A 62403-2018.png", "A 62403-2018")</f>
        <v/>
      </c>
      <c r="V220">
        <f>HYPERLINK("https://klasma.github.io/Logging_NORRTALJE/klagomål/A 62403-2018.docx", "A 62403-2018")</f>
        <v/>
      </c>
      <c r="W220">
        <f>HYPERLINK("https://klasma.github.io/Logging_NORRTALJE/klagomålsmail/A 62403-2018.docx", "A 62403-2018")</f>
        <v/>
      </c>
      <c r="X220">
        <f>HYPERLINK("https://klasma.github.io/Logging_NORRTALJE/tillsyn/A 62403-2018.docx", "A 62403-2018")</f>
        <v/>
      </c>
      <c r="Y220">
        <f>HYPERLINK("https://klasma.github.io/Logging_NORRTALJE/tillsynsmail/A 62403-2018.docx", "A 62403-2018")</f>
        <v/>
      </c>
    </row>
    <row r="221" ht="15" customHeight="1">
      <c r="A221" t="inlineStr">
        <is>
          <t>A 63522-2018</t>
        </is>
      </c>
      <c r="B221" s="1" t="n">
        <v>43416</v>
      </c>
      <c r="C221" s="1" t="n">
        <v>45208</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HYPERLINK("https://klasma.github.io/Logging_OSTERAKER/artfynd/A 63522-2018.xlsx", "A 63522-2018")</f>
        <v/>
      </c>
      <c r="T221">
        <f>HYPERLINK("https://klasma.github.io/Logging_OSTERAKER/kartor/A 63522-2018.png", "A 63522-2018")</f>
        <v/>
      </c>
      <c r="V221">
        <f>HYPERLINK("https://klasma.github.io/Logging_OSTERAKER/klagomål/A 63522-2018.docx", "A 63522-2018")</f>
        <v/>
      </c>
      <c r="W221">
        <f>HYPERLINK("https://klasma.github.io/Logging_OSTERAKER/klagomålsmail/A 63522-2018.docx", "A 63522-2018")</f>
        <v/>
      </c>
      <c r="X221">
        <f>HYPERLINK("https://klasma.github.io/Logging_OSTERAKER/tillsyn/A 63522-2018.docx", "A 63522-2018")</f>
        <v/>
      </c>
      <c r="Y221">
        <f>HYPERLINK("https://klasma.github.io/Logging_OSTERAKER/tillsynsmail/A 63522-2018.docx", "A 63522-2018")</f>
        <v/>
      </c>
    </row>
    <row r="222" ht="15" customHeight="1">
      <c r="A222" t="inlineStr">
        <is>
          <t>A 2207-2019</t>
        </is>
      </c>
      <c r="B222" s="1" t="n">
        <v>43475</v>
      </c>
      <c r="C222" s="1" t="n">
        <v>45208</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HYPERLINK("https://klasma.github.io/Logging_VARMDO/artfynd/A 2207-2019.xlsx", "A 2207-2019")</f>
        <v/>
      </c>
      <c r="T222">
        <f>HYPERLINK("https://klasma.github.io/Logging_VARMDO/kartor/A 2207-2019.png", "A 2207-2019")</f>
        <v/>
      </c>
      <c r="V222">
        <f>HYPERLINK("https://klasma.github.io/Logging_VARMDO/klagomål/A 2207-2019.docx", "A 2207-2019")</f>
        <v/>
      </c>
      <c r="W222">
        <f>HYPERLINK("https://klasma.github.io/Logging_VARMDO/klagomålsmail/A 2207-2019.docx", "A 2207-2019")</f>
        <v/>
      </c>
      <c r="X222">
        <f>HYPERLINK("https://klasma.github.io/Logging_VARMDO/tillsyn/A 2207-2019.docx", "A 2207-2019")</f>
        <v/>
      </c>
      <c r="Y222">
        <f>HYPERLINK("https://klasma.github.io/Logging_VARMDO/tillsynsmail/A 2207-2019.docx", "A 2207-2019")</f>
        <v/>
      </c>
    </row>
    <row r="223" ht="15" customHeight="1">
      <c r="A223" t="inlineStr">
        <is>
          <t>A 2647-2019</t>
        </is>
      </c>
      <c r="B223" s="1" t="n">
        <v>43478</v>
      </c>
      <c r="C223" s="1" t="n">
        <v>45208</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HYPERLINK("https://klasma.github.io/Logging_NORRTALJE/artfynd/A 2647-2019.xlsx", "A 2647-2019")</f>
        <v/>
      </c>
      <c r="T223">
        <f>HYPERLINK("https://klasma.github.io/Logging_NORRTALJE/kartor/A 2647-2019.png", "A 2647-2019")</f>
        <v/>
      </c>
      <c r="V223">
        <f>HYPERLINK("https://klasma.github.io/Logging_NORRTALJE/klagomål/A 2647-2019.docx", "A 2647-2019")</f>
        <v/>
      </c>
      <c r="W223">
        <f>HYPERLINK("https://klasma.github.io/Logging_NORRTALJE/klagomålsmail/A 2647-2019.docx", "A 2647-2019")</f>
        <v/>
      </c>
      <c r="X223">
        <f>HYPERLINK("https://klasma.github.io/Logging_NORRTALJE/tillsyn/A 2647-2019.docx", "A 2647-2019")</f>
        <v/>
      </c>
      <c r="Y223">
        <f>HYPERLINK("https://klasma.github.io/Logging_NORRTALJE/tillsynsmail/A 2647-2019.docx", "A 2647-2019")</f>
        <v/>
      </c>
    </row>
    <row r="224" ht="15" customHeight="1">
      <c r="A224" t="inlineStr">
        <is>
          <t>A 3309-2019</t>
        </is>
      </c>
      <c r="B224" s="1" t="n">
        <v>43480</v>
      </c>
      <c r="C224" s="1" t="n">
        <v>45208</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HYPERLINK("https://klasma.github.io/Logging_NORRTALJE/artfynd/A 3309-2019.xlsx", "A 3309-2019")</f>
        <v/>
      </c>
      <c r="T224">
        <f>HYPERLINK("https://klasma.github.io/Logging_NORRTALJE/kartor/A 3309-2019.png", "A 3309-2019")</f>
        <v/>
      </c>
      <c r="V224">
        <f>HYPERLINK("https://klasma.github.io/Logging_NORRTALJE/klagomål/A 3309-2019.docx", "A 3309-2019")</f>
        <v/>
      </c>
      <c r="W224">
        <f>HYPERLINK("https://klasma.github.io/Logging_NORRTALJE/klagomålsmail/A 3309-2019.docx", "A 3309-2019")</f>
        <v/>
      </c>
      <c r="X224">
        <f>HYPERLINK("https://klasma.github.io/Logging_NORRTALJE/tillsyn/A 3309-2019.docx", "A 3309-2019")</f>
        <v/>
      </c>
      <c r="Y224">
        <f>HYPERLINK("https://klasma.github.io/Logging_NORRTALJE/tillsynsmail/A 3309-2019.docx", "A 3309-2019")</f>
        <v/>
      </c>
    </row>
    <row r="225" ht="15" customHeight="1">
      <c r="A225" t="inlineStr">
        <is>
          <t>A 4067-2019</t>
        </is>
      </c>
      <c r="B225" s="1" t="n">
        <v>43482</v>
      </c>
      <c r="C225" s="1" t="n">
        <v>45208</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HYPERLINK("https://klasma.github.io/Logging_NORRTALJE/artfynd/A 4067-2019.xlsx", "A 4067-2019")</f>
        <v/>
      </c>
      <c r="T225">
        <f>HYPERLINK("https://klasma.github.io/Logging_NORRTALJE/kartor/A 4067-2019.png", "A 4067-2019")</f>
        <v/>
      </c>
      <c r="V225">
        <f>HYPERLINK("https://klasma.github.io/Logging_NORRTALJE/klagomål/A 4067-2019.docx", "A 4067-2019")</f>
        <v/>
      </c>
      <c r="W225">
        <f>HYPERLINK("https://klasma.github.io/Logging_NORRTALJE/klagomålsmail/A 4067-2019.docx", "A 4067-2019")</f>
        <v/>
      </c>
      <c r="X225">
        <f>HYPERLINK("https://klasma.github.io/Logging_NORRTALJE/tillsyn/A 4067-2019.docx", "A 4067-2019")</f>
        <v/>
      </c>
      <c r="Y225">
        <f>HYPERLINK("https://klasma.github.io/Logging_NORRTALJE/tillsynsmail/A 4067-2019.docx", "A 4067-2019")</f>
        <v/>
      </c>
    </row>
    <row r="226" ht="15" customHeight="1">
      <c r="A226" t="inlineStr">
        <is>
          <t>A 4921-2019</t>
        </is>
      </c>
      <c r="B226" s="1" t="n">
        <v>43486</v>
      </c>
      <c r="C226" s="1" t="n">
        <v>45208</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HYPERLINK("https://klasma.github.io/Logging_VALLENTUNA/artfynd/A 4921-2019.xlsx", "A 4921-2019")</f>
        <v/>
      </c>
      <c r="T226">
        <f>HYPERLINK("https://klasma.github.io/Logging_VALLENTUNA/kartor/A 4921-2019.png", "A 4921-2019")</f>
        <v/>
      </c>
      <c r="V226">
        <f>HYPERLINK("https://klasma.github.io/Logging_VALLENTUNA/klagomål/A 4921-2019.docx", "A 4921-2019")</f>
        <v/>
      </c>
      <c r="W226">
        <f>HYPERLINK("https://klasma.github.io/Logging_VALLENTUNA/klagomålsmail/A 4921-2019.docx", "A 4921-2019")</f>
        <v/>
      </c>
      <c r="X226">
        <f>HYPERLINK("https://klasma.github.io/Logging_VALLENTUNA/tillsyn/A 4921-2019.docx", "A 4921-2019")</f>
        <v/>
      </c>
      <c r="Y226">
        <f>HYPERLINK("https://klasma.github.io/Logging_VALLENTUNA/tillsynsmail/A 4921-2019.docx", "A 4921-2019")</f>
        <v/>
      </c>
    </row>
    <row r="227" ht="15" customHeight="1">
      <c r="A227" t="inlineStr">
        <is>
          <t>A 4674-2019</t>
        </is>
      </c>
      <c r="B227" s="1" t="n">
        <v>43486</v>
      </c>
      <c r="C227" s="1" t="n">
        <v>45208</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HYPERLINK("https://klasma.github.io/Logging_VALLENTUNA/artfynd/A 4674-2019.xlsx", "A 4674-2019")</f>
        <v/>
      </c>
      <c r="T227">
        <f>HYPERLINK("https://klasma.github.io/Logging_VALLENTUNA/kartor/A 4674-2019.png", "A 4674-2019")</f>
        <v/>
      </c>
      <c r="V227">
        <f>HYPERLINK("https://klasma.github.io/Logging_VALLENTUNA/klagomål/A 4674-2019.docx", "A 4674-2019")</f>
        <v/>
      </c>
      <c r="W227">
        <f>HYPERLINK("https://klasma.github.io/Logging_VALLENTUNA/klagomålsmail/A 4674-2019.docx", "A 4674-2019")</f>
        <v/>
      </c>
      <c r="X227">
        <f>HYPERLINK("https://klasma.github.io/Logging_VALLENTUNA/tillsyn/A 4674-2019.docx", "A 4674-2019")</f>
        <v/>
      </c>
      <c r="Y227">
        <f>HYPERLINK("https://klasma.github.io/Logging_VALLENTUNA/tillsynsmail/A 4674-2019.docx", "A 4674-2019")</f>
        <v/>
      </c>
    </row>
    <row r="228" ht="15" customHeight="1">
      <c r="A228" t="inlineStr">
        <is>
          <t>A 5488-2019</t>
        </is>
      </c>
      <c r="B228" s="1" t="n">
        <v>43489</v>
      </c>
      <c r="C228" s="1" t="n">
        <v>45208</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5488-2019.xlsx", "A 5488-2019")</f>
        <v/>
      </c>
      <c r="T228">
        <f>HYPERLINK("https://klasma.github.io/Logging_NORRTALJE/kartor/A 5488-2019.png", "A 5488-2019")</f>
        <v/>
      </c>
      <c r="V228">
        <f>HYPERLINK("https://klasma.github.io/Logging_NORRTALJE/klagomål/A 5488-2019.docx", "A 5488-2019")</f>
        <v/>
      </c>
      <c r="W228">
        <f>HYPERLINK("https://klasma.github.io/Logging_NORRTALJE/klagomålsmail/A 5488-2019.docx", "A 5488-2019")</f>
        <v/>
      </c>
      <c r="X228">
        <f>HYPERLINK("https://klasma.github.io/Logging_NORRTALJE/tillsyn/A 5488-2019.docx", "A 5488-2019")</f>
        <v/>
      </c>
      <c r="Y228">
        <f>HYPERLINK("https://klasma.github.io/Logging_NORRTALJE/tillsynsmail/A 5488-2019.docx", "A 5488-2019")</f>
        <v/>
      </c>
    </row>
    <row r="229" ht="15" customHeight="1">
      <c r="A229" t="inlineStr">
        <is>
          <t>A 5502-2019</t>
        </is>
      </c>
      <c r="B229" s="1" t="n">
        <v>43489</v>
      </c>
      <c r="C229" s="1" t="n">
        <v>45208</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5502-2019.xlsx", "A 5502-2019")</f>
        <v/>
      </c>
      <c r="T229">
        <f>HYPERLINK("https://klasma.github.io/Logging_NORRTALJE/kartor/A 5502-2019.png", "A 5502-2019")</f>
        <v/>
      </c>
      <c r="V229">
        <f>HYPERLINK("https://klasma.github.io/Logging_NORRTALJE/klagomål/A 5502-2019.docx", "A 5502-2019")</f>
        <v/>
      </c>
      <c r="W229">
        <f>HYPERLINK("https://klasma.github.io/Logging_NORRTALJE/klagomålsmail/A 5502-2019.docx", "A 5502-2019")</f>
        <v/>
      </c>
      <c r="X229">
        <f>HYPERLINK("https://klasma.github.io/Logging_NORRTALJE/tillsyn/A 5502-2019.docx", "A 5502-2019")</f>
        <v/>
      </c>
      <c r="Y229">
        <f>HYPERLINK("https://klasma.github.io/Logging_NORRTALJE/tillsynsmail/A 5502-2019.docx", "A 5502-2019")</f>
        <v/>
      </c>
    </row>
    <row r="230" ht="15" customHeight="1">
      <c r="A230" t="inlineStr">
        <is>
          <t>A 6523-2019</t>
        </is>
      </c>
      <c r="B230" s="1" t="n">
        <v>43494</v>
      </c>
      <c r="C230" s="1" t="n">
        <v>45208</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HYPERLINK("https://klasma.github.io/Logging_NORRTALJE/artfynd/A 6523-2019.xlsx", "A 6523-2019")</f>
        <v/>
      </c>
      <c r="T230">
        <f>HYPERLINK("https://klasma.github.io/Logging_NORRTALJE/kartor/A 6523-2019.png", "A 6523-2019")</f>
        <v/>
      </c>
      <c r="V230">
        <f>HYPERLINK("https://klasma.github.io/Logging_NORRTALJE/klagomål/A 6523-2019.docx", "A 6523-2019")</f>
        <v/>
      </c>
      <c r="W230">
        <f>HYPERLINK("https://klasma.github.io/Logging_NORRTALJE/klagomålsmail/A 6523-2019.docx", "A 6523-2019")</f>
        <v/>
      </c>
      <c r="X230">
        <f>HYPERLINK("https://klasma.github.io/Logging_NORRTALJE/tillsyn/A 6523-2019.docx", "A 6523-2019")</f>
        <v/>
      </c>
      <c r="Y230">
        <f>HYPERLINK("https://klasma.github.io/Logging_NORRTALJE/tillsynsmail/A 6523-2019.docx", "A 6523-2019")</f>
        <v/>
      </c>
    </row>
    <row r="231" ht="15" customHeight="1">
      <c r="A231" t="inlineStr">
        <is>
          <t>A 7739-2019</t>
        </is>
      </c>
      <c r="B231" s="1" t="n">
        <v>43500</v>
      </c>
      <c r="C231" s="1" t="n">
        <v>45208</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HYPERLINK("https://klasma.github.io/Logging_NORRTALJE/artfynd/A 7739-2019.xlsx", "A 7739-2019")</f>
        <v/>
      </c>
      <c r="T231">
        <f>HYPERLINK("https://klasma.github.io/Logging_NORRTALJE/kartor/A 7739-2019.png", "A 7739-2019")</f>
        <v/>
      </c>
      <c r="V231">
        <f>HYPERLINK("https://klasma.github.io/Logging_NORRTALJE/klagomål/A 7739-2019.docx", "A 7739-2019")</f>
        <v/>
      </c>
      <c r="W231">
        <f>HYPERLINK("https://klasma.github.io/Logging_NORRTALJE/klagomålsmail/A 7739-2019.docx", "A 7739-2019")</f>
        <v/>
      </c>
      <c r="X231">
        <f>HYPERLINK("https://klasma.github.io/Logging_NORRTALJE/tillsyn/A 7739-2019.docx", "A 7739-2019")</f>
        <v/>
      </c>
      <c r="Y231">
        <f>HYPERLINK("https://klasma.github.io/Logging_NORRTALJE/tillsynsmail/A 7739-2019.docx", "A 7739-2019")</f>
        <v/>
      </c>
    </row>
    <row r="232" ht="15" customHeight="1">
      <c r="A232" t="inlineStr">
        <is>
          <t>A 8742-2019</t>
        </is>
      </c>
      <c r="B232" s="1" t="n">
        <v>43503</v>
      </c>
      <c r="C232" s="1" t="n">
        <v>45208</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HYPERLINK("https://klasma.github.io/Logging_NORRTALJE/artfynd/A 8742-2019.xlsx", "A 8742-2019")</f>
        <v/>
      </c>
      <c r="T232">
        <f>HYPERLINK("https://klasma.github.io/Logging_NORRTALJE/kartor/A 8742-2019.png", "A 8742-2019")</f>
        <v/>
      </c>
      <c r="V232">
        <f>HYPERLINK("https://klasma.github.io/Logging_NORRTALJE/klagomål/A 8742-2019.docx", "A 8742-2019")</f>
        <v/>
      </c>
      <c r="W232">
        <f>HYPERLINK("https://klasma.github.io/Logging_NORRTALJE/klagomålsmail/A 8742-2019.docx", "A 8742-2019")</f>
        <v/>
      </c>
      <c r="X232">
        <f>HYPERLINK("https://klasma.github.io/Logging_NORRTALJE/tillsyn/A 8742-2019.docx", "A 8742-2019")</f>
        <v/>
      </c>
      <c r="Y232">
        <f>HYPERLINK("https://klasma.github.io/Logging_NORRTALJE/tillsynsmail/A 8742-2019.docx", "A 8742-2019")</f>
        <v/>
      </c>
    </row>
    <row r="233" ht="15" customHeight="1">
      <c r="A233" t="inlineStr">
        <is>
          <t>A 9041-2019</t>
        </is>
      </c>
      <c r="B233" s="1" t="n">
        <v>43504</v>
      </c>
      <c r="C233" s="1" t="n">
        <v>45208</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9041-2019.xlsx", "A 9041-2019")</f>
        <v/>
      </c>
      <c r="T233">
        <f>HYPERLINK("https://klasma.github.io/Logging_NORRTALJE/kartor/A 9041-2019.png", "A 9041-2019")</f>
        <v/>
      </c>
      <c r="V233">
        <f>HYPERLINK("https://klasma.github.io/Logging_NORRTALJE/klagomål/A 9041-2019.docx", "A 9041-2019")</f>
        <v/>
      </c>
      <c r="W233">
        <f>HYPERLINK("https://klasma.github.io/Logging_NORRTALJE/klagomålsmail/A 9041-2019.docx", "A 9041-2019")</f>
        <v/>
      </c>
      <c r="X233">
        <f>HYPERLINK("https://klasma.github.io/Logging_NORRTALJE/tillsyn/A 9041-2019.docx", "A 9041-2019")</f>
        <v/>
      </c>
      <c r="Y233">
        <f>HYPERLINK("https://klasma.github.io/Logging_NORRTALJE/tillsynsmail/A 9041-2019.docx", "A 9041-2019")</f>
        <v/>
      </c>
    </row>
    <row r="234" ht="15" customHeight="1">
      <c r="A234" t="inlineStr">
        <is>
          <t>A 9689-2019</t>
        </is>
      </c>
      <c r="B234" s="1" t="n">
        <v>43508</v>
      </c>
      <c r="C234" s="1" t="n">
        <v>45208</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HYPERLINK("https://klasma.github.io/Logging_NORRTALJE/artfynd/A 9689-2019.xlsx", "A 9689-2019")</f>
        <v/>
      </c>
      <c r="T234">
        <f>HYPERLINK("https://klasma.github.io/Logging_NORRTALJE/kartor/A 9689-2019.png", "A 9689-2019")</f>
        <v/>
      </c>
      <c r="V234">
        <f>HYPERLINK("https://klasma.github.io/Logging_NORRTALJE/klagomål/A 9689-2019.docx", "A 9689-2019")</f>
        <v/>
      </c>
      <c r="W234">
        <f>HYPERLINK("https://klasma.github.io/Logging_NORRTALJE/klagomålsmail/A 9689-2019.docx", "A 9689-2019")</f>
        <v/>
      </c>
      <c r="X234">
        <f>HYPERLINK("https://klasma.github.io/Logging_NORRTALJE/tillsyn/A 9689-2019.docx", "A 9689-2019")</f>
        <v/>
      </c>
      <c r="Y234">
        <f>HYPERLINK("https://klasma.github.io/Logging_NORRTALJE/tillsynsmail/A 9689-2019.docx", "A 9689-2019")</f>
        <v/>
      </c>
    </row>
    <row r="235" ht="15" customHeight="1">
      <c r="A235" t="inlineStr">
        <is>
          <t>A 9917-2019</t>
        </is>
      </c>
      <c r="B235" s="1" t="n">
        <v>43509</v>
      </c>
      <c r="C235" s="1" t="n">
        <v>45208</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HYPERLINK("https://klasma.github.io/Logging_NORRTALJE/artfynd/A 9917-2019.xlsx", "A 9917-2019")</f>
        <v/>
      </c>
      <c r="T235">
        <f>HYPERLINK("https://klasma.github.io/Logging_NORRTALJE/kartor/A 9917-2019.png", "A 9917-2019")</f>
        <v/>
      </c>
      <c r="V235">
        <f>HYPERLINK("https://klasma.github.io/Logging_NORRTALJE/klagomål/A 9917-2019.docx", "A 9917-2019")</f>
        <v/>
      </c>
      <c r="W235">
        <f>HYPERLINK("https://klasma.github.io/Logging_NORRTALJE/klagomålsmail/A 9917-2019.docx", "A 9917-2019")</f>
        <v/>
      </c>
      <c r="X235">
        <f>HYPERLINK("https://klasma.github.io/Logging_NORRTALJE/tillsyn/A 9917-2019.docx", "A 9917-2019")</f>
        <v/>
      </c>
      <c r="Y235">
        <f>HYPERLINK("https://klasma.github.io/Logging_NORRTALJE/tillsynsmail/A 9917-2019.docx", "A 9917-2019")</f>
        <v/>
      </c>
    </row>
    <row r="236" ht="15" customHeight="1">
      <c r="A236" t="inlineStr">
        <is>
          <t>A 10426-2019</t>
        </is>
      </c>
      <c r="B236" s="1" t="n">
        <v>43511</v>
      </c>
      <c r="C236" s="1" t="n">
        <v>45208</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HYPERLINK("https://klasma.github.io/Logging_NORRTALJE/artfynd/A 10426-2019.xlsx", "A 10426-2019")</f>
        <v/>
      </c>
      <c r="T236">
        <f>HYPERLINK("https://klasma.github.io/Logging_NORRTALJE/kartor/A 10426-2019.png", "A 10426-2019")</f>
        <v/>
      </c>
      <c r="V236">
        <f>HYPERLINK("https://klasma.github.io/Logging_NORRTALJE/klagomål/A 10426-2019.docx", "A 10426-2019")</f>
        <v/>
      </c>
      <c r="W236">
        <f>HYPERLINK("https://klasma.github.io/Logging_NORRTALJE/klagomålsmail/A 10426-2019.docx", "A 10426-2019")</f>
        <v/>
      </c>
      <c r="X236">
        <f>HYPERLINK("https://klasma.github.io/Logging_NORRTALJE/tillsyn/A 10426-2019.docx", "A 10426-2019")</f>
        <v/>
      </c>
      <c r="Y236">
        <f>HYPERLINK("https://klasma.github.io/Logging_NORRTALJE/tillsynsmail/A 10426-2019.docx", "A 10426-2019")</f>
        <v/>
      </c>
    </row>
    <row r="237" ht="15" customHeight="1">
      <c r="A237" t="inlineStr">
        <is>
          <t>A 10981-2019</t>
        </is>
      </c>
      <c r="B237" s="1" t="n">
        <v>43515</v>
      </c>
      <c r="C237" s="1" t="n">
        <v>45208</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HYPERLINK("https://klasma.github.io/Logging_NORRTALJE/artfynd/A 10981-2019.xlsx", "A 10981-2019")</f>
        <v/>
      </c>
      <c r="T237">
        <f>HYPERLINK("https://klasma.github.io/Logging_NORRTALJE/kartor/A 10981-2019.png", "A 10981-2019")</f>
        <v/>
      </c>
      <c r="V237">
        <f>HYPERLINK("https://klasma.github.io/Logging_NORRTALJE/klagomål/A 10981-2019.docx", "A 10981-2019")</f>
        <v/>
      </c>
      <c r="W237">
        <f>HYPERLINK("https://klasma.github.io/Logging_NORRTALJE/klagomålsmail/A 10981-2019.docx", "A 10981-2019")</f>
        <v/>
      </c>
      <c r="X237">
        <f>HYPERLINK("https://klasma.github.io/Logging_NORRTALJE/tillsyn/A 10981-2019.docx", "A 10981-2019")</f>
        <v/>
      </c>
      <c r="Y237">
        <f>HYPERLINK("https://klasma.github.io/Logging_NORRTALJE/tillsynsmail/A 10981-2019.docx", "A 10981-2019")</f>
        <v/>
      </c>
    </row>
    <row r="238" ht="15" customHeight="1">
      <c r="A238" t="inlineStr">
        <is>
          <t>A 11462-2019</t>
        </is>
      </c>
      <c r="B238" s="1" t="n">
        <v>43517</v>
      </c>
      <c r="C238" s="1" t="n">
        <v>45208</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HYPERLINK("https://klasma.github.io/Logging_NORRTALJE/artfynd/A 11462-2019.xlsx", "A 11462-2019")</f>
        <v/>
      </c>
      <c r="T238">
        <f>HYPERLINK("https://klasma.github.io/Logging_NORRTALJE/kartor/A 11462-2019.png", "A 11462-2019")</f>
        <v/>
      </c>
      <c r="V238">
        <f>HYPERLINK("https://klasma.github.io/Logging_NORRTALJE/klagomål/A 11462-2019.docx", "A 11462-2019")</f>
        <v/>
      </c>
      <c r="W238">
        <f>HYPERLINK("https://klasma.github.io/Logging_NORRTALJE/klagomålsmail/A 11462-2019.docx", "A 11462-2019")</f>
        <v/>
      </c>
      <c r="X238">
        <f>HYPERLINK("https://klasma.github.io/Logging_NORRTALJE/tillsyn/A 11462-2019.docx", "A 11462-2019")</f>
        <v/>
      </c>
      <c r="Y238">
        <f>HYPERLINK("https://klasma.github.io/Logging_NORRTALJE/tillsynsmail/A 11462-2019.docx", "A 11462-2019")</f>
        <v/>
      </c>
    </row>
    <row r="239" ht="15" customHeight="1">
      <c r="A239" t="inlineStr">
        <is>
          <t>A 11815-2019</t>
        </is>
      </c>
      <c r="B239" s="1" t="n">
        <v>43521</v>
      </c>
      <c r="C239" s="1" t="n">
        <v>45208</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HYPERLINK("https://klasma.github.io/Logging_NORRTALJE/artfynd/A 11815-2019.xlsx", "A 11815-2019")</f>
        <v/>
      </c>
      <c r="T239">
        <f>HYPERLINK("https://klasma.github.io/Logging_NORRTALJE/kartor/A 11815-2019.png", "A 11815-2019")</f>
        <v/>
      </c>
      <c r="V239">
        <f>HYPERLINK("https://klasma.github.io/Logging_NORRTALJE/klagomål/A 11815-2019.docx", "A 11815-2019")</f>
        <v/>
      </c>
      <c r="W239">
        <f>HYPERLINK("https://klasma.github.io/Logging_NORRTALJE/klagomålsmail/A 11815-2019.docx", "A 11815-2019")</f>
        <v/>
      </c>
      <c r="X239">
        <f>HYPERLINK("https://klasma.github.io/Logging_NORRTALJE/tillsyn/A 11815-2019.docx", "A 11815-2019")</f>
        <v/>
      </c>
      <c r="Y239">
        <f>HYPERLINK("https://klasma.github.io/Logging_NORRTALJE/tillsynsmail/A 11815-2019.docx", "A 11815-2019")</f>
        <v/>
      </c>
    </row>
    <row r="240" ht="15" customHeight="1">
      <c r="A240" t="inlineStr">
        <is>
          <t>A 13207-2019</t>
        </is>
      </c>
      <c r="B240" s="1" t="n">
        <v>43528</v>
      </c>
      <c r="C240" s="1" t="n">
        <v>45208</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HYPERLINK("https://klasma.github.io/Logging_NORRTALJE/artfynd/A 13207-2019.xlsx", "A 13207-2019")</f>
        <v/>
      </c>
      <c r="T240">
        <f>HYPERLINK("https://klasma.github.io/Logging_NORRTALJE/kartor/A 13207-2019.png", "A 13207-2019")</f>
        <v/>
      </c>
      <c r="V240">
        <f>HYPERLINK("https://klasma.github.io/Logging_NORRTALJE/klagomål/A 13207-2019.docx", "A 13207-2019")</f>
        <v/>
      </c>
      <c r="W240">
        <f>HYPERLINK("https://klasma.github.io/Logging_NORRTALJE/klagomålsmail/A 13207-2019.docx", "A 13207-2019")</f>
        <v/>
      </c>
      <c r="X240">
        <f>HYPERLINK("https://klasma.github.io/Logging_NORRTALJE/tillsyn/A 13207-2019.docx", "A 13207-2019")</f>
        <v/>
      </c>
      <c r="Y240">
        <f>HYPERLINK("https://klasma.github.io/Logging_NORRTALJE/tillsynsmail/A 13207-2019.docx", "A 13207-2019")</f>
        <v/>
      </c>
    </row>
    <row r="241" ht="15" customHeight="1">
      <c r="A241" t="inlineStr">
        <is>
          <t>A 13444-2019</t>
        </is>
      </c>
      <c r="B241" s="1" t="n">
        <v>43529</v>
      </c>
      <c r="C241" s="1" t="n">
        <v>45208</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HYPERLINK("https://klasma.github.io/Logging_NORRTALJE/artfynd/A 13444-2019.xlsx", "A 13444-2019")</f>
        <v/>
      </c>
      <c r="T241">
        <f>HYPERLINK("https://klasma.github.io/Logging_NORRTALJE/kartor/A 13444-2019.png", "A 13444-2019")</f>
        <v/>
      </c>
      <c r="V241">
        <f>HYPERLINK("https://klasma.github.io/Logging_NORRTALJE/klagomål/A 13444-2019.docx", "A 13444-2019")</f>
        <v/>
      </c>
      <c r="W241">
        <f>HYPERLINK("https://klasma.github.io/Logging_NORRTALJE/klagomålsmail/A 13444-2019.docx", "A 13444-2019")</f>
        <v/>
      </c>
      <c r="X241">
        <f>HYPERLINK("https://klasma.github.io/Logging_NORRTALJE/tillsyn/A 13444-2019.docx", "A 13444-2019")</f>
        <v/>
      </c>
      <c r="Y241">
        <f>HYPERLINK("https://klasma.github.io/Logging_NORRTALJE/tillsynsmail/A 13444-2019.docx", "A 13444-2019")</f>
        <v/>
      </c>
    </row>
    <row r="242" ht="15" customHeight="1">
      <c r="A242" t="inlineStr">
        <is>
          <t>A 15113-2019</t>
        </is>
      </c>
      <c r="B242" s="1" t="n">
        <v>43539</v>
      </c>
      <c r="C242" s="1" t="n">
        <v>45208</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HYPERLINK("https://klasma.github.io/Logging_NORRTALJE/artfynd/A 15113-2019.xlsx", "A 15113-2019")</f>
        <v/>
      </c>
      <c r="T242">
        <f>HYPERLINK("https://klasma.github.io/Logging_NORRTALJE/kartor/A 15113-2019.png", "A 15113-2019")</f>
        <v/>
      </c>
      <c r="V242">
        <f>HYPERLINK("https://klasma.github.io/Logging_NORRTALJE/klagomål/A 15113-2019.docx", "A 15113-2019")</f>
        <v/>
      </c>
      <c r="W242">
        <f>HYPERLINK("https://klasma.github.io/Logging_NORRTALJE/klagomålsmail/A 15113-2019.docx", "A 15113-2019")</f>
        <v/>
      </c>
      <c r="X242">
        <f>HYPERLINK("https://klasma.github.io/Logging_NORRTALJE/tillsyn/A 15113-2019.docx", "A 15113-2019")</f>
        <v/>
      </c>
      <c r="Y242">
        <f>HYPERLINK("https://klasma.github.io/Logging_NORRTALJE/tillsynsmail/A 15113-2019.docx", "A 15113-2019")</f>
        <v/>
      </c>
    </row>
    <row r="243" ht="15" customHeight="1">
      <c r="A243" t="inlineStr">
        <is>
          <t>A 17526-2019</t>
        </is>
      </c>
      <c r="B243" s="1" t="n">
        <v>43553</v>
      </c>
      <c r="C243" s="1" t="n">
        <v>45208</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HYPERLINK("https://klasma.github.io/Logging_NORRTALJE/artfynd/A 17526-2019.xlsx", "A 17526-2019")</f>
        <v/>
      </c>
      <c r="T243">
        <f>HYPERLINK("https://klasma.github.io/Logging_NORRTALJE/kartor/A 17526-2019.png", "A 17526-2019")</f>
        <v/>
      </c>
      <c r="V243">
        <f>HYPERLINK("https://klasma.github.io/Logging_NORRTALJE/klagomål/A 17526-2019.docx", "A 17526-2019")</f>
        <v/>
      </c>
      <c r="W243">
        <f>HYPERLINK("https://klasma.github.io/Logging_NORRTALJE/klagomålsmail/A 17526-2019.docx", "A 17526-2019")</f>
        <v/>
      </c>
      <c r="X243">
        <f>HYPERLINK("https://klasma.github.io/Logging_NORRTALJE/tillsyn/A 17526-2019.docx", "A 17526-2019")</f>
        <v/>
      </c>
      <c r="Y243">
        <f>HYPERLINK("https://klasma.github.io/Logging_NORRTALJE/tillsynsmail/A 17526-2019.docx", "A 17526-2019")</f>
        <v/>
      </c>
    </row>
    <row r="244" ht="15" customHeight="1">
      <c r="A244" t="inlineStr">
        <is>
          <t>A 20740-2019</t>
        </is>
      </c>
      <c r="B244" s="1" t="n">
        <v>43573</v>
      </c>
      <c r="C244" s="1" t="n">
        <v>45208</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HYPERLINK("https://klasma.github.io/Logging_NORRTALJE/artfynd/A 20740-2019.xlsx", "A 20740-2019")</f>
        <v/>
      </c>
      <c r="T244">
        <f>HYPERLINK("https://klasma.github.io/Logging_NORRTALJE/kartor/A 20740-2019.png", "A 20740-2019")</f>
        <v/>
      </c>
      <c r="V244">
        <f>HYPERLINK("https://klasma.github.io/Logging_NORRTALJE/klagomål/A 20740-2019.docx", "A 20740-2019")</f>
        <v/>
      </c>
      <c r="W244">
        <f>HYPERLINK("https://klasma.github.io/Logging_NORRTALJE/klagomålsmail/A 20740-2019.docx", "A 20740-2019")</f>
        <v/>
      </c>
      <c r="X244">
        <f>HYPERLINK("https://klasma.github.io/Logging_NORRTALJE/tillsyn/A 20740-2019.docx", "A 20740-2019")</f>
        <v/>
      </c>
      <c r="Y244">
        <f>HYPERLINK("https://klasma.github.io/Logging_NORRTALJE/tillsynsmail/A 20740-2019.docx", "A 20740-2019")</f>
        <v/>
      </c>
    </row>
    <row r="245" ht="15" customHeight="1">
      <c r="A245" t="inlineStr">
        <is>
          <t>A 26275-2019</t>
        </is>
      </c>
      <c r="B245" s="1" t="n">
        <v>43611</v>
      </c>
      <c r="C245" s="1" t="n">
        <v>45208</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HYPERLINK("https://klasma.github.io/Logging_NORRTALJE/artfynd/A 26275-2019.xlsx", "A 26275-2019")</f>
        <v/>
      </c>
      <c r="T245">
        <f>HYPERLINK("https://klasma.github.io/Logging_NORRTALJE/kartor/A 26275-2019.png", "A 26275-2019")</f>
        <v/>
      </c>
      <c r="V245">
        <f>HYPERLINK("https://klasma.github.io/Logging_NORRTALJE/klagomål/A 26275-2019.docx", "A 26275-2019")</f>
        <v/>
      </c>
      <c r="W245">
        <f>HYPERLINK("https://klasma.github.io/Logging_NORRTALJE/klagomålsmail/A 26275-2019.docx", "A 26275-2019")</f>
        <v/>
      </c>
      <c r="X245">
        <f>HYPERLINK("https://klasma.github.io/Logging_NORRTALJE/tillsyn/A 26275-2019.docx", "A 26275-2019")</f>
        <v/>
      </c>
      <c r="Y245">
        <f>HYPERLINK("https://klasma.github.io/Logging_NORRTALJE/tillsynsmail/A 26275-2019.docx", "A 26275-2019")</f>
        <v/>
      </c>
    </row>
    <row r="246" ht="15" customHeight="1">
      <c r="A246" t="inlineStr">
        <is>
          <t>A 27513-2019</t>
        </is>
      </c>
      <c r="B246" s="1" t="n">
        <v>43619</v>
      </c>
      <c r="C246" s="1" t="n">
        <v>45208</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HYPERLINK("https://klasma.github.io/Logging_SODERTALJE/artfynd/A 27513-2019.xlsx", "A 27513-2019")</f>
        <v/>
      </c>
      <c r="T246">
        <f>HYPERLINK("https://klasma.github.io/Logging_SODERTALJE/kartor/A 27513-2019.png", "A 27513-2019")</f>
        <v/>
      </c>
      <c r="V246">
        <f>HYPERLINK("https://klasma.github.io/Logging_SODERTALJE/klagomål/A 27513-2019.docx", "A 27513-2019")</f>
        <v/>
      </c>
      <c r="W246">
        <f>HYPERLINK("https://klasma.github.io/Logging_SODERTALJE/klagomålsmail/A 27513-2019.docx", "A 27513-2019")</f>
        <v/>
      </c>
      <c r="X246">
        <f>HYPERLINK("https://klasma.github.io/Logging_SODERTALJE/tillsyn/A 27513-2019.docx", "A 27513-2019")</f>
        <v/>
      </c>
      <c r="Y246">
        <f>HYPERLINK("https://klasma.github.io/Logging_SODERTALJE/tillsynsmail/A 27513-2019.docx", "A 27513-2019")</f>
        <v/>
      </c>
    </row>
    <row r="247" ht="15" customHeight="1">
      <c r="A247" t="inlineStr">
        <is>
          <t>A 29513-2019</t>
        </is>
      </c>
      <c r="B247" s="1" t="n">
        <v>43627</v>
      </c>
      <c r="C247" s="1" t="n">
        <v>45208</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HYPERLINK("https://klasma.github.io/Logging_HANINGE/artfynd/A 29513-2019.xlsx", "A 29513-2019")</f>
        <v/>
      </c>
      <c r="T247">
        <f>HYPERLINK("https://klasma.github.io/Logging_HANINGE/kartor/A 29513-2019.png", "A 29513-2019")</f>
        <v/>
      </c>
      <c r="V247">
        <f>HYPERLINK("https://klasma.github.io/Logging_HANINGE/klagomål/A 29513-2019.docx", "A 29513-2019")</f>
        <v/>
      </c>
      <c r="W247">
        <f>HYPERLINK("https://klasma.github.io/Logging_HANINGE/klagomålsmail/A 29513-2019.docx", "A 29513-2019")</f>
        <v/>
      </c>
      <c r="X247">
        <f>HYPERLINK("https://klasma.github.io/Logging_HANINGE/tillsyn/A 29513-2019.docx", "A 29513-2019")</f>
        <v/>
      </c>
      <c r="Y247">
        <f>HYPERLINK("https://klasma.github.io/Logging_HANINGE/tillsynsmail/A 29513-2019.docx", "A 29513-2019")</f>
        <v/>
      </c>
    </row>
    <row r="248" ht="15" customHeight="1">
      <c r="A248" t="inlineStr">
        <is>
          <t>A 31167-2019</t>
        </is>
      </c>
      <c r="B248" s="1" t="n">
        <v>43635</v>
      </c>
      <c r="C248" s="1" t="n">
        <v>45208</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HYPERLINK("https://klasma.github.io/Logging_EKERO/artfynd/A 31167-2019.xlsx", "A 31167-2019")</f>
        <v/>
      </c>
      <c r="T248">
        <f>HYPERLINK("https://klasma.github.io/Logging_EKERO/kartor/A 31167-2019.png", "A 31167-2019")</f>
        <v/>
      </c>
      <c r="V248">
        <f>HYPERLINK("https://klasma.github.io/Logging_EKERO/klagomål/A 31167-2019.docx", "A 31167-2019")</f>
        <v/>
      </c>
      <c r="W248">
        <f>HYPERLINK("https://klasma.github.io/Logging_EKERO/klagomålsmail/A 31167-2019.docx", "A 31167-2019")</f>
        <v/>
      </c>
      <c r="X248">
        <f>HYPERLINK("https://klasma.github.io/Logging_EKERO/tillsyn/A 31167-2019.docx", "A 31167-2019")</f>
        <v/>
      </c>
      <c r="Y248">
        <f>HYPERLINK("https://klasma.github.io/Logging_EKERO/tillsynsmail/A 31167-2019.docx", "A 31167-2019")</f>
        <v/>
      </c>
    </row>
    <row r="249" ht="15" customHeight="1">
      <c r="A249" t="inlineStr">
        <is>
          <t>A 38137-2019</t>
        </is>
      </c>
      <c r="B249" s="1" t="n">
        <v>43684</v>
      </c>
      <c r="C249" s="1" t="n">
        <v>45208</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HYPERLINK("https://klasma.github.io/Logging_NORRTALJE/artfynd/A 38137-2019.xlsx", "A 38137-2019")</f>
        <v/>
      </c>
      <c r="T249">
        <f>HYPERLINK("https://klasma.github.io/Logging_NORRTALJE/kartor/A 38137-2019.png", "A 38137-2019")</f>
        <v/>
      </c>
      <c r="V249">
        <f>HYPERLINK("https://klasma.github.io/Logging_NORRTALJE/klagomål/A 38137-2019.docx", "A 38137-2019")</f>
        <v/>
      </c>
      <c r="W249">
        <f>HYPERLINK("https://klasma.github.io/Logging_NORRTALJE/klagomålsmail/A 38137-2019.docx", "A 38137-2019")</f>
        <v/>
      </c>
      <c r="X249">
        <f>HYPERLINK("https://klasma.github.io/Logging_NORRTALJE/tillsyn/A 38137-2019.docx", "A 38137-2019")</f>
        <v/>
      </c>
      <c r="Y249">
        <f>HYPERLINK("https://klasma.github.io/Logging_NORRTALJE/tillsynsmail/A 38137-2019.docx", "A 38137-2019")</f>
        <v/>
      </c>
    </row>
    <row r="250" ht="15" customHeight="1">
      <c r="A250" t="inlineStr">
        <is>
          <t>A 52009-2019</t>
        </is>
      </c>
      <c r="B250" s="1" t="n">
        <v>43742</v>
      </c>
      <c r="C250" s="1" t="n">
        <v>45208</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HYPERLINK("https://klasma.github.io/Logging_SALEM/artfynd/A 52009-2019.xlsx", "A 52009-2019")</f>
        <v/>
      </c>
      <c r="T250">
        <f>HYPERLINK("https://klasma.github.io/Logging_SALEM/kartor/A 52009-2019.png", "A 52009-2019")</f>
        <v/>
      </c>
      <c r="V250">
        <f>HYPERLINK("https://klasma.github.io/Logging_SALEM/klagomål/A 52009-2019.docx", "A 52009-2019")</f>
        <v/>
      </c>
      <c r="W250">
        <f>HYPERLINK("https://klasma.github.io/Logging_SALEM/klagomålsmail/A 52009-2019.docx", "A 52009-2019")</f>
        <v/>
      </c>
      <c r="X250">
        <f>HYPERLINK("https://klasma.github.io/Logging_SALEM/tillsyn/A 52009-2019.docx", "A 52009-2019")</f>
        <v/>
      </c>
      <c r="Y250">
        <f>HYPERLINK("https://klasma.github.io/Logging_SALEM/tillsynsmail/A 52009-2019.docx", "A 52009-2019")</f>
        <v/>
      </c>
    </row>
    <row r="251" ht="15" customHeight="1">
      <c r="A251" t="inlineStr">
        <is>
          <t>A 54231-2019</t>
        </is>
      </c>
      <c r="B251" s="1" t="n">
        <v>43753</v>
      </c>
      <c r="C251" s="1" t="n">
        <v>45208</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HYPERLINK("https://klasma.github.io/Logging_EKERO/artfynd/A 54231-2019.xlsx", "A 54231-2019")</f>
        <v/>
      </c>
      <c r="T251">
        <f>HYPERLINK("https://klasma.github.io/Logging_EKERO/kartor/A 54231-2019.png", "A 54231-2019")</f>
        <v/>
      </c>
      <c r="V251">
        <f>HYPERLINK("https://klasma.github.io/Logging_EKERO/klagomål/A 54231-2019.docx", "A 54231-2019")</f>
        <v/>
      </c>
      <c r="W251">
        <f>HYPERLINK("https://klasma.github.io/Logging_EKERO/klagomålsmail/A 54231-2019.docx", "A 54231-2019")</f>
        <v/>
      </c>
      <c r="X251">
        <f>HYPERLINK("https://klasma.github.io/Logging_EKERO/tillsyn/A 54231-2019.docx", "A 54231-2019")</f>
        <v/>
      </c>
      <c r="Y251">
        <f>HYPERLINK("https://klasma.github.io/Logging_EKERO/tillsynsmail/A 54231-2019.docx", "A 54231-2019")</f>
        <v/>
      </c>
    </row>
    <row r="252" ht="15" customHeight="1">
      <c r="A252" t="inlineStr">
        <is>
          <t>A 59643-2019</t>
        </is>
      </c>
      <c r="B252" s="1" t="n">
        <v>43776</v>
      </c>
      <c r="C252" s="1" t="n">
        <v>45208</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HYPERLINK("https://klasma.github.io/Logging_SODERTALJE/artfynd/A 59643-2019.xlsx", "A 59643-2019")</f>
        <v/>
      </c>
      <c r="T252">
        <f>HYPERLINK("https://klasma.github.io/Logging_SODERTALJE/kartor/A 59643-2019.png", "A 59643-2019")</f>
        <v/>
      </c>
      <c r="U252">
        <f>HYPERLINK("https://klasma.github.io/Logging_SODERTALJE/knärot/A 59643-2019.png", "A 59643-2019")</f>
        <v/>
      </c>
      <c r="V252">
        <f>HYPERLINK("https://klasma.github.io/Logging_SODERTALJE/klagomål/A 59643-2019.docx", "A 59643-2019")</f>
        <v/>
      </c>
      <c r="W252">
        <f>HYPERLINK("https://klasma.github.io/Logging_SODERTALJE/klagomålsmail/A 59643-2019.docx", "A 59643-2019")</f>
        <v/>
      </c>
      <c r="X252">
        <f>HYPERLINK("https://klasma.github.io/Logging_SODERTALJE/tillsyn/A 59643-2019.docx", "A 59643-2019")</f>
        <v/>
      </c>
      <c r="Y252">
        <f>HYPERLINK("https://klasma.github.io/Logging_SODERTALJE/tillsynsmail/A 59643-2019.docx", "A 59643-2019")</f>
        <v/>
      </c>
    </row>
    <row r="253" ht="15" customHeight="1">
      <c r="A253" t="inlineStr">
        <is>
          <t>A 64849-2019</t>
        </is>
      </c>
      <c r="B253" s="1" t="n">
        <v>43801</v>
      </c>
      <c r="C253" s="1" t="n">
        <v>45208</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HYPERLINK("https://klasma.github.io/Logging_NORRTALJE/artfynd/A 64849-2019.xlsx", "A 64849-2019")</f>
        <v/>
      </c>
      <c r="T253">
        <f>HYPERLINK("https://klasma.github.io/Logging_NORRTALJE/kartor/A 64849-2019.png", "A 64849-2019")</f>
        <v/>
      </c>
      <c r="V253">
        <f>HYPERLINK("https://klasma.github.io/Logging_NORRTALJE/klagomål/A 64849-2019.docx", "A 64849-2019")</f>
        <v/>
      </c>
      <c r="W253">
        <f>HYPERLINK("https://klasma.github.io/Logging_NORRTALJE/klagomålsmail/A 64849-2019.docx", "A 64849-2019")</f>
        <v/>
      </c>
      <c r="X253">
        <f>HYPERLINK("https://klasma.github.io/Logging_NORRTALJE/tillsyn/A 64849-2019.docx", "A 64849-2019")</f>
        <v/>
      </c>
      <c r="Y253">
        <f>HYPERLINK("https://klasma.github.io/Logging_NORRTALJE/tillsynsmail/A 64849-2019.docx", "A 64849-2019")</f>
        <v/>
      </c>
    </row>
    <row r="254" ht="15" customHeight="1">
      <c r="A254" t="inlineStr">
        <is>
          <t>A 68107-2019</t>
        </is>
      </c>
      <c r="B254" s="1" t="n">
        <v>43817</v>
      </c>
      <c r="C254" s="1" t="n">
        <v>45208</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HYPERLINK("https://klasma.github.io/Logging_VALLENTUNA/artfynd/A 68107-2019.xlsx", "A 68107-2019")</f>
        <v/>
      </c>
      <c r="T254">
        <f>HYPERLINK("https://klasma.github.io/Logging_VALLENTUNA/kartor/A 68107-2019.png", "A 68107-2019")</f>
        <v/>
      </c>
      <c r="V254">
        <f>HYPERLINK("https://klasma.github.io/Logging_VALLENTUNA/klagomål/A 68107-2019.docx", "A 68107-2019")</f>
        <v/>
      </c>
      <c r="W254">
        <f>HYPERLINK("https://klasma.github.io/Logging_VALLENTUNA/klagomålsmail/A 68107-2019.docx", "A 68107-2019")</f>
        <v/>
      </c>
      <c r="X254">
        <f>HYPERLINK("https://klasma.github.io/Logging_VALLENTUNA/tillsyn/A 68107-2019.docx", "A 68107-2019")</f>
        <v/>
      </c>
      <c r="Y254">
        <f>HYPERLINK("https://klasma.github.io/Logging_VALLENTUNA/tillsynsmail/A 68107-2019.docx", "A 68107-2019")</f>
        <v/>
      </c>
    </row>
    <row r="255" ht="15" customHeight="1">
      <c r="A255" t="inlineStr">
        <is>
          <t>A 68231-2019</t>
        </is>
      </c>
      <c r="B255" s="1" t="n">
        <v>43817</v>
      </c>
      <c r="C255" s="1" t="n">
        <v>45208</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HYPERLINK("https://klasma.github.io/Logging_HANINGE/artfynd/A 68231-2019.xlsx", "A 68231-2019")</f>
        <v/>
      </c>
      <c r="T255">
        <f>HYPERLINK("https://klasma.github.io/Logging_HANINGE/kartor/A 68231-2019.png", "A 68231-2019")</f>
        <v/>
      </c>
      <c r="V255">
        <f>HYPERLINK("https://klasma.github.io/Logging_HANINGE/klagomål/A 68231-2019.docx", "A 68231-2019")</f>
        <v/>
      </c>
      <c r="W255">
        <f>HYPERLINK("https://klasma.github.io/Logging_HANINGE/klagomålsmail/A 68231-2019.docx", "A 68231-2019")</f>
        <v/>
      </c>
      <c r="X255">
        <f>HYPERLINK("https://klasma.github.io/Logging_HANINGE/tillsyn/A 68231-2019.docx", "A 68231-2019")</f>
        <v/>
      </c>
      <c r="Y255">
        <f>HYPERLINK("https://klasma.github.io/Logging_HANINGE/tillsynsmail/A 68231-2019.docx", "A 68231-2019")</f>
        <v/>
      </c>
    </row>
    <row r="256" ht="15" customHeight="1">
      <c r="A256" t="inlineStr">
        <is>
          <t>A 68108-2019</t>
        </is>
      </c>
      <c r="B256" s="1" t="n">
        <v>43817</v>
      </c>
      <c r="C256" s="1" t="n">
        <v>45208</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HYPERLINK("https://klasma.github.io/Logging_VALLENTUNA/artfynd/A 68108-2019.xlsx", "A 68108-2019")</f>
        <v/>
      </c>
      <c r="T256">
        <f>HYPERLINK("https://klasma.github.io/Logging_VALLENTUNA/kartor/A 68108-2019.png", "A 68108-2019")</f>
        <v/>
      </c>
      <c r="V256">
        <f>HYPERLINK("https://klasma.github.io/Logging_VALLENTUNA/klagomål/A 68108-2019.docx", "A 68108-2019")</f>
        <v/>
      </c>
      <c r="W256">
        <f>HYPERLINK("https://klasma.github.io/Logging_VALLENTUNA/klagomålsmail/A 68108-2019.docx", "A 68108-2019")</f>
        <v/>
      </c>
      <c r="X256">
        <f>HYPERLINK("https://klasma.github.io/Logging_VALLENTUNA/tillsyn/A 68108-2019.docx", "A 68108-2019")</f>
        <v/>
      </c>
      <c r="Y256">
        <f>HYPERLINK("https://klasma.github.io/Logging_VALLENTUNA/tillsynsmail/A 68108-2019.docx", "A 68108-2019")</f>
        <v/>
      </c>
    </row>
    <row r="257" ht="15" customHeight="1">
      <c r="A257" t="inlineStr">
        <is>
          <t>A 2796-2020</t>
        </is>
      </c>
      <c r="B257" s="1" t="n">
        <v>43850</v>
      </c>
      <c r="C257" s="1" t="n">
        <v>45208</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HYPERLINK("https://klasma.github.io/Logging_NORRTALJE/artfynd/A 2796-2020.xlsx", "A 2796-2020")</f>
        <v/>
      </c>
      <c r="T257">
        <f>HYPERLINK("https://klasma.github.io/Logging_NORRTALJE/kartor/A 2796-2020.png", "A 2796-2020")</f>
        <v/>
      </c>
      <c r="V257">
        <f>HYPERLINK("https://klasma.github.io/Logging_NORRTALJE/klagomål/A 2796-2020.docx", "A 2796-2020")</f>
        <v/>
      </c>
      <c r="W257">
        <f>HYPERLINK("https://klasma.github.io/Logging_NORRTALJE/klagomålsmail/A 2796-2020.docx", "A 2796-2020")</f>
        <v/>
      </c>
      <c r="X257">
        <f>HYPERLINK("https://klasma.github.io/Logging_NORRTALJE/tillsyn/A 2796-2020.docx", "A 2796-2020")</f>
        <v/>
      </c>
      <c r="Y257">
        <f>HYPERLINK("https://klasma.github.io/Logging_NORRTALJE/tillsynsmail/A 2796-2020.docx", "A 2796-2020")</f>
        <v/>
      </c>
    </row>
    <row r="258" ht="15" customHeight="1">
      <c r="A258" t="inlineStr">
        <is>
          <t>A 7032-2020</t>
        </is>
      </c>
      <c r="B258" s="1" t="n">
        <v>43868</v>
      </c>
      <c r="C258" s="1" t="n">
        <v>45208</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HYPERLINK("https://klasma.github.io/Logging_EKERO/artfynd/A 7032-2020.xlsx", "A 7032-2020")</f>
        <v/>
      </c>
      <c r="T258">
        <f>HYPERLINK("https://klasma.github.io/Logging_EKERO/kartor/A 7032-2020.png", "A 7032-2020")</f>
        <v/>
      </c>
      <c r="V258">
        <f>HYPERLINK("https://klasma.github.io/Logging_EKERO/klagomål/A 7032-2020.docx", "A 7032-2020")</f>
        <v/>
      </c>
      <c r="W258">
        <f>HYPERLINK("https://klasma.github.io/Logging_EKERO/klagomålsmail/A 7032-2020.docx", "A 7032-2020")</f>
        <v/>
      </c>
      <c r="X258">
        <f>HYPERLINK("https://klasma.github.io/Logging_EKERO/tillsyn/A 7032-2020.docx", "A 7032-2020")</f>
        <v/>
      </c>
      <c r="Y258">
        <f>HYPERLINK("https://klasma.github.io/Logging_EKERO/tillsynsmail/A 7032-2020.docx", "A 7032-2020")</f>
        <v/>
      </c>
    </row>
    <row r="259" ht="15" customHeight="1">
      <c r="A259" t="inlineStr">
        <is>
          <t>A 7152-2020</t>
        </is>
      </c>
      <c r="B259" s="1" t="n">
        <v>43869</v>
      </c>
      <c r="C259" s="1" t="n">
        <v>45208</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HYPERLINK("https://klasma.github.io/Logging_NYNASHAMN/artfynd/A 7152-2020.xlsx", "A 7152-2020")</f>
        <v/>
      </c>
      <c r="T259">
        <f>HYPERLINK("https://klasma.github.io/Logging_NYNASHAMN/kartor/A 7152-2020.png", "A 7152-2020")</f>
        <v/>
      </c>
      <c r="V259">
        <f>HYPERLINK("https://klasma.github.io/Logging_NYNASHAMN/klagomål/A 7152-2020.docx", "A 7152-2020")</f>
        <v/>
      </c>
      <c r="W259">
        <f>HYPERLINK("https://klasma.github.io/Logging_NYNASHAMN/klagomålsmail/A 7152-2020.docx", "A 7152-2020")</f>
        <v/>
      </c>
      <c r="X259">
        <f>HYPERLINK("https://klasma.github.io/Logging_NYNASHAMN/tillsyn/A 7152-2020.docx", "A 7152-2020")</f>
        <v/>
      </c>
      <c r="Y259">
        <f>HYPERLINK("https://klasma.github.io/Logging_NYNASHAMN/tillsynsmail/A 7152-2020.docx", "A 7152-2020")</f>
        <v/>
      </c>
    </row>
    <row r="260" ht="15" customHeight="1">
      <c r="A260" t="inlineStr">
        <is>
          <t>A 9051-2020</t>
        </is>
      </c>
      <c r="B260" s="1" t="n">
        <v>43879</v>
      </c>
      <c r="C260" s="1" t="n">
        <v>45208</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HYPERLINK("https://klasma.github.io/Logging_NORRTALJE/artfynd/A 9051-2020.xlsx", "A 9051-2020")</f>
        <v/>
      </c>
      <c r="T260">
        <f>HYPERLINK("https://klasma.github.io/Logging_NORRTALJE/kartor/A 9051-2020.png", "A 9051-2020")</f>
        <v/>
      </c>
      <c r="V260">
        <f>HYPERLINK("https://klasma.github.io/Logging_NORRTALJE/klagomål/A 9051-2020.docx", "A 9051-2020")</f>
        <v/>
      </c>
      <c r="W260">
        <f>HYPERLINK("https://klasma.github.io/Logging_NORRTALJE/klagomålsmail/A 9051-2020.docx", "A 9051-2020")</f>
        <v/>
      </c>
      <c r="X260">
        <f>HYPERLINK("https://klasma.github.io/Logging_NORRTALJE/tillsyn/A 9051-2020.docx", "A 9051-2020")</f>
        <v/>
      </c>
      <c r="Y260">
        <f>HYPERLINK("https://klasma.github.io/Logging_NORRTALJE/tillsynsmail/A 9051-2020.docx", "A 9051-2020")</f>
        <v/>
      </c>
    </row>
    <row r="261" ht="15" customHeight="1">
      <c r="A261" t="inlineStr">
        <is>
          <t>A 13326-2020</t>
        </is>
      </c>
      <c r="B261" s="1" t="n">
        <v>43894</v>
      </c>
      <c r="C261" s="1" t="n">
        <v>45208</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HYPERLINK("https://klasma.github.io/Logging_HUDDINGE/artfynd/A 13326-2020.xlsx", "A 13326-2020")</f>
        <v/>
      </c>
      <c r="T261">
        <f>HYPERLINK("https://klasma.github.io/Logging_HUDDINGE/kartor/A 13326-2020.png", "A 13326-2020")</f>
        <v/>
      </c>
      <c r="V261">
        <f>HYPERLINK("https://klasma.github.io/Logging_HUDDINGE/klagomål/A 13326-2020.docx", "A 13326-2020")</f>
        <v/>
      </c>
      <c r="W261">
        <f>HYPERLINK("https://klasma.github.io/Logging_HUDDINGE/klagomålsmail/A 13326-2020.docx", "A 13326-2020")</f>
        <v/>
      </c>
      <c r="X261">
        <f>HYPERLINK("https://klasma.github.io/Logging_HUDDINGE/tillsyn/A 13326-2020.docx", "A 13326-2020")</f>
        <v/>
      </c>
      <c r="Y261">
        <f>HYPERLINK("https://klasma.github.io/Logging_HUDDINGE/tillsynsmail/A 13326-2020.docx", "A 13326-2020")</f>
        <v/>
      </c>
    </row>
    <row r="262" ht="15" customHeight="1">
      <c r="A262" t="inlineStr">
        <is>
          <t>A 12832-2020</t>
        </is>
      </c>
      <c r="B262" s="1" t="n">
        <v>43899</v>
      </c>
      <c r="C262" s="1" t="n">
        <v>45208</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HYPERLINK("https://klasma.github.io/Logging_SODERTALJE/artfynd/A 12832-2020.xlsx", "A 12832-2020")</f>
        <v/>
      </c>
      <c r="T262">
        <f>HYPERLINK("https://klasma.github.io/Logging_SODERTALJE/kartor/A 12832-2020.png", "A 12832-2020")</f>
        <v/>
      </c>
      <c r="V262">
        <f>HYPERLINK("https://klasma.github.io/Logging_SODERTALJE/klagomål/A 12832-2020.docx", "A 12832-2020")</f>
        <v/>
      </c>
      <c r="W262">
        <f>HYPERLINK("https://klasma.github.io/Logging_SODERTALJE/klagomålsmail/A 12832-2020.docx", "A 12832-2020")</f>
        <v/>
      </c>
      <c r="X262">
        <f>HYPERLINK("https://klasma.github.io/Logging_SODERTALJE/tillsyn/A 12832-2020.docx", "A 12832-2020")</f>
        <v/>
      </c>
      <c r="Y262">
        <f>HYPERLINK("https://klasma.github.io/Logging_SODERTALJE/tillsynsmail/A 12832-2020.docx", "A 12832-2020")</f>
        <v/>
      </c>
    </row>
    <row r="263" ht="15" customHeight="1">
      <c r="A263" t="inlineStr">
        <is>
          <t>A 13922-2020</t>
        </is>
      </c>
      <c r="B263" s="1" t="n">
        <v>43906</v>
      </c>
      <c r="C263" s="1" t="n">
        <v>45208</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HYPERLINK("https://klasma.github.io/Logging_NYKVARN/artfynd/A 13922-2020.xlsx", "A 13922-2020")</f>
        <v/>
      </c>
      <c r="T263">
        <f>HYPERLINK("https://klasma.github.io/Logging_NYKVARN/kartor/A 13922-2020.png", "A 13922-2020")</f>
        <v/>
      </c>
      <c r="V263">
        <f>HYPERLINK("https://klasma.github.io/Logging_NYKVARN/klagomål/A 13922-2020.docx", "A 13922-2020")</f>
        <v/>
      </c>
      <c r="W263">
        <f>HYPERLINK("https://klasma.github.io/Logging_NYKVARN/klagomålsmail/A 13922-2020.docx", "A 13922-2020")</f>
        <v/>
      </c>
      <c r="X263">
        <f>HYPERLINK("https://klasma.github.io/Logging_NYKVARN/tillsyn/A 13922-2020.docx", "A 13922-2020")</f>
        <v/>
      </c>
      <c r="Y263">
        <f>HYPERLINK("https://klasma.github.io/Logging_NYKVARN/tillsynsmail/A 13922-2020.docx", "A 13922-2020")</f>
        <v/>
      </c>
    </row>
    <row r="264" ht="15" customHeight="1">
      <c r="A264" t="inlineStr">
        <is>
          <t>A 15312-2020</t>
        </is>
      </c>
      <c r="B264" s="1" t="n">
        <v>43913</v>
      </c>
      <c r="C264" s="1" t="n">
        <v>45208</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HYPERLINK("https://klasma.github.io/Logging_HANINGE/artfynd/A 15312-2020.xlsx", "A 15312-2020")</f>
        <v/>
      </c>
      <c r="T264">
        <f>HYPERLINK("https://klasma.github.io/Logging_HANINGE/kartor/A 15312-2020.png", "A 15312-2020")</f>
        <v/>
      </c>
      <c r="V264">
        <f>HYPERLINK("https://klasma.github.io/Logging_HANINGE/klagomål/A 15312-2020.docx", "A 15312-2020")</f>
        <v/>
      </c>
      <c r="W264">
        <f>HYPERLINK("https://klasma.github.io/Logging_HANINGE/klagomålsmail/A 15312-2020.docx", "A 15312-2020")</f>
        <v/>
      </c>
      <c r="X264">
        <f>HYPERLINK("https://klasma.github.io/Logging_HANINGE/tillsyn/A 15312-2020.docx", "A 15312-2020")</f>
        <v/>
      </c>
      <c r="Y264">
        <f>HYPERLINK("https://klasma.github.io/Logging_HANINGE/tillsynsmail/A 15312-2020.docx", "A 15312-2020")</f>
        <v/>
      </c>
    </row>
    <row r="265" ht="15" customHeight="1">
      <c r="A265" t="inlineStr">
        <is>
          <t>A 16236-2020</t>
        </is>
      </c>
      <c r="B265" s="1" t="n">
        <v>43917</v>
      </c>
      <c r="C265" s="1" t="n">
        <v>45208</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HYPERLINK("https://klasma.github.io/Logging_BOTKYRKA/artfynd/A 16236-2020.xlsx", "A 16236-2020")</f>
        <v/>
      </c>
      <c r="T265">
        <f>HYPERLINK("https://klasma.github.io/Logging_BOTKYRKA/kartor/A 16236-2020.png", "A 16236-2020")</f>
        <v/>
      </c>
      <c r="V265">
        <f>HYPERLINK("https://klasma.github.io/Logging_BOTKYRKA/klagomål/A 16236-2020.docx", "A 16236-2020")</f>
        <v/>
      </c>
      <c r="W265">
        <f>HYPERLINK("https://klasma.github.io/Logging_BOTKYRKA/klagomålsmail/A 16236-2020.docx", "A 16236-2020")</f>
        <v/>
      </c>
      <c r="X265">
        <f>HYPERLINK("https://klasma.github.io/Logging_BOTKYRKA/tillsyn/A 16236-2020.docx", "A 16236-2020")</f>
        <v/>
      </c>
      <c r="Y265">
        <f>HYPERLINK("https://klasma.github.io/Logging_BOTKYRKA/tillsynsmail/A 16236-2020.docx", "A 16236-2020")</f>
        <v/>
      </c>
    </row>
    <row r="266" ht="15" customHeight="1">
      <c r="A266" t="inlineStr">
        <is>
          <t>A 16917-2020</t>
        </is>
      </c>
      <c r="B266" s="1" t="n">
        <v>43921</v>
      </c>
      <c r="C266" s="1" t="n">
        <v>45208</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HYPERLINK("https://klasma.github.io/Logging_SALEM/artfynd/A 16917-2020.xlsx", "A 16917-2020")</f>
        <v/>
      </c>
      <c r="T266">
        <f>HYPERLINK("https://klasma.github.io/Logging_SALEM/kartor/A 16917-2020.png", "A 16917-2020")</f>
        <v/>
      </c>
      <c r="V266">
        <f>HYPERLINK("https://klasma.github.io/Logging_SALEM/klagomål/A 16917-2020.docx", "A 16917-2020")</f>
        <v/>
      </c>
      <c r="W266">
        <f>HYPERLINK("https://klasma.github.io/Logging_SALEM/klagomålsmail/A 16917-2020.docx", "A 16917-2020")</f>
        <v/>
      </c>
      <c r="X266">
        <f>HYPERLINK("https://klasma.github.io/Logging_SALEM/tillsyn/A 16917-2020.docx", "A 16917-2020")</f>
        <v/>
      </c>
      <c r="Y266">
        <f>HYPERLINK("https://klasma.github.io/Logging_SALEM/tillsynsmail/A 16917-2020.docx", "A 16917-2020")</f>
        <v/>
      </c>
    </row>
    <row r="267" ht="15" customHeight="1">
      <c r="A267" t="inlineStr">
        <is>
          <t>A 18965-2020</t>
        </is>
      </c>
      <c r="B267" s="1" t="n">
        <v>43935</v>
      </c>
      <c r="C267" s="1" t="n">
        <v>45208</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HYPERLINK("https://klasma.github.io/Logging_NYNASHAMN/artfynd/A 18965-2020.xlsx", "A 18965-2020")</f>
        <v/>
      </c>
      <c r="T267">
        <f>HYPERLINK("https://klasma.github.io/Logging_NYNASHAMN/kartor/A 18965-2020.png", "A 18965-2020")</f>
        <v/>
      </c>
      <c r="V267">
        <f>HYPERLINK("https://klasma.github.io/Logging_NYNASHAMN/klagomål/A 18965-2020.docx", "A 18965-2020")</f>
        <v/>
      </c>
      <c r="W267">
        <f>HYPERLINK("https://klasma.github.io/Logging_NYNASHAMN/klagomålsmail/A 18965-2020.docx", "A 18965-2020")</f>
        <v/>
      </c>
      <c r="X267">
        <f>HYPERLINK("https://klasma.github.io/Logging_NYNASHAMN/tillsyn/A 18965-2020.docx", "A 18965-2020")</f>
        <v/>
      </c>
      <c r="Y267">
        <f>HYPERLINK("https://klasma.github.io/Logging_NYNASHAMN/tillsynsmail/A 18965-2020.docx", "A 18965-2020")</f>
        <v/>
      </c>
    </row>
    <row r="268" ht="15" customHeight="1">
      <c r="A268" t="inlineStr">
        <is>
          <t>A 21187-2020</t>
        </is>
      </c>
      <c r="B268" s="1" t="n">
        <v>43951</v>
      </c>
      <c r="C268" s="1" t="n">
        <v>45208</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HYPERLINK("https://klasma.github.io/Logging_HANINGE/artfynd/A 21187-2020.xlsx", "A 21187-2020")</f>
        <v/>
      </c>
      <c r="T268">
        <f>HYPERLINK("https://klasma.github.io/Logging_HANINGE/kartor/A 21187-2020.png", "A 21187-2020")</f>
        <v/>
      </c>
      <c r="V268">
        <f>HYPERLINK("https://klasma.github.io/Logging_HANINGE/klagomål/A 21187-2020.docx", "A 21187-2020")</f>
        <v/>
      </c>
      <c r="W268">
        <f>HYPERLINK("https://klasma.github.io/Logging_HANINGE/klagomålsmail/A 21187-2020.docx", "A 21187-2020")</f>
        <v/>
      </c>
      <c r="X268">
        <f>HYPERLINK("https://klasma.github.io/Logging_HANINGE/tillsyn/A 21187-2020.docx", "A 21187-2020")</f>
        <v/>
      </c>
      <c r="Y268">
        <f>HYPERLINK("https://klasma.github.io/Logging_HANINGE/tillsynsmail/A 21187-2020.docx", "A 21187-2020")</f>
        <v/>
      </c>
    </row>
    <row r="269" ht="15" customHeight="1">
      <c r="A269" t="inlineStr">
        <is>
          <t>A 28380-2020</t>
        </is>
      </c>
      <c r="B269" s="1" t="n">
        <v>43998</v>
      </c>
      <c r="C269" s="1" t="n">
        <v>45208</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HYPERLINK("https://klasma.github.io/Logging_NORRTALJE/artfynd/A 28380-2020.xlsx", "A 28380-2020")</f>
        <v/>
      </c>
      <c r="T269">
        <f>HYPERLINK("https://klasma.github.io/Logging_NORRTALJE/kartor/A 28380-2020.png", "A 28380-2020")</f>
        <v/>
      </c>
      <c r="V269">
        <f>HYPERLINK("https://klasma.github.io/Logging_NORRTALJE/klagomål/A 28380-2020.docx", "A 28380-2020")</f>
        <v/>
      </c>
      <c r="W269">
        <f>HYPERLINK("https://klasma.github.io/Logging_NORRTALJE/klagomålsmail/A 28380-2020.docx", "A 28380-2020")</f>
        <v/>
      </c>
      <c r="X269">
        <f>HYPERLINK("https://klasma.github.io/Logging_NORRTALJE/tillsyn/A 28380-2020.docx", "A 28380-2020")</f>
        <v/>
      </c>
      <c r="Y269">
        <f>HYPERLINK("https://klasma.github.io/Logging_NORRTALJE/tillsynsmail/A 28380-2020.docx", "A 28380-2020")</f>
        <v/>
      </c>
    </row>
    <row r="270" ht="15" customHeight="1">
      <c r="A270" t="inlineStr">
        <is>
          <t>A 32525-2020</t>
        </is>
      </c>
      <c r="B270" s="1" t="n">
        <v>44018</v>
      </c>
      <c r="C270" s="1" t="n">
        <v>45208</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HYPERLINK("https://klasma.github.io/Logging_HANINGE/artfynd/A 32525-2020.xlsx", "A 32525-2020")</f>
        <v/>
      </c>
      <c r="T270">
        <f>HYPERLINK("https://klasma.github.io/Logging_HANINGE/kartor/A 32525-2020.png", "A 32525-2020")</f>
        <v/>
      </c>
      <c r="V270">
        <f>HYPERLINK("https://klasma.github.io/Logging_HANINGE/klagomål/A 32525-2020.docx", "A 32525-2020")</f>
        <v/>
      </c>
      <c r="W270">
        <f>HYPERLINK("https://klasma.github.io/Logging_HANINGE/klagomålsmail/A 32525-2020.docx", "A 32525-2020")</f>
        <v/>
      </c>
      <c r="X270">
        <f>HYPERLINK("https://klasma.github.io/Logging_HANINGE/tillsyn/A 32525-2020.docx", "A 32525-2020")</f>
        <v/>
      </c>
      <c r="Y270">
        <f>HYPERLINK("https://klasma.github.io/Logging_HANINGE/tillsynsmail/A 32525-2020.docx", "A 32525-2020")</f>
        <v/>
      </c>
    </row>
    <row r="271" ht="15" customHeight="1">
      <c r="A271" t="inlineStr">
        <is>
          <t>A 34971-2020</t>
        </is>
      </c>
      <c r="B271" s="1" t="n">
        <v>44039</v>
      </c>
      <c r="C271" s="1" t="n">
        <v>45208</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HYPERLINK("https://klasma.github.io/Logging_BOTKYRKA/artfynd/A 34971-2020.xlsx", "A 34971-2020")</f>
        <v/>
      </c>
      <c r="T271">
        <f>HYPERLINK("https://klasma.github.io/Logging_BOTKYRKA/kartor/A 34971-2020.png", "A 34971-2020")</f>
        <v/>
      </c>
      <c r="V271">
        <f>HYPERLINK("https://klasma.github.io/Logging_BOTKYRKA/klagomål/A 34971-2020.docx", "A 34971-2020")</f>
        <v/>
      </c>
      <c r="W271">
        <f>HYPERLINK("https://klasma.github.io/Logging_BOTKYRKA/klagomålsmail/A 34971-2020.docx", "A 34971-2020")</f>
        <v/>
      </c>
      <c r="X271">
        <f>HYPERLINK("https://klasma.github.io/Logging_BOTKYRKA/tillsyn/A 34971-2020.docx", "A 34971-2020")</f>
        <v/>
      </c>
      <c r="Y271">
        <f>HYPERLINK("https://klasma.github.io/Logging_BOTKYRKA/tillsynsmail/A 34971-2020.docx", "A 34971-2020")</f>
        <v/>
      </c>
    </row>
    <row r="272" ht="15" customHeight="1">
      <c r="A272" t="inlineStr">
        <is>
          <t>A 41774-2020</t>
        </is>
      </c>
      <c r="B272" s="1" t="n">
        <v>44074</v>
      </c>
      <c r="C272" s="1" t="n">
        <v>45208</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HYPERLINK("https://klasma.github.io/Logging_SALEM/artfynd/A 41774-2020.xlsx", "A 41774-2020")</f>
        <v/>
      </c>
      <c r="T272">
        <f>HYPERLINK("https://klasma.github.io/Logging_SALEM/kartor/A 41774-2020.png", "A 41774-2020")</f>
        <v/>
      </c>
      <c r="V272">
        <f>HYPERLINK("https://klasma.github.io/Logging_SALEM/klagomål/A 41774-2020.docx", "A 41774-2020")</f>
        <v/>
      </c>
      <c r="W272">
        <f>HYPERLINK("https://klasma.github.io/Logging_SALEM/klagomålsmail/A 41774-2020.docx", "A 41774-2020")</f>
        <v/>
      </c>
      <c r="X272">
        <f>HYPERLINK("https://klasma.github.io/Logging_SALEM/tillsyn/A 41774-2020.docx", "A 41774-2020")</f>
        <v/>
      </c>
      <c r="Y272">
        <f>HYPERLINK("https://klasma.github.io/Logging_SALEM/tillsynsmail/A 41774-2020.docx", "A 41774-2020")</f>
        <v/>
      </c>
    </row>
    <row r="273" ht="15" customHeight="1">
      <c r="A273" t="inlineStr">
        <is>
          <t>A 47329-2020</t>
        </is>
      </c>
      <c r="B273" s="1" t="n">
        <v>44097</v>
      </c>
      <c r="C273" s="1" t="n">
        <v>45208</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HYPERLINK("https://klasma.github.io/Logging_UPPLANDS-BRO/artfynd/A 47329-2020.xlsx", "A 47329-2020")</f>
        <v/>
      </c>
      <c r="T273">
        <f>HYPERLINK("https://klasma.github.io/Logging_UPPLANDS-BRO/kartor/A 47329-2020.png", "A 47329-2020")</f>
        <v/>
      </c>
      <c r="V273">
        <f>HYPERLINK("https://klasma.github.io/Logging_UPPLANDS-BRO/klagomål/A 47329-2020.docx", "A 47329-2020")</f>
        <v/>
      </c>
      <c r="W273">
        <f>HYPERLINK("https://klasma.github.io/Logging_UPPLANDS-BRO/klagomålsmail/A 47329-2020.docx", "A 47329-2020")</f>
        <v/>
      </c>
      <c r="X273">
        <f>HYPERLINK("https://klasma.github.io/Logging_UPPLANDS-BRO/tillsyn/A 47329-2020.docx", "A 47329-2020")</f>
        <v/>
      </c>
      <c r="Y273">
        <f>HYPERLINK("https://klasma.github.io/Logging_UPPLANDS-BRO/tillsynsmail/A 47329-2020.docx", "A 47329-2020")</f>
        <v/>
      </c>
    </row>
    <row r="274" ht="15" customHeight="1">
      <c r="A274" t="inlineStr">
        <is>
          <t>A 48288-2020</t>
        </is>
      </c>
      <c r="B274" s="1" t="n">
        <v>44102</v>
      </c>
      <c r="C274" s="1" t="n">
        <v>45208</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HYPERLINK("https://klasma.github.io/Logging_NORRTALJE/artfynd/A 48288-2020.xlsx", "A 48288-2020")</f>
        <v/>
      </c>
      <c r="T274">
        <f>HYPERLINK("https://klasma.github.io/Logging_NORRTALJE/kartor/A 48288-2020.png", "A 48288-2020")</f>
        <v/>
      </c>
      <c r="V274">
        <f>HYPERLINK("https://klasma.github.io/Logging_NORRTALJE/klagomål/A 48288-2020.docx", "A 48288-2020")</f>
        <v/>
      </c>
      <c r="W274">
        <f>HYPERLINK("https://klasma.github.io/Logging_NORRTALJE/klagomålsmail/A 48288-2020.docx", "A 48288-2020")</f>
        <v/>
      </c>
      <c r="X274">
        <f>HYPERLINK("https://klasma.github.io/Logging_NORRTALJE/tillsyn/A 48288-2020.docx", "A 48288-2020")</f>
        <v/>
      </c>
      <c r="Y274">
        <f>HYPERLINK("https://klasma.github.io/Logging_NORRTALJE/tillsynsmail/A 48288-2020.docx", "A 48288-2020")</f>
        <v/>
      </c>
    </row>
    <row r="275" ht="15" customHeight="1">
      <c r="A275" t="inlineStr">
        <is>
          <t>A 62846-2020</t>
        </is>
      </c>
      <c r="B275" s="1" t="n">
        <v>44161</v>
      </c>
      <c r="C275" s="1" t="n">
        <v>45208</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HYPERLINK("https://klasma.github.io/Logging_NORRTALJE/artfynd/A 62846-2020.xlsx", "A 62846-2020")</f>
        <v/>
      </c>
      <c r="T275">
        <f>HYPERLINK("https://klasma.github.io/Logging_NORRTALJE/kartor/A 62846-2020.png", "A 62846-2020")</f>
        <v/>
      </c>
      <c r="V275">
        <f>HYPERLINK("https://klasma.github.io/Logging_NORRTALJE/klagomål/A 62846-2020.docx", "A 62846-2020")</f>
        <v/>
      </c>
      <c r="W275">
        <f>HYPERLINK("https://klasma.github.io/Logging_NORRTALJE/klagomålsmail/A 62846-2020.docx", "A 62846-2020")</f>
        <v/>
      </c>
      <c r="X275">
        <f>HYPERLINK("https://klasma.github.io/Logging_NORRTALJE/tillsyn/A 62846-2020.docx", "A 62846-2020")</f>
        <v/>
      </c>
      <c r="Y275">
        <f>HYPERLINK("https://klasma.github.io/Logging_NORRTALJE/tillsynsmail/A 62846-2020.docx", "A 62846-2020")</f>
        <v/>
      </c>
    </row>
    <row r="276" ht="15" customHeight="1">
      <c r="A276" t="inlineStr">
        <is>
          <t>A 1162-2021</t>
        </is>
      </c>
      <c r="B276" s="1" t="n">
        <v>44207</v>
      </c>
      <c r="C276" s="1" t="n">
        <v>45208</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HYPERLINK("https://klasma.github.io/Logging_NORRTALJE/artfynd/A 1162-2021.xlsx", "A 1162-2021")</f>
        <v/>
      </c>
      <c r="T276">
        <f>HYPERLINK("https://klasma.github.io/Logging_NORRTALJE/kartor/A 1162-2021.png", "A 1162-2021")</f>
        <v/>
      </c>
      <c r="V276">
        <f>HYPERLINK("https://klasma.github.io/Logging_NORRTALJE/klagomål/A 1162-2021.docx", "A 1162-2021")</f>
        <v/>
      </c>
      <c r="W276">
        <f>HYPERLINK("https://klasma.github.io/Logging_NORRTALJE/klagomålsmail/A 1162-2021.docx", "A 1162-2021")</f>
        <v/>
      </c>
      <c r="X276">
        <f>HYPERLINK("https://klasma.github.io/Logging_NORRTALJE/tillsyn/A 1162-2021.docx", "A 1162-2021")</f>
        <v/>
      </c>
      <c r="Y276">
        <f>HYPERLINK("https://klasma.github.io/Logging_NORRTALJE/tillsynsmail/A 1162-2021.docx", "A 1162-2021")</f>
        <v/>
      </c>
    </row>
    <row r="277" ht="15" customHeight="1">
      <c r="A277" t="inlineStr">
        <is>
          <t>A 1424-2021</t>
        </is>
      </c>
      <c r="B277" s="1" t="n">
        <v>44208</v>
      </c>
      <c r="C277" s="1" t="n">
        <v>45208</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HYPERLINK("https://klasma.github.io/Logging_HANINGE/artfynd/A 1424-2021.xlsx", "A 1424-2021")</f>
        <v/>
      </c>
      <c r="T277">
        <f>HYPERLINK("https://klasma.github.io/Logging_HANINGE/kartor/A 1424-2021.png", "A 1424-2021")</f>
        <v/>
      </c>
      <c r="U277">
        <f>HYPERLINK("https://klasma.github.io/Logging_HANINGE/knärot/A 1424-2021.png", "A 1424-2021")</f>
        <v/>
      </c>
      <c r="V277">
        <f>HYPERLINK("https://klasma.github.io/Logging_HANINGE/klagomål/A 1424-2021.docx", "A 1424-2021")</f>
        <v/>
      </c>
      <c r="W277">
        <f>HYPERLINK("https://klasma.github.io/Logging_HANINGE/klagomålsmail/A 1424-2021.docx", "A 1424-2021")</f>
        <v/>
      </c>
      <c r="X277">
        <f>HYPERLINK("https://klasma.github.io/Logging_HANINGE/tillsyn/A 1424-2021.docx", "A 1424-2021")</f>
        <v/>
      </c>
      <c r="Y277">
        <f>HYPERLINK("https://klasma.github.io/Logging_HANINGE/tillsynsmail/A 1424-2021.docx", "A 1424-2021")</f>
        <v/>
      </c>
    </row>
    <row r="278" ht="15" customHeight="1">
      <c r="A278" t="inlineStr">
        <is>
          <t>A 12989-2021</t>
        </is>
      </c>
      <c r="B278" s="1" t="n">
        <v>44271</v>
      </c>
      <c r="C278" s="1" t="n">
        <v>45208</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HYPERLINK("https://klasma.github.io/Logging_NYNASHAMN/artfynd/A 12989-2021.xlsx", "A 12989-2021")</f>
        <v/>
      </c>
      <c r="T278">
        <f>HYPERLINK("https://klasma.github.io/Logging_NYNASHAMN/kartor/A 12989-2021.png", "A 12989-2021")</f>
        <v/>
      </c>
      <c r="V278">
        <f>HYPERLINK("https://klasma.github.io/Logging_NYNASHAMN/klagomål/A 12989-2021.docx", "A 12989-2021")</f>
        <v/>
      </c>
      <c r="W278">
        <f>HYPERLINK("https://klasma.github.io/Logging_NYNASHAMN/klagomålsmail/A 12989-2021.docx", "A 12989-2021")</f>
        <v/>
      </c>
      <c r="X278">
        <f>HYPERLINK("https://klasma.github.io/Logging_NYNASHAMN/tillsyn/A 12989-2021.docx", "A 12989-2021")</f>
        <v/>
      </c>
      <c r="Y278">
        <f>HYPERLINK("https://klasma.github.io/Logging_NYNASHAMN/tillsynsmail/A 12989-2021.docx", "A 12989-2021")</f>
        <v/>
      </c>
    </row>
    <row r="279" ht="15" customHeight="1">
      <c r="A279" t="inlineStr">
        <is>
          <t>A 13942-2021</t>
        </is>
      </c>
      <c r="B279" s="1" t="n">
        <v>44277</v>
      </c>
      <c r="C279" s="1" t="n">
        <v>45208</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HYPERLINK("https://klasma.github.io/Logging_OSTERAKER/artfynd/A 13942-2021.xlsx", "A 13942-2021")</f>
        <v/>
      </c>
      <c r="T279">
        <f>HYPERLINK("https://klasma.github.io/Logging_OSTERAKER/kartor/A 13942-2021.png", "A 13942-2021")</f>
        <v/>
      </c>
      <c r="V279">
        <f>HYPERLINK("https://klasma.github.io/Logging_OSTERAKER/klagomål/A 13942-2021.docx", "A 13942-2021")</f>
        <v/>
      </c>
      <c r="W279">
        <f>HYPERLINK("https://klasma.github.io/Logging_OSTERAKER/klagomålsmail/A 13942-2021.docx", "A 13942-2021")</f>
        <v/>
      </c>
      <c r="X279">
        <f>HYPERLINK("https://klasma.github.io/Logging_OSTERAKER/tillsyn/A 13942-2021.docx", "A 13942-2021")</f>
        <v/>
      </c>
      <c r="Y279">
        <f>HYPERLINK("https://klasma.github.io/Logging_OSTERAKER/tillsynsmail/A 13942-2021.docx", "A 13942-2021")</f>
        <v/>
      </c>
    </row>
    <row r="280" ht="15" customHeight="1">
      <c r="A280" t="inlineStr">
        <is>
          <t>A 16461-2021</t>
        </is>
      </c>
      <c r="B280" s="1" t="n">
        <v>44293</v>
      </c>
      <c r="C280" s="1" t="n">
        <v>45208</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HYPERLINK("https://klasma.github.io/Logging_SIGTUNA/artfynd/A 16461-2021.xlsx", "A 16461-2021")</f>
        <v/>
      </c>
      <c r="T280">
        <f>HYPERLINK("https://klasma.github.io/Logging_SIGTUNA/kartor/A 16461-2021.png", "A 16461-2021")</f>
        <v/>
      </c>
      <c r="V280">
        <f>HYPERLINK("https://klasma.github.io/Logging_SIGTUNA/klagomål/A 16461-2021.docx", "A 16461-2021")</f>
        <v/>
      </c>
      <c r="W280">
        <f>HYPERLINK("https://klasma.github.io/Logging_SIGTUNA/klagomålsmail/A 16461-2021.docx", "A 16461-2021")</f>
        <v/>
      </c>
      <c r="X280">
        <f>HYPERLINK("https://klasma.github.io/Logging_SIGTUNA/tillsyn/A 16461-2021.docx", "A 16461-2021")</f>
        <v/>
      </c>
      <c r="Y280">
        <f>HYPERLINK("https://klasma.github.io/Logging_SIGTUNA/tillsynsmail/A 16461-2021.docx", "A 16461-2021")</f>
        <v/>
      </c>
    </row>
    <row r="281" ht="15" customHeight="1">
      <c r="A281" t="inlineStr">
        <is>
          <t>A 27757-2021</t>
        </is>
      </c>
      <c r="B281" s="1" t="n">
        <v>44354</v>
      </c>
      <c r="C281" s="1" t="n">
        <v>45208</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HYPERLINK("https://klasma.github.io/Logging_SODERTALJE/artfynd/A 27757-2021.xlsx", "A 27757-2021")</f>
        <v/>
      </c>
      <c r="T281">
        <f>HYPERLINK("https://klasma.github.io/Logging_SODERTALJE/kartor/A 27757-2021.png", "A 27757-2021")</f>
        <v/>
      </c>
      <c r="V281">
        <f>HYPERLINK("https://klasma.github.io/Logging_SODERTALJE/klagomål/A 27757-2021.docx", "A 27757-2021")</f>
        <v/>
      </c>
      <c r="W281">
        <f>HYPERLINK("https://klasma.github.io/Logging_SODERTALJE/klagomålsmail/A 27757-2021.docx", "A 27757-2021")</f>
        <v/>
      </c>
      <c r="X281">
        <f>HYPERLINK("https://klasma.github.io/Logging_SODERTALJE/tillsyn/A 27757-2021.docx", "A 27757-2021")</f>
        <v/>
      </c>
      <c r="Y281">
        <f>HYPERLINK("https://klasma.github.io/Logging_SODERTALJE/tillsynsmail/A 27757-2021.docx", "A 27757-2021")</f>
        <v/>
      </c>
    </row>
    <row r="282" ht="15" customHeight="1">
      <c r="A282" t="inlineStr">
        <is>
          <t>A 31980-2021</t>
        </is>
      </c>
      <c r="B282" s="1" t="n">
        <v>44370</v>
      </c>
      <c r="C282" s="1" t="n">
        <v>45208</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HYPERLINK("https://klasma.github.io/Logging_NYNASHAMN/artfynd/A 31980-2021.xlsx", "A 31980-2021")</f>
        <v/>
      </c>
      <c r="T282">
        <f>HYPERLINK("https://klasma.github.io/Logging_NYNASHAMN/kartor/A 31980-2021.png", "A 31980-2021")</f>
        <v/>
      </c>
      <c r="V282">
        <f>HYPERLINK("https://klasma.github.io/Logging_NYNASHAMN/klagomål/A 31980-2021.docx", "A 31980-2021")</f>
        <v/>
      </c>
      <c r="W282">
        <f>HYPERLINK("https://klasma.github.io/Logging_NYNASHAMN/klagomålsmail/A 31980-2021.docx", "A 31980-2021")</f>
        <v/>
      </c>
      <c r="X282">
        <f>HYPERLINK("https://klasma.github.io/Logging_NYNASHAMN/tillsyn/A 31980-2021.docx", "A 31980-2021")</f>
        <v/>
      </c>
      <c r="Y282">
        <f>HYPERLINK("https://klasma.github.io/Logging_NYNASHAMN/tillsynsmail/A 31980-2021.docx", "A 31980-2021")</f>
        <v/>
      </c>
    </row>
    <row r="283" ht="15" customHeight="1">
      <c r="A283" t="inlineStr">
        <is>
          <t>A 33302-2021</t>
        </is>
      </c>
      <c r="B283" s="1" t="n">
        <v>44377</v>
      </c>
      <c r="C283" s="1" t="n">
        <v>45208</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HYPERLINK("https://klasma.github.io/Logging_NORRTALJE/artfynd/A 33302-2021.xlsx", "A 33302-2021")</f>
        <v/>
      </c>
      <c r="T283">
        <f>HYPERLINK("https://klasma.github.io/Logging_NORRTALJE/kartor/A 33302-2021.png", "A 33302-2021")</f>
        <v/>
      </c>
      <c r="V283">
        <f>HYPERLINK("https://klasma.github.io/Logging_NORRTALJE/klagomål/A 33302-2021.docx", "A 33302-2021")</f>
        <v/>
      </c>
      <c r="W283">
        <f>HYPERLINK("https://klasma.github.io/Logging_NORRTALJE/klagomålsmail/A 33302-2021.docx", "A 33302-2021")</f>
        <v/>
      </c>
      <c r="X283">
        <f>HYPERLINK("https://klasma.github.io/Logging_NORRTALJE/tillsyn/A 33302-2021.docx", "A 33302-2021")</f>
        <v/>
      </c>
      <c r="Y283">
        <f>HYPERLINK("https://klasma.github.io/Logging_NORRTALJE/tillsynsmail/A 33302-2021.docx", "A 33302-2021")</f>
        <v/>
      </c>
    </row>
    <row r="284" ht="15" customHeight="1">
      <c r="A284" t="inlineStr">
        <is>
          <t>A 37100-2021</t>
        </is>
      </c>
      <c r="B284" s="1" t="n">
        <v>44396</v>
      </c>
      <c r="C284" s="1" t="n">
        <v>45208</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HYPERLINK("https://klasma.github.io/Logging_NYNASHAMN/artfynd/A 37100-2021.xlsx", "A 37100-2021")</f>
        <v/>
      </c>
      <c r="T284">
        <f>HYPERLINK("https://klasma.github.io/Logging_NYNASHAMN/kartor/A 37100-2021.png", "A 37100-2021")</f>
        <v/>
      </c>
      <c r="V284">
        <f>HYPERLINK("https://klasma.github.io/Logging_NYNASHAMN/klagomål/A 37100-2021.docx", "A 37100-2021")</f>
        <v/>
      </c>
      <c r="W284">
        <f>HYPERLINK("https://klasma.github.io/Logging_NYNASHAMN/klagomålsmail/A 37100-2021.docx", "A 37100-2021")</f>
        <v/>
      </c>
      <c r="X284">
        <f>HYPERLINK("https://klasma.github.io/Logging_NYNASHAMN/tillsyn/A 37100-2021.docx", "A 37100-2021")</f>
        <v/>
      </c>
      <c r="Y284">
        <f>HYPERLINK("https://klasma.github.io/Logging_NYNASHAMN/tillsynsmail/A 37100-2021.docx", "A 37100-2021")</f>
        <v/>
      </c>
    </row>
    <row r="285" ht="15" customHeight="1">
      <c r="A285" t="inlineStr">
        <is>
          <t>A 37678-2021</t>
        </is>
      </c>
      <c r="B285" s="1" t="n">
        <v>44400</v>
      </c>
      <c r="C285" s="1" t="n">
        <v>45208</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HYPERLINK("https://klasma.github.io/Logging_SODERTALJE/artfynd/A 37678-2021.xlsx", "A 37678-2021")</f>
        <v/>
      </c>
      <c r="T285">
        <f>HYPERLINK("https://klasma.github.io/Logging_SODERTALJE/kartor/A 37678-2021.png", "A 37678-2021")</f>
        <v/>
      </c>
      <c r="V285">
        <f>HYPERLINK("https://klasma.github.io/Logging_SODERTALJE/klagomål/A 37678-2021.docx", "A 37678-2021")</f>
        <v/>
      </c>
      <c r="W285">
        <f>HYPERLINK("https://klasma.github.io/Logging_SODERTALJE/klagomålsmail/A 37678-2021.docx", "A 37678-2021")</f>
        <v/>
      </c>
      <c r="X285">
        <f>HYPERLINK("https://klasma.github.io/Logging_SODERTALJE/tillsyn/A 37678-2021.docx", "A 37678-2021")</f>
        <v/>
      </c>
      <c r="Y285">
        <f>HYPERLINK("https://klasma.github.io/Logging_SODERTALJE/tillsynsmail/A 37678-2021.docx", "A 37678-2021")</f>
        <v/>
      </c>
    </row>
    <row r="286" ht="15" customHeight="1">
      <c r="A286" t="inlineStr">
        <is>
          <t>A 41934-2021</t>
        </is>
      </c>
      <c r="B286" s="1" t="n">
        <v>44425</v>
      </c>
      <c r="C286" s="1" t="n">
        <v>45208</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HYPERLINK("https://klasma.github.io/Logging_VALLENTUNA/artfynd/A 41934-2021.xlsx", "A 41934-2021")</f>
        <v/>
      </c>
      <c r="T286">
        <f>HYPERLINK("https://klasma.github.io/Logging_VALLENTUNA/kartor/A 41934-2021.png", "A 41934-2021")</f>
        <v/>
      </c>
      <c r="V286">
        <f>HYPERLINK("https://klasma.github.io/Logging_VALLENTUNA/klagomål/A 41934-2021.docx", "A 41934-2021")</f>
        <v/>
      </c>
      <c r="W286">
        <f>HYPERLINK("https://klasma.github.io/Logging_VALLENTUNA/klagomålsmail/A 41934-2021.docx", "A 41934-2021")</f>
        <v/>
      </c>
      <c r="X286">
        <f>HYPERLINK("https://klasma.github.io/Logging_VALLENTUNA/tillsyn/A 41934-2021.docx", "A 41934-2021")</f>
        <v/>
      </c>
      <c r="Y286">
        <f>HYPERLINK("https://klasma.github.io/Logging_VALLENTUNA/tillsynsmail/A 41934-2021.docx", "A 41934-2021")</f>
        <v/>
      </c>
    </row>
    <row r="287" ht="15" customHeight="1">
      <c r="A287" t="inlineStr">
        <is>
          <t>A 42050-2021</t>
        </is>
      </c>
      <c r="B287" s="1" t="n">
        <v>44426</v>
      </c>
      <c r="C287" s="1" t="n">
        <v>45208</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HYPERLINK("https://klasma.github.io/Logging_NYNASHAMN/artfynd/A 42050-2021.xlsx", "A 42050-2021")</f>
        <v/>
      </c>
      <c r="T287">
        <f>HYPERLINK("https://klasma.github.io/Logging_NYNASHAMN/kartor/A 42050-2021.png", "A 42050-2021")</f>
        <v/>
      </c>
      <c r="V287">
        <f>HYPERLINK("https://klasma.github.io/Logging_NYNASHAMN/klagomål/A 42050-2021.docx", "A 42050-2021")</f>
        <v/>
      </c>
      <c r="W287">
        <f>HYPERLINK("https://klasma.github.io/Logging_NYNASHAMN/klagomålsmail/A 42050-2021.docx", "A 42050-2021")</f>
        <v/>
      </c>
      <c r="X287">
        <f>HYPERLINK("https://klasma.github.io/Logging_NYNASHAMN/tillsyn/A 42050-2021.docx", "A 42050-2021")</f>
        <v/>
      </c>
      <c r="Y287">
        <f>HYPERLINK("https://klasma.github.io/Logging_NYNASHAMN/tillsynsmail/A 42050-2021.docx", "A 42050-2021")</f>
        <v/>
      </c>
    </row>
    <row r="288" ht="15" customHeight="1">
      <c r="A288" t="inlineStr">
        <is>
          <t>A 55263-2021</t>
        </is>
      </c>
      <c r="B288" s="1" t="n">
        <v>44475</v>
      </c>
      <c r="C288" s="1" t="n">
        <v>45208</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HYPERLINK("https://klasma.github.io/Logging_SODERTALJE/artfynd/A 55263-2021.xlsx", "A 55263-2021")</f>
        <v/>
      </c>
      <c r="T288">
        <f>HYPERLINK("https://klasma.github.io/Logging_SODERTALJE/kartor/A 55263-2021.png", "A 55263-2021")</f>
        <v/>
      </c>
      <c r="V288">
        <f>HYPERLINK("https://klasma.github.io/Logging_SODERTALJE/klagomål/A 55263-2021.docx", "A 55263-2021")</f>
        <v/>
      </c>
      <c r="W288">
        <f>HYPERLINK("https://klasma.github.io/Logging_SODERTALJE/klagomålsmail/A 55263-2021.docx", "A 55263-2021")</f>
        <v/>
      </c>
      <c r="X288">
        <f>HYPERLINK("https://klasma.github.io/Logging_SODERTALJE/tillsyn/A 55263-2021.docx", "A 55263-2021")</f>
        <v/>
      </c>
      <c r="Y288">
        <f>HYPERLINK("https://klasma.github.io/Logging_SODERTALJE/tillsynsmail/A 55263-2021.docx", "A 55263-2021")</f>
        <v/>
      </c>
    </row>
    <row r="289" ht="15" customHeight="1">
      <c r="A289" t="inlineStr">
        <is>
          <t>A 58888-2021</t>
        </is>
      </c>
      <c r="B289" s="1" t="n">
        <v>44489</v>
      </c>
      <c r="C289" s="1" t="n">
        <v>45208</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58888-2021.xlsx", "A 58888-2021")</f>
        <v/>
      </c>
      <c r="T289">
        <f>HYPERLINK("https://klasma.github.io/Logging_NORRTALJE/kartor/A 58888-2021.png", "A 58888-2021")</f>
        <v/>
      </c>
      <c r="V289">
        <f>HYPERLINK("https://klasma.github.io/Logging_NORRTALJE/klagomål/A 58888-2021.docx", "A 58888-2021")</f>
        <v/>
      </c>
      <c r="W289">
        <f>HYPERLINK("https://klasma.github.io/Logging_NORRTALJE/klagomålsmail/A 58888-2021.docx", "A 58888-2021")</f>
        <v/>
      </c>
      <c r="X289">
        <f>HYPERLINK("https://klasma.github.io/Logging_NORRTALJE/tillsyn/A 58888-2021.docx", "A 58888-2021")</f>
        <v/>
      </c>
      <c r="Y289">
        <f>HYPERLINK("https://klasma.github.io/Logging_NORRTALJE/tillsynsmail/A 58888-2021.docx", "A 58888-2021")</f>
        <v/>
      </c>
    </row>
    <row r="290" ht="15" customHeight="1">
      <c r="A290" t="inlineStr">
        <is>
          <t>A 67278-2021</t>
        </is>
      </c>
      <c r="B290" s="1" t="n">
        <v>44523</v>
      </c>
      <c r="C290" s="1" t="n">
        <v>45208</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HYPERLINK("https://klasma.github.io/Logging_OSTERAKER/artfynd/A 67278-2021.xlsx", "A 67278-2021")</f>
        <v/>
      </c>
      <c r="T290">
        <f>HYPERLINK("https://klasma.github.io/Logging_OSTERAKER/kartor/A 67278-2021.png", "A 67278-2021")</f>
        <v/>
      </c>
      <c r="V290">
        <f>HYPERLINK("https://klasma.github.io/Logging_OSTERAKER/klagomål/A 67278-2021.docx", "A 67278-2021")</f>
        <v/>
      </c>
      <c r="W290">
        <f>HYPERLINK("https://klasma.github.io/Logging_OSTERAKER/klagomålsmail/A 67278-2021.docx", "A 67278-2021")</f>
        <v/>
      </c>
      <c r="X290">
        <f>HYPERLINK("https://klasma.github.io/Logging_OSTERAKER/tillsyn/A 67278-2021.docx", "A 67278-2021")</f>
        <v/>
      </c>
      <c r="Y290">
        <f>HYPERLINK("https://klasma.github.io/Logging_OSTERAKER/tillsynsmail/A 67278-2021.docx", "A 67278-2021")</f>
        <v/>
      </c>
    </row>
    <row r="291" ht="15" customHeight="1">
      <c r="A291" t="inlineStr">
        <is>
          <t>A 68883-2021</t>
        </is>
      </c>
      <c r="B291" s="1" t="n">
        <v>44526</v>
      </c>
      <c r="C291" s="1" t="n">
        <v>45208</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HYPERLINK("https://klasma.github.io/Logging_HANINGE/artfynd/A 68883-2021.xlsx", "A 68883-2021")</f>
        <v/>
      </c>
      <c r="T291">
        <f>HYPERLINK("https://klasma.github.io/Logging_HANINGE/kartor/A 68883-2021.png", "A 68883-2021")</f>
        <v/>
      </c>
      <c r="V291">
        <f>HYPERLINK("https://klasma.github.io/Logging_HANINGE/klagomål/A 68883-2021.docx", "A 68883-2021")</f>
        <v/>
      </c>
      <c r="W291">
        <f>HYPERLINK("https://klasma.github.io/Logging_HANINGE/klagomålsmail/A 68883-2021.docx", "A 68883-2021")</f>
        <v/>
      </c>
      <c r="X291">
        <f>HYPERLINK("https://klasma.github.io/Logging_HANINGE/tillsyn/A 68883-2021.docx", "A 68883-2021")</f>
        <v/>
      </c>
      <c r="Y291">
        <f>HYPERLINK("https://klasma.github.io/Logging_HANINGE/tillsynsmail/A 68883-2021.docx", "A 68883-2021")</f>
        <v/>
      </c>
    </row>
    <row r="292" ht="15" customHeight="1">
      <c r="A292" t="inlineStr">
        <is>
          <t>A 68692-2021</t>
        </is>
      </c>
      <c r="B292" s="1" t="n">
        <v>44529</v>
      </c>
      <c r="C292" s="1" t="n">
        <v>45208</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HYPERLINK("https://klasma.github.io/Logging_NORRTALJE/artfynd/A 68692-2021.xlsx", "A 68692-2021")</f>
        <v/>
      </c>
      <c r="T292">
        <f>HYPERLINK("https://klasma.github.io/Logging_NORRTALJE/kartor/A 68692-2021.png", "A 68692-2021")</f>
        <v/>
      </c>
      <c r="V292">
        <f>HYPERLINK("https://klasma.github.io/Logging_NORRTALJE/klagomål/A 68692-2021.docx", "A 68692-2021")</f>
        <v/>
      </c>
      <c r="W292">
        <f>HYPERLINK("https://klasma.github.io/Logging_NORRTALJE/klagomålsmail/A 68692-2021.docx", "A 68692-2021")</f>
        <v/>
      </c>
      <c r="X292">
        <f>HYPERLINK("https://klasma.github.io/Logging_NORRTALJE/tillsyn/A 68692-2021.docx", "A 68692-2021")</f>
        <v/>
      </c>
      <c r="Y292">
        <f>HYPERLINK("https://klasma.github.io/Logging_NORRTALJE/tillsynsmail/A 68692-2021.docx", "A 68692-2021")</f>
        <v/>
      </c>
    </row>
    <row r="293" ht="15" customHeight="1">
      <c r="A293" t="inlineStr">
        <is>
          <t>A 71315-2021</t>
        </is>
      </c>
      <c r="B293" s="1" t="n">
        <v>44539</v>
      </c>
      <c r="C293" s="1" t="n">
        <v>45208</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HYPERLINK("https://klasma.github.io/Logging_VARMDO/artfynd/A 71315-2021.xlsx", "A 71315-2021")</f>
        <v/>
      </c>
      <c r="T293">
        <f>HYPERLINK("https://klasma.github.io/Logging_VARMDO/kartor/A 71315-2021.png", "A 71315-2021")</f>
        <v/>
      </c>
      <c r="V293">
        <f>HYPERLINK("https://klasma.github.io/Logging_VARMDO/klagomål/A 71315-2021.docx", "A 71315-2021")</f>
        <v/>
      </c>
      <c r="W293">
        <f>HYPERLINK("https://klasma.github.io/Logging_VARMDO/klagomålsmail/A 71315-2021.docx", "A 71315-2021")</f>
        <v/>
      </c>
      <c r="X293">
        <f>HYPERLINK("https://klasma.github.io/Logging_VARMDO/tillsyn/A 71315-2021.docx", "A 71315-2021")</f>
        <v/>
      </c>
      <c r="Y293">
        <f>HYPERLINK("https://klasma.github.io/Logging_VARMDO/tillsynsmail/A 71315-2021.docx", "A 71315-2021")</f>
        <v/>
      </c>
    </row>
    <row r="294" ht="15" customHeight="1">
      <c r="A294" t="inlineStr">
        <is>
          <t>A 73773-2021</t>
        </is>
      </c>
      <c r="B294" s="1" t="n">
        <v>44552</v>
      </c>
      <c r="C294" s="1" t="n">
        <v>45208</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HYPERLINK("https://klasma.github.io/Logging_UPPLANDS-BRO/artfynd/A 73773-2021.xlsx", "A 73773-2021")</f>
        <v/>
      </c>
      <c r="T294">
        <f>HYPERLINK("https://klasma.github.io/Logging_UPPLANDS-BRO/kartor/A 73773-2021.png", "A 73773-2021")</f>
        <v/>
      </c>
      <c r="V294">
        <f>HYPERLINK("https://klasma.github.io/Logging_UPPLANDS-BRO/klagomål/A 73773-2021.docx", "A 73773-2021")</f>
        <v/>
      </c>
      <c r="W294">
        <f>HYPERLINK("https://klasma.github.io/Logging_UPPLANDS-BRO/klagomålsmail/A 73773-2021.docx", "A 73773-2021")</f>
        <v/>
      </c>
      <c r="X294">
        <f>HYPERLINK("https://klasma.github.io/Logging_UPPLANDS-BRO/tillsyn/A 73773-2021.docx", "A 73773-2021")</f>
        <v/>
      </c>
      <c r="Y294">
        <f>HYPERLINK("https://klasma.github.io/Logging_UPPLANDS-BRO/tillsynsmail/A 73773-2021.docx", "A 73773-2021")</f>
        <v/>
      </c>
    </row>
    <row r="295" ht="15" customHeight="1">
      <c r="A295" t="inlineStr">
        <is>
          <t>A 73787-2021</t>
        </is>
      </c>
      <c r="B295" s="1" t="n">
        <v>44552</v>
      </c>
      <c r="C295" s="1" t="n">
        <v>45208</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HYPERLINK("https://klasma.github.io/Logging_UPPLANDS-BRO/artfynd/A 73787-2021.xlsx", "A 73787-2021")</f>
        <v/>
      </c>
      <c r="T295">
        <f>HYPERLINK("https://klasma.github.io/Logging_UPPLANDS-BRO/kartor/A 73787-2021.png", "A 73787-2021")</f>
        <v/>
      </c>
      <c r="V295">
        <f>HYPERLINK("https://klasma.github.io/Logging_UPPLANDS-BRO/klagomål/A 73787-2021.docx", "A 73787-2021")</f>
        <v/>
      </c>
      <c r="W295">
        <f>HYPERLINK("https://klasma.github.io/Logging_UPPLANDS-BRO/klagomålsmail/A 73787-2021.docx", "A 73787-2021")</f>
        <v/>
      </c>
      <c r="X295">
        <f>HYPERLINK("https://klasma.github.io/Logging_UPPLANDS-BRO/tillsyn/A 73787-2021.docx", "A 73787-2021")</f>
        <v/>
      </c>
      <c r="Y295">
        <f>HYPERLINK("https://klasma.github.io/Logging_UPPLANDS-BRO/tillsynsmail/A 73787-2021.docx", "A 73787-2021")</f>
        <v/>
      </c>
    </row>
    <row r="296" ht="15" customHeight="1">
      <c r="A296" t="inlineStr">
        <is>
          <t>A 131-2022</t>
        </is>
      </c>
      <c r="B296" s="1" t="n">
        <v>44560</v>
      </c>
      <c r="C296" s="1" t="n">
        <v>45208</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HYPERLINK("https://klasma.github.io/Logging_VALLENTUNA/artfynd/A 131-2022.xlsx", "A 131-2022")</f>
        <v/>
      </c>
      <c r="T296">
        <f>HYPERLINK("https://klasma.github.io/Logging_VALLENTUNA/kartor/A 131-2022.png", "A 131-2022")</f>
        <v/>
      </c>
      <c r="V296">
        <f>HYPERLINK("https://klasma.github.io/Logging_VALLENTUNA/klagomål/A 131-2022.docx", "A 131-2022")</f>
        <v/>
      </c>
      <c r="W296">
        <f>HYPERLINK("https://klasma.github.io/Logging_VALLENTUNA/klagomålsmail/A 131-2022.docx", "A 131-2022")</f>
        <v/>
      </c>
      <c r="X296">
        <f>HYPERLINK("https://klasma.github.io/Logging_VALLENTUNA/tillsyn/A 131-2022.docx", "A 131-2022")</f>
        <v/>
      </c>
      <c r="Y296">
        <f>HYPERLINK("https://klasma.github.io/Logging_VALLENTUNA/tillsynsmail/A 131-2022.docx", "A 131-2022")</f>
        <v/>
      </c>
    </row>
    <row r="297" ht="15" customHeight="1">
      <c r="A297" t="inlineStr">
        <is>
          <t>A 21-2022</t>
        </is>
      </c>
      <c r="B297" s="1" t="n">
        <v>44560</v>
      </c>
      <c r="C297" s="1" t="n">
        <v>45208</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HYPERLINK("https://klasma.github.io/Logging_VALLENTUNA/artfynd/A 21-2022.xlsx", "A 21-2022")</f>
        <v/>
      </c>
      <c r="T297">
        <f>HYPERLINK("https://klasma.github.io/Logging_VALLENTUNA/kartor/A 21-2022.png", "A 21-2022")</f>
        <v/>
      </c>
      <c r="V297">
        <f>HYPERLINK("https://klasma.github.io/Logging_VALLENTUNA/klagomål/A 21-2022.docx", "A 21-2022")</f>
        <v/>
      </c>
      <c r="W297">
        <f>HYPERLINK("https://klasma.github.io/Logging_VALLENTUNA/klagomålsmail/A 21-2022.docx", "A 21-2022")</f>
        <v/>
      </c>
      <c r="X297">
        <f>HYPERLINK("https://klasma.github.io/Logging_VALLENTUNA/tillsyn/A 21-2022.docx", "A 21-2022")</f>
        <v/>
      </c>
      <c r="Y297">
        <f>HYPERLINK("https://klasma.github.io/Logging_VALLENTUNA/tillsynsmail/A 21-2022.docx", "A 21-2022")</f>
        <v/>
      </c>
    </row>
    <row r="298" ht="15" customHeight="1">
      <c r="A298" t="inlineStr">
        <is>
          <t>A 1547-2022</t>
        </is>
      </c>
      <c r="B298" s="1" t="n">
        <v>44573</v>
      </c>
      <c r="C298" s="1" t="n">
        <v>45208</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HYPERLINK("https://klasma.github.io/Logging_NORRTALJE/artfynd/A 1547-2022.xlsx", "A 1547-2022")</f>
        <v/>
      </c>
      <c r="T298">
        <f>HYPERLINK("https://klasma.github.io/Logging_NORRTALJE/kartor/A 1547-2022.png", "A 1547-2022")</f>
        <v/>
      </c>
      <c r="V298">
        <f>HYPERLINK("https://klasma.github.io/Logging_NORRTALJE/klagomål/A 1547-2022.docx", "A 1547-2022")</f>
        <v/>
      </c>
      <c r="W298">
        <f>HYPERLINK("https://klasma.github.io/Logging_NORRTALJE/klagomålsmail/A 1547-2022.docx", "A 1547-2022")</f>
        <v/>
      </c>
      <c r="X298">
        <f>HYPERLINK("https://klasma.github.io/Logging_NORRTALJE/tillsyn/A 1547-2022.docx", "A 1547-2022")</f>
        <v/>
      </c>
      <c r="Y298">
        <f>HYPERLINK("https://klasma.github.io/Logging_NORRTALJE/tillsynsmail/A 1547-2022.docx", "A 1547-2022")</f>
        <v/>
      </c>
    </row>
    <row r="299" ht="15" customHeight="1">
      <c r="A299" t="inlineStr">
        <is>
          <t>A 1946-2022</t>
        </is>
      </c>
      <c r="B299" s="1" t="n">
        <v>44575</v>
      </c>
      <c r="C299" s="1" t="n">
        <v>45208</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HYPERLINK("https://klasma.github.io/Logging_SODERTALJE/artfynd/A 1946-2022.xlsx", "A 1946-2022")</f>
        <v/>
      </c>
      <c r="T299">
        <f>HYPERLINK("https://klasma.github.io/Logging_SODERTALJE/kartor/A 1946-2022.png", "A 1946-2022")</f>
        <v/>
      </c>
      <c r="V299">
        <f>HYPERLINK("https://klasma.github.io/Logging_SODERTALJE/klagomål/A 1946-2022.docx", "A 1946-2022")</f>
        <v/>
      </c>
      <c r="W299">
        <f>HYPERLINK("https://klasma.github.io/Logging_SODERTALJE/klagomålsmail/A 1946-2022.docx", "A 1946-2022")</f>
        <v/>
      </c>
      <c r="X299">
        <f>HYPERLINK("https://klasma.github.io/Logging_SODERTALJE/tillsyn/A 1946-2022.docx", "A 1946-2022")</f>
        <v/>
      </c>
      <c r="Y299">
        <f>HYPERLINK("https://klasma.github.io/Logging_SODERTALJE/tillsynsmail/A 1946-2022.docx", "A 1946-2022")</f>
        <v/>
      </c>
    </row>
    <row r="300" ht="15" customHeight="1">
      <c r="A300" t="inlineStr">
        <is>
          <t>A 2722-2022</t>
        </is>
      </c>
      <c r="B300" s="1" t="n">
        <v>44580</v>
      </c>
      <c r="C300" s="1" t="n">
        <v>45208</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HYPERLINK("https://klasma.github.io/Logging_HANINGE/artfynd/A 2722-2022.xlsx", "A 2722-2022")</f>
        <v/>
      </c>
      <c r="T300">
        <f>HYPERLINK("https://klasma.github.io/Logging_HANINGE/kartor/A 2722-2022.png", "A 2722-2022")</f>
        <v/>
      </c>
      <c r="V300">
        <f>HYPERLINK("https://klasma.github.io/Logging_HANINGE/klagomål/A 2722-2022.docx", "A 2722-2022")</f>
        <v/>
      </c>
      <c r="W300">
        <f>HYPERLINK("https://klasma.github.io/Logging_HANINGE/klagomålsmail/A 2722-2022.docx", "A 2722-2022")</f>
        <v/>
      </c>
      <c r="X300">
        <f>HYPERLINK("https://klasma.github.io/Logging_HANINGE/tillsyn/A 2722-2022.docx", "A 2722-2022")</f>
        <v/>
      </c>
      <c r="Y300">
        <f>HYPERLINK("https://klasma.github.io/Logging_HANINGE/tillsynsmail/A 2722-2022.docx", "A 2722-2022")</f>
        <v/>
      </c>
    </row>
    <row r="301" ht="15" customHeight="1">
      <c r="A301" t="inlineStr">
        <is>
          <t>A 3218-2022</t>
        </is>
      </c>
      <c r="B301" s="1" t="n">
        <v>44582</v>
      </c>
      <c r="C301" s="1" t="n">
        <v>45208</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HYPERLINK("https://klasma.github.io/Logging_EKERO/artfynd/A 3218-2022.xlsx", "A 3218-2022")</f>
        <v/>
      </c>
      <c r="T301">
        <f>HYPERLINK("https://klasma.github.io/Logging_EKERO/kartor/A 3218-2022.png", "A 3218-2022")</f>
        <v/>
      </c>
      <c r="V301">
        <f>HYPERLINK("https://klasma.github.io/Logging_EKERO/klagomål/A 3218-2022.docx", "A 3218-2022")</f>
        <v/>
      </c>
      <c r="W301">
        <f>HYPERLINK("https://klasma.github.io/Logging_EKERO/klagomålsmail/A 3218-2022.docx", "A 3218-2022")</f>
        <v/>
      </c>
      <c r="X301">
        <f>HYPERLINK("https://klasma.github.io/Logging_EKERO/tillsyn/A 3218-2022.docx", "A 3218-2022")</f>
        <v/>
      </c>
      <c r="Y301">
        <f>HYPERLINK("https://klasma.github.io/Logging_EKERO/tillsynsmail/A 3218-2022.docx", "A 3218-2022")</f>
        <v/>
      </c>
    </row>
    <row r="302" ht="15" customHeight="1">
      <c r="A302" t="inlineStr">
        <is>
          <t>A 7172-2022</t>
        </is>
      </c>
      <c r="B302" s="1" t="n">
        <v>44604</v>
      </c>
      <c r="C302" s="1" t="n">
        <v>45208</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HYPERLINK("https://klasma.github.io/Logging_NORRTALJE/artfynd/A 7172-2022.xlsx", "A 7172-2022")</f>
        <v/>
      </c>
      <c r="T302">
        <f>HYPERLINK("https://klasma.github.io/Logging_NORRTALJE/kartor/A 7172-2022.png", "A 7172-2022")</f>
        <v/>
      </c>
      <c r="U302">
        <f>HYPERLINK("https://klasma.github.io/Logging_NORRTALJE/knärot/A 7172-2022.png", "A 7172-2022")</f>
        <v/>
      </c>
      <c r="V302">
        <f>HYPERLINK("https://klasma.github.io/Logging_NORRTALJE/klagomål/A 7172-2022.docx", "A 7172-2022")</f>
        <v/>
      </c>
      <c r="W302">
        <f>HYPERLINK("https://klasma.github.io/Logging_NORRTALJE/klagomålsmail/A 7172-2022.docx", "A 7172-2022")</f>
        <v/>
      </c>
      <c r="X302">
        <f>HYPERLINK("https://klasma.github.io/Logging_NORRTALJE/tillsyn/A 7172-2022.docx", "A 7172-2022")</f>
        <v/>
      </c>
      <c r="Y302">
        <f>HYPERLINK("https://klasma.github.io/Logging_NORRTALJE/tillsynsmail/A 7172-2022.docx", "A 7172-2022")</f>
        <v/>
      </c>
    </row>
    <row r="303" ht="15" customHeight="1">
      <c r="A303" t="inlineStr">
        <is>
          <t>A 7285-2022</t>
        </is>
      </c>
      <c r="B303" s="1" t="n">
        <v>44606</v>
      </c>
      <c r="C303" s="1" t="n">
        <v>45208</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HYPERLINK("https://klasma.github.io/Logging_UPPLANDS-BRO/artfynd/A 7285-2022.xlsx", "A 7285-2022")</f>
        <v/>
      </c>
      <c r="T303">
        <f>HYPERLINK("https://klasma.github.io/Logging_UPPLANDS-BRO/kartor/A 7285-2022.png", "A 7285-2022")</f>
        <v/>
      </c>
      <c r="V303">
        <f>HYPERLINK("https://klasma.github.io/Logging_UPPLANDS-BRO/klagomål/A 7285-2022.docx", "A 7285-2022")</f>
        <v/>
      </c>
      <c r="W303">
        <f>HYPERLINK("https://klasma.github.io/Logging_UPPLANDS-BRO/klagomålsmail/A 7285-2022.docx", "A 7285-2022")</f>
        <v/>
      </c>
      <c r="X303">
        <f>HYPERLINK("https://klasma.github.io/Logging_UPPLANDS-BRO/tillsyn/A 7285-2022.docx", "A 7285-2022")</f>
        <v/>
      </c>
      <c r="Y303">
        <f>HYPERLINK("https://klasma.github.io/Logging_UPPLANDS-BRO/tillsynsmail/A 7285-2022.docx", "A 7285-2022")</f>
        <v/>
      </c>
    </row>
    <row r="304" ht="15" customHeight="1">
      <c r="A304" t="inlineStr">
        <is>
          <t>A 8285-2022</t>
        </is>
      </c>
      <c r="B304" s="1" t="n">
        <v>44610</v>
      </c>
      <c r="C304" s="1" t="n">
        <v>45208</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HYPERLINK("https://klasma.github.io/Logging_NYKVARN/artfynd/A 8285-2022.xlsx", "A 8285-2022")</f>
        <v/>
      </c>
      <c r="T304">
        <f>HYPERLINK("https://klasma.github.io/Logging_NYKVARN/kartor/A 8285-2022.png", "A 8285-2022")</f>
        <v/>
      </c>
      <c r="V304">
        <f>HYPERLINK("https://klasma.github.io/Logging_NYKVARN/klagomål/A 8285-2022.docx", "A 8285-2022")</f>
        <v/>
      </c>
      <c r="W304">
        <f>HYPERLINK("https://klasma.github.io/Logging_NYKVARN/klagomålsmail/A 8285-2022.docx", "A 8285-2022")</f>
        <v/>
      </c>
      <c r="X304">
        <f>HYPERLINK("https://klasma.github.io/Logging_NYKVARN/tillsyn/A 8285-2022.docx", "A 8285-2022")</f>
        <v/>
      </c>
      <c r="Y304">
        <f>HYPERLINK("https://klasma.github.io/Logging_NYKVARN/tillsynsmail/A 8285-2022.docx", "A 8285-2022")</f>
        <v/>
      </c>
    </row>
    <row r="305" ht="15" customHeight="1">
      <c r="A305" t="inlineStr">
        <is>
          <t>A 8500-2022</t>
        </is>
      </c>
      <c r="B305" s="1" t="n">
        <v>44613</v>
      </c>
      <c r="C305" s="1" t="n">
        <v>45208</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HYPERLINK("https://klasma.github.io/Logging_VALLENTUNA/artfynd/A 8500-2022.xlsx", "A 8500-2022")</f>
        <v/>
      </c>
      <c r="T305">
        <f>HYPERLINK("https://klasma.github.io/Logging_VALLENTUNA/kartor/A 8500-2022.png", "A 8500-2022")</f>
        <v/>
      </c>
      <c r="V305">
        <f>HYPERLINK("https://klasma.github.io/Logging_VALLENTUNA/klagomål/A 8500-2022.docx", "A 8500-2022")</f>
        <v/>
      </c>
      <c r="W305">
        <f>HYPERLINK("https://klasma.github.io/Logging_VALLENTUNA/klagomålsmail/A 8500-2022.docx", "A 8500-2022")</f>
        <v/>
      </c>
      <c r="X305">
        <f>HYPERLINK("https://klasma.github.io/Logging_VALLENTUNA/tillsyn/A 8500-2022.docx", "A 8500-2022")</f>
        <v/>
      </c>
      <c r="Y305">
        <f>HYPERLINK("https://klasma.github.io/Logging_VALLENTUNA/tillsynsmail/A 8500-2022.docx", "A 8500-2022")</f>
        <v/>
      </c>
    </row>
    <row r="306" ht="15" customHeight="1">
      <c r="A306" t="inlineStr">
        <is>
          <t>A 9445-2022</t>
        </is>
      </c>
      <c r="B306" s="1" t="n">
        <v>44616</v>
      </c>
      <c r="C306" s="1" t="n">
        <v>45208</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HYPERLINK("https://klasma.github.io/Logging_VALLENTUNA/artfynd/A 9445-2022.xlsx", "A 9445-2022")</f>
        <v/>
      </c>
      <c r="T306">
        <f>HYPERLINK("https://klasma.github.io/Logging_VALLENTUNA/kartor/A 9445-2022.png", "A 9445-2022")</f>
        <v/>
      </c>
      <c r="V306">
        <f>HYPERLINK("https://klasma.github.io/Logging_VALLENTUNA/klagomål/A 9445-2022.docx", "A 9445-2022")</f>
        <v/>
      </c>
      <c r="W306">
        <f>HYPERLINK("https://klasma.github.io/Logging_VALLENTUNA/klagomålsmail/A 9445-2022.docx", "A 9445-2022")</f>
        <v/>
      </c>
      <c r="X306">
        <f>HYPERLINK("https://klasma.github.io/Logging_VALLENTUNA/tillsyn/A 9445-2022.docx", "A 9445-2022")</f>
        <v/>
      </c>
      <c r="Y306">
        <f>HYPERLINK("https://klasma.github.io/Logging_VALLENTUNA/tillsynsmail/A 9445-2022.docx", "A 9445-2022")</f>
        <v/>
      </c>
    </row>
    <row r="307" ht="15" customHeight="1">
      <c r="A307" t="inlineStr">
        <is>
          <t>A 9714-2022</t>
        </is>
      </c>
      <c r="B307" s="1" t="n">
        <v>44617</v>
      </c>
      <c r="C307" s="1" t="n">
        <v>45208</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HYPERLINK("https://klasma.github.io/Logging_NYKVARN/artfynd/A 9714-2022.xlsx", "A 9714-2022")</f>
        <v/>
      </c>
      <c r="T307">
        <f>HYPERLINK("https://klasma.github.io/Logging_NYKVARN/kartor/A 9714-2022.png", "A 9714-2022")</f>
        <v/>
      </c>
      <c r="V307">
        <f>HYPERLINK("https://klasma.github.io/Logging_NYKVARN/klagomål/A 9714-2022.docx", "A 9714-2022")</f>
        <v/>
      </c>
      <c r="W307">
        <f>HYPERLINK("https://klasma.github.io/Logging_NYKVARN/klagomålsmail/A 9714-2022.docx", "A 9714-2022")</f>
        <v/>
      </c>
      <c r="X307">
        <f>HYPERLINK("https://klasma.github.io/Logging_NYKVARN/tillsyn/A 9714-2022.docx", "A 9714-2022")</f>
        <v/>
      </c>
      <c r="Y307">
        <f>HYPERLINK("https://klasma.github.io/Logging_NYKVARN/tillsynsmail/A 9714-2022.docx", "A 9714-2022")</f>
        <v/>
      </c>
    </row>
    <row r="308" ht="15" customHeight="1">
      <c r="A308" t="inlineStr">
        <is>
          <t>A 9747-2022</t>
        </is>
      </c>
      <c r="B308" s="1" t="n">
        <v>44618</v>
      </c>
      <c r="C308" s="1" t="n">
        <v>45208</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HYPERLINK("https://klasma.github.io/Logging_VALLENTUNA/artfynd/A 9747-2022.xlsx", "A 9747-2022")</f>
        <v/>
      </c>
      <c r="T308">
        <f>HYPERLINK("https://klasma.github.io/Logging_VALLENTUNA/kartor/A 9747-2022.png", "A 9747-2022")</f>
        <v/>
      </c>
      <c r="V308">
        <f>HYPERLINK("https://klasma.github.io/Logging_VALLENTUNA/klagomål/A 9747-2022.docx", "A 9747-2022")</f>
        <v/>
      </c>
      <c r="W308">
        <f>HYPERLINK("https://klasma.github.io/Logging_VALLENTUNA/klagomålsmail/A 9747-2022.docx", "A 9747-2022")</f>
        <v/>
      </c>
      <c r="X308">
        <f>HYPERLINK("https://klasma.github.io/Logging_VALLENTUNA/tillsyn/A 9747-2022.docx", "A 9747-2022")</f>
        <v/>
      </c>
      <c r="Y308">
        <f>HYPERLINK("https://klasma.github.io/Logging_VALLENTUNA/tillsynsmail/A 9747-2022.docx", "A 9747-2022")</f>
        <v/>
      </c>
    </row>
    <row r="309" ht="15" customHeight="1">
      <c r="A309" t="inlineStr">
        <is>
          <t>A 9955-2022</t>
        </is>
      </c>
      <c r="B309" s="1" t="n">
        <v>44620</v>
      </c>
      <c r="C309" s="1" t="n">
        <v>45208</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9955-2022.xlsx", "A 9955-2022")</f>
        <v/>
      </c>
      <c r="T309">
        <f>HYPERLINK("https://klasma.github.io/Logging_NORRTALJE/kartor/A 9955-2022.png", "A 9955-2022")</f>
        <v/>
      </c>
      <c r="V309">
        <f>HYPERLINK("https://klasma.github.io/Logging_NORRTALJE/klagomål/A 9955-2022.docx", "A 9955-2022")</f>
        <v/>
      </c>
      <c r="W309">
        <f>HYPERLINK("https://klasma.github.io/Logging_NORRTALJE/klagomålsmail/A 9955-2022.docx", "A 9955-2022")</f>
        <v/>
      </c>
      <c r="X309">
        <f>HYPERLINK("https://klasma.github.io/Logging_NORRTALJE/tillsyn/A 9955-2022.docx", "A 9955-2022")</f>
        <v/>
      </c>
      <c r="Y309">
        <f>HYPERLINK("https://klasma.github.io/Logging_NORRTALJE/tillsynsmail/A 9955-2022.docx", "A 9955-2022")</f>
        <v/>
      </c>
    </row>
    <row r="310" ht="15" customHeight="1">
      <c r="A310" t="inlineStr">
        <is>
          <t>A 10469-2022</t>
        </is>
      </c>
      <c r="B310" s="1" t="n">
        <v>44623</v>
      </c>
      <c r="C310" s="1" t="n">
        <v>45208</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HYPERLINK("https://klasma.github.io/Logging_BOTKYRKA/artfynd/A 10469-2022.xlsx", "A 10469-2022")</f>
        <v/>
      </c>
      <c r="T310">
        <f>HYPERLINK("https://klasma.github.io/Logging_BOTKYRKA/kartor/A 10469-2022.png", "A 10469-2022")</f>
        <v/>
      </c>
      <c r="V310">
        <f>HYPERLINK("https://klasma.github.io/Logging_BOTKYRKA/klagomål/A 10469-2022.docx", "A 10469-2022")</f>
        <v/>
      </c>
      <c r="W310">
        <f>HYPERLINK("https://klasma.github.io/Logging_BOTKYRKA/klagomålsmail/A 10469-2022.docx", "A 10469-2022")</f>
        <v/>
      </c>
      <c r="X310">
        <f>HYPERLINK("https://klasma.github.io/Logging_BOTKYRKA/tillsyn/A 10469-2022.docx", "A 10469-2022")</f>
        <v/>
      </c>
      <c r="Y310">
        <f>HYPERLINK("https://klasma.github.io/Logging_BOTKYRKA/tillsynsmail/A 10469-2022.docx", "A 10469-2022")</f>
        <v/>
      </c>
    </row>
    <row r="311" ht="15" customHeight="1">
      <c r="A311" t="inlineStr">
        <is>
          <t>A 10712-2022</t>
        </is>
      </c>
      <c r="B311" s="1" t="n">
        <v>44626</v>
      </c>
      <c r="C311" s="1" t="n">
        <v>45208</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HYPERLINK("https://klasma.github.io/Logging_NORRTALJE/artfynd/A 10712-2022.xlsx", "A 10712-2022")</f>
        <v/>
      </c>
      <c r="T311">
        <f>HYPERLINK("https://klasma.github.io/Logging_NORRTALJE/kartor/A 10712-2022.png", "A 10712-2022")</f>
        <v/>
      </c>
      <c r="V311">
        <f>HYPERLINK("https://klasma.github.io/Logging_NORRTALJE/klagomål/A 10712-2022.docx", "A 10712-2022")</f>
        <v/>
      </c>
      <c r="W311">
        <f>HYPERLINK("https://klasma.github.io/Logging_NORRTALJE/klagomålsmail/A 10712-2022.docx", "A 10712-2022")</f>
        <v/>
      </c>
      <c r="X311">
        <f>HYPERLINK("https://klasma.github.io/Logging_NORRTALJE/tillsyn/A 10712-2022.docx", "A 10712-2022")</f>
        <v/>
      </c>
      <c r="Y311">
        <f>HYPERLINK("https://klasma.github.io/Logging_NORRTALJE/tillsynsmail/A 10712-2022.docx", "A 10712-2022")</f>
        <v/>
      </c>
    </row>
    <row r="312" ht="15" customHeight="1">
      <c r="A312" t="inlineStr">
        <is>
          <t>A 12215-2022</t>
        </is>
      </c>
      <c r="B312" s="1" t="n">
        <v>44637</v>
      </c>
      <c r="C312" s="1" t="n">
        <v>45208</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HYPERLINK("https://klasma.github.io/Logging_NORRTALJE/artfynd/A 12215-2022.xlsx", "A 12215-2022")</f>
        <v/>
      </c>
      <c r="T312">
        <f>HYPERLINK("https://klasma.github.io/Logging_NORRTALJE/kartor/A 12215-2022.png", "A 12215-2022")</f>
        <v/>
      </c>
      <c r="V312">
        <f>HYPERLINK("https://klasma.github.io/Logging_NORRTALJE/klagomål/A 12215-2022.docx", "A 12215-2022")</f>
        <v/>
      </c>
      <c r="W312">
        <f>HYPERLINK("https://klasma.github.io/Logging_NORRTALJE/klagomålsmail/A 12215-2022.docx", "A 12215-2022")</f>
        <v/>
      </c>
      <c r="X312">
        <f>HYPERLINK("https://klasma.github.io/Logging_NORRTALJE/tillsyn/A 12215-2022.docx", "A 12215-2022")</f>
        <v/>
      </c>
      <c r="Y312">
        <f>HYPERLINK("https://klasma.github.io/Logging_NORRTALJE/tillsynsmail/A 12215-2022.docx", "A 12215-2022")</f>
        <v/>
      </c>
    </row>
    <row r="313" ht="15" customHeight="1">
      <c r="A313" t="inlineStr">
        <is>
          <t>A 13891-2022</t>
        </is>
      </c>
      <c r="B313" s="1" t="n">
        <v>44646</v>
      </c>
      <c r="C313" s="1" t="n">
        <v>45208</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HYPERLINK("https://klasma.github.io/Logging_EKERO/artfynd/A 13891-2022.xlsx", "A 13891-2022")</f>
        <v/>
      </c>
      <c r="T313">
        <f>HYPERLINK("https://klasma.github.io/Logging_EKERO/kartor/A 13891-2022.png", "A 13891-2022")</f>
        <v/>
      </c>
      <c r="V313">
        <f>HYPERLINK("https://klasma.github.io/Logging_EKERO/klagomål/A 13891-2022.docx", "A 13891-2022")</f>
        <v/>
      </c>
      <c r="W313">
        <f>HYPERLINK("https://klasma.github.io/Logging_EKERO/klagomålsmail/A 13891-2022.docx", "A 13891-2022")</f>
        <v/>
      </c>
      <c r="X313">
        <f>HYPERLINK("https://klasma.github.io/Logging_EKERO/tillsyn/A 13891-2022.docx", "A 13891-2022")</f>
        <v/>
      </c>
      <c r="Y313">
        <f>HYPERLINK("https://klasma.github.io/Logging_EKERO/tillsynsmail/A 13891-2022.docx", "A 13891-2022")</f>
        <v/>
      </c>
    </row>
    <row r="314" ht="15" customHeight="1">
      <c r="A314" t="inlineStr">
        <is>
          <t>A 14720-2022</t>
        </is>
      </c>
      <c r="B314" s="1" t="n">
        <v>44656</v>
      </c>
      <c r="C314" s="1" t="n">
        <v>45208</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HYPERLINK("https://klasma.github.io/Logging_NORRTALJE/artfynd/A 14720-2022.xlsx", "A 14720-2022")</f>
        <v/>
      </c>
      <c r="T314">
        <f>HYPERLINK("https://klasma.github.io/Logging_NORRTALJE/kartor/A 14720-2022.png", "A 14720-2022")</f>
        <v/>
      </c>
      <c r="V314">
        <f>HYPERLINK("https://klasma.github.io/Logging_NORRTALJE/klagomål/A 14720-2022.docx", "A 14720-2022")</f>
        <v/>
      </c>
      <c r="W314">
        <f>HYPERLINK("https://klasma.github.io/Logging_NORRTALJE/klagomålsmail/A 14720-2022.docx", "A 14720-2022")</f>
        <v/>
      </c>
      <c r="X314">
        <f>HYPERLINK("https://klasma.github.io/Logging_NORRTALJE/tillsyn/A 14720-2022.docx", "A 14720-2022")</f>
        <v/>
      </c>
      <c r="Y314">
        <f>HYPERLINK("https://klasma.github.io/Logging_NORRTALJE/tillsynsmail/A 14720-2022.docx", "A 14720-2022")</f>
        <v/>
      </c>
    </row>
    <row r="315" ht="15" customHeight="1">
      <c r="A315" t="inlineStr">
        <is>
          <t>A 16309-2022</t>
        </is>
      </c>
      <c r="B315" s="1" t="n">
        <v>44670</v>
      </c>
      <c r="C315" s="1" t="n">
        <v>45208</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HYPERLINK("https://klasma.github.io/Logging_NYNASHAMN/artfynd/A 16309-2022.xlsx", "A 16309-2022")</f>
        <v/>
      </c>
      <c r="T315">
        <f>HYPERLINK("https://klasma.github.io/Logging_NYNASHAMN/kartor/A 16309-2022.png", "A 16309-2022")</f>
        <v/>
      </c>
      <c r="V315">
        <f>HYPERLINK("https://klasma.github.io/Logging_NYNASHAMN/klagomål/A 16309-2022.docx", "A 16309-2022")</f>
        <v/>
      </c>
      <c r="W315">
        <f>HYPERLINK("https://klasma.github.io/Logging_NYNASHAMN/klagomålsmail/A 16309-2022.docx", "A 16309-2022")</f>
        <v/>
      </c>
      <c r="X315">
        <f>HYPERLINK("https://klasma.github.io/Logging_NYNASHAMN/tillsyn/A 16309-2022.docx", "A 16309-2022")</f>
        <v/>
      </c>
      <c r="Y315">
        <f>HYPERLINK("https://klasma.github.io/Logging_NYNASHAMN/tillsynsmail/A 16309-2022.docx", "A 16309-2022")</f>
        <v/>
      </c>
    </row>
    <row r="316" ht="15" customHeight="1">
      <c r="A316" t="inlineStr">
        <is>
          <t>A 16539-2022</t>
        </is>
      </c>
      <c r="B316" s="1" t="n">
        <v>44672</v>
      </c>
      <c r="C316" s="1" t="n">
        <v>45208</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HYPERLINK("https://klasma.github.io/Logging_NORRTALJE/artfynd/A 16539-2022.xlsx", "A 16539-2022")</f>
        <v/>
      </c>
      <c r="T316">
        <f>HYPERLINK("https://klasma.github.io/Logging_NORRTALJE/kartor/A 16539-2022.png", "A 16539-2022")</f>
        <v/>
      </c>
      <c r="V316">
        <f>HYPERLINK("https://klasma.github.io/Logging_NORRTALJE/klagomål/A 16539-2022.docx", "A 16539-2022")</f>
        <v/>
      </c>
      <c r="W316">
        <f>HYPERLINK("https://klasma.github.io/Logging_NORRTALJE/klagomålsmail/A 16539-2022.docx", "A 16539-2022")</f>
        <v/>
      </c>
      <c r="X316">
        <f>HYPERLINK("https://klasma.github.io/Logging_NORRTALJE/tillsyn/A 16539-2022.docx", "A 16539-2022")</f>
        <v/>
      </c>
      <c r="Y316">
        <f>HYPERLINK("https://klasma.github.io/Logging_NORRTALJE/tillsynsmail/A 16539-2022.docx", "A 16539-2022")</f>
        <v/>
      </c>
    </row>
    <row r="317" ht="15" customHeight="1">
      <c r="A317" t="inlineStr">
        <is>
          <t>A 18100-2022</t>
        </is>
      </c>
      <c r="B317" s="1" t="n">
        <v>44684</v>
      </c>
      <c r="C317" s="1" t="n">
        <v>45208</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HYPERLINK("https://klasma.github.io/Logging_BOTKYRKA/artfynd/A 18100-2022.xlsx", "A 18100-2022")</f>
        <v/>
      </c>
      <c r="T317">
        <f>HYPERLINK("https://klasma.github.io/Logging_BOTKYRKA/kartor/A 18100-2022.png", "A 18100-2022")</f>
        <v/>
      </c>
      <c r="V317">
        <f>HYPERLINK("https://klasma.github.io/Logging_BOTKYRKA/klagomål/A 18100-2022.docx", "A 18100-2022")</f>
        <v/>
      </c>
      <c r="W317">
        <f>HYPERLINK("https://klasma.github.io/Logging_BOTKYRKA/klagomålsmail/A 18100-2022.docx", "A 18100-2022")</f>
        <v/>
      </c>
      <c r="X317">
        <f>HYPERLINK("https://klasma.github.io/Logging_BOTKYRKA/tillsyn/A 18100-2022.docx", "A 18100-2022")</f>
        <v/>
      </c>
      <c r="Y317">
        <f>HYPERLINK("https://klasma.github.io/Logging_BOTKYRKA/tillsynsmail/A 18100-2022.docx", "A 18100-2022")</f>
        <v/>
      </c>
    </row>
    <row r="318" ht="15" customHeight="1">
      <c r="A318" t="inlineStr">
        <is>
          <t>A 20456-2022</t>
        </is>
      </c>
      <c r="B318" s="1" t="n">
        <v>44699</v>
      </c>
      <c r="C318" s="1" t="n">
        <v>45208</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HYPERLINK("https://klasma.github.io/Logging_NYKVARN/artfynd/A 20456-2022.xlsx", "A 20456-2022")</f>
        <v/>
      </c>
      <c r="T318">
        <f>HYPERLINK("https://klasma.github.io/Logging_NYKVARN/kartor/A 20456-2022.png", "A 20456-2022")</f>
        <v/>
      </c>
      <c r="V318">
        <f>HYPERLINK("https://klasma.github.io/Logging_NYKVARN/klagomål/A 20456-2022.docx", "A 20456-2022")</f>
        <v/>
      </c>
      <c r="W318">
        <f>HYPERLINK("https://klasma.github.io/Logging_NYKVARN/klagomålsmail/A 20456-2022.docx", "A 20456-2022")</f>
        <v/>
      </c>
      <c r="X318">
        <f>HYPERLINK("https://klasma.github.io/Logging_NYKVARN/tillsyn/A 20456-2022.docx", "A 20456-2022")</f>
        <v/>
      </c>
      <c r="Y318">
        <f>HYPERLINK("https://klasma.github.io/Logging_NYKVARN/tillsynsmail/A 20456-2022.docx", "A 20456-2022")</f>
        <v/>
      </c>
    </row>
    <row r="319" ht="15" customHeight="1">
      <c r="A319" t="inlineStr">
        <is>
          <t>A 21150-2022</t>
        </is>
      </c>
      <c r="B319" s="1" t="n">
        <v>44704</v>
      </c>
      <c r="C319" s="1" t="n">
        <v>45208</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HYPERLINK("https://klasma.github.io/Logging_NORRTALJE/artfynd/A 21150-2022.xlsx", "A 21150-2022")</f>
        <v/>
      </c>
      <c r="T319">
        <f>HYPERLINK("https://klasma.github.io/Logging_NORRTALJE/kartor/A 21150-2022.png", "A 21150-2022")</f>
        <v/>
      </c>
      <c r="V319">
        <f>HYPERLINK("https://klasma.github.io/Logging_NORRTALJE/klagomål/A 21150-2022.docx", "A 21150-2022")</f>
        <v/>
      </c>
      <c r="W319">
        <f>HYPERLINK("https://klasma.github.io/Logging_NORRTALJE/klagomålsmail/A 21150-2022.docx", "A 21150-2022")</f>
        <v/>
      </c>
      <c r="X319">
        <f>HYPERLINK("https://klasma.github.io/Logging_NORRTALJE/tillsyn/A 21150-2022.docx", "A 21150-2022")</f>
        <v/>
      </c>
      <c r="Y319">
        <f>HYPERLINK("https://klasma.github.io/Logging_NORRTALJE/tillsynsmail/A 21150-2022.docx", "A 21150-2022")</f>
        <v/>
      </c>
    </row>
    <row r="320" ht="15" customHeight="1">
      <c r="A320" t="inlineStr">
        <is>
          <t>A 22172-2022</t>
        </is>
      </c>
      <c r="B320" s="1" t="n">
        <v>44712</v>
      </c>
      <c r="C320" s="1" t="n">
        <v>45208</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HYPERLINK("https://klasma.github.io/Logging_OSTERAKER/artfynd/A 22172-2022.xlsx", "A 22172-2022")</f>
        <v/>
      </c>
      <c r="T320">
        <f>HYPERLINK("https://klasma.github.io/Logging_OSTERAKER/kartor/A 22172-2022.png", "A 22172-2022")</f>
        <v/>
      </c>
      <c r="V320">
        <f>HYPERLINK("https://klasma.github.io/Logging_OSTERAKER/klagomål/A 22172-2022.docx", "A 22172-2022")</f>
        <v/>
      </c>
      <c r="W320">
        <f>HYPERLINK("https://klasma.github.io/Logging_OSTERAKER/klagomålsmail/A 22172-2022.docx", "A 22172-2022")</f>
        <v/>
      </c>
      <c r="X320">
        <f>HYPERLINK("https://klasma.github.io/Logging_OSTERAKER/tillsyn/A 22172-2022.docx", "A 22172-2022")</f>
        <v/>
      </c>
      <c r="Y320">
        <f>HYPERLINK("https://klasma.github.io/Logging_OSTERAKER/tillsynsmail/A 22172-2022.docx", "A 22172-2022")</f>
        <v/>
      </c>
    </row>
    <row r="321" ht="15" customHeight="1">
      <c r="A321" t="inlineStr">
        <is>
          <t>A 30154-2022</t>
        </is>
      </c>
      <c r="B321" s="1" t="n">
        <v>44757</v>
      </c>
      <c r="C321" s="1" t="n">
        <v>45208</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HYPERLINK("https://klasma.github.io/Logging_VARMDO/artfynd/A 30154-2022.xlsx", "A 30154-2022")</f>
        <v/>
      </c>
      <c r="T321">
        <f>HYPERLINK("https://klasma.github.io/Logging_VARMDO/kartor/A 30154-2022.png", "A 30154-2022")</f>
        <v/>
      </c>
      <c r="V321">
        <f>HYPERLINK("https://klasma.github.io/Logging_VARMDO/klagomål/A 30154-2022.docx", "A 30154-2022")</f>
        <v/>
      </c>
      <c r="W321">
        <f>HYPERLINK("https://klasma.github.io/Logging_VARMDO/klagomålsmail/A 30154-2022.docx", "A 30154-2022")</f>
        <v/>
      </c>
      <c r="X321">
        <f>HYPERLINK("https://klasma.github.io/Logging_VARMDO/tillsyn/A 30154-2022.docx", "A 30154-2022")</f>
        <v/>
      </c>
      <c r="Y321">
        <f>HYPERLINK("https://klasma.github.io/Logging_VARMDO/tillsynsmail/A 30154-2022.docx", "A 30154-2022")</f>
        <v/>
      </c>
    </row>
    <row r="322" ht="15" customHeight="1">
      <c r="A322" t="inlineStr">
        <is>
          <t>A 30693-2022</t>
        </is>
      </c>
      <c r="B322" s="1" t="n">
        <v>44763</v>
      </c>
      <c r="C322" s="1" t="n">
        <v>45208</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HYPERLINK("https://klasma.github.io/Logging_NORRTALJE/artfynd/A 30693-2022.xlsx", "A 30693-2022")</f>
        <v/>
      </c>
      <c r="T322">
        <f>HYPERLINK("https://klasma.github.io/Logging_NORRTALJE/kartor/A 30693-2022.png", "A 30693-2022")</f>
        <v/>
      </c>
      <c r="V322">
        <f>HYPERLINK("https://klasma.github.io/Logging_NORRTALJE/klagomål/A 30693-2022.docx", "A 30693-2022")</f>
        <v/>
      </c>
      <c r="W322">
        <f>HYPERLINK("https://klasma.github.io/Logging_NORRTALJE/klagomålsmail/A 30693-2022.docx", "A 30693-2022")</f>
        <v/>
      </c>
      <c r="X322">
        <f>HYPERLINK("https://klasma.github.io/Logging_NORRTALJE/tillsyn/A 30693-2022.docx", "A 30693-2022")</f>
        <v/>
      </c>
      <c r="Y322">
        <f>HYPERLINK("https://klasma.github.io/Logging_NORRTALJE/tillsynsmail/A 30693-2022.docx", "A 30693-2022")</f>
        <v/>
      </c>
    </row>
    <row r="323" ht="15" customHeight="1">
      <c r="A323" t="inlineStr">
        <is>
          <t>A 31194-2022</t>
        </is>
      </c>
      <c r="B323" s="1" t="n">
        <v>44770</v>
      </c>
      <c r="C323" s="1" t="n">
        <v>45208</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HYPERLINK("https://klasma.github.io/Logging_NORRTALJE/artfynd/A 31194-2022.xlsx", "A 31194-2022")</f>
        <v/>
      </c>
      <c r="T323">
        <f>HYPERLINK("https://klasma.github.io/Logging_NORRTALJE/kartor/A 31194-2022.png", "A 31194-2022")</f>
        <v/>
      </c>
      <c r="V323">
        <f>HYPERLINK("https://klasma.github.io/Logging_NORRTALJE/klagomål/A 31194-2022.docx", "A 31194-2022")</f>
        <v/>
      </c>
      <c r="W323">
        <f>HYPERLINK("https://klasma.github.io/Logging_NORRTALJE/klagomålsmail/A 31194-2022.docx", "A 31194-2022")</f>
        <v/>
      </c>
      <c r="X323">
        <f>HYPERLINK("https://klasma.github.io/Logging_NORRTALJE/tillsyn/A 31194-2022.docx", "A 31194-2022")</f>
        <v/>
      </c>
      <c r="Y323">
        <f>HYPERLINK("https://klasma.github.io/Logging_NORRTALJE/tillsynsmail/A 31194-2022.docx", "A 31194-2022")</f>
        <v/>
      </c>
    </row>
    <row r="324" ht="15" customHeight="1">
      <c r="A324" t="inlineStr">
        <is>
          <t>A 34823-2022</t>
        </is>
      </c>
      <c r="B324" s="1" t="n">
        <v>44796</v>
      </c>
      <c r="C324" s="1" t="n">
        <v>45208</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HYPERLINK("https://klasma.github.io/Logging_HANINGE/artfynd/A 34823-2022.xlsx", "A 34823-2022")</f>
        <v/>
      </c>
      <c r="T324">
        <f>HYPERLINK("https://klasma.github.io/Logging_HANINGE/kartor/A 34823-2022.png", "A 34823-2022")</f>
        <v/>
      </c>
      <c r="V324">
        <f>HYPERLINK("https://klasma.github.io/Logging_HANINGE/klagomål/A 34823-2022.docx", "A 34823-2022")</f>
        <v/>
      </c>
      <c r="W324">
        <f>HYPERLINK("https://klasma.github.io/Logging_HANINGE/klagomålsmail/A 34823-2022.docx", "A 34823-2022")</f>
        <v/>
      </c>
      <c r="X324">
        <f>HYPERLINK("https://klasma.github.io/Logging_HANINGE/tillsyn/A 34823-2022.docx", "A 34823-2022")</f>
        <v/>
      </c>
      <c r="Y324">
        <f>HYPERLINK("https://klasma.github.io/Logging_HANINGE/tillsynsmail/A 34823-2022.docx", "A 34823-2022")</f>
        <v/>
      </c>
    </row>
    <row r="325" ht="15" customHeight="1">
      <c r="A325" t="inlineStr">
        <is>
          <t>A 37004-2022</t>
        </is>
      </c>
      <c r="B325" s="1" t="n">
        <v>44806</v>
      </c>
      <c r="C325" s="1" t="n">
        <v>45208</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HYPERLINK("https://klasma.github.io/Logging_HANINGE/artfynd/A 37004-2022.xlsx", "A 37004-2022")</f>
        <v/>
      </c>
      <c r="T325">
        <f>HYPERLINK("https://klasma.github.io/Logging_HANINGE/kartor/A 37004-2022.png", "A 37004-2022")</f>
        <v/>
      </c>
      <c r="V325">
        <f>HYPERLINK("https://klasma.github.io/Logging_HANINGE/klagomål/A 37004-2022.docx", "A 37004-2022")</f>
        <v/>
      </c>
      <c r="W325">
        <f>HYPERLINK("https://klasma.github.io/Logging_HANINGE/klagomålsmail/A 37004-2022.docx", "A 37004-2022")</f>
        <v/>
      </c>
      <c r="X325">
        <f>HYPERLINK("https://klasma.github.io/Logging_HANINGE/tillsyn/A 37004-2022.docx", "A 37004-2022")</f>
        <v/>
      </c>
      <c r="Y325">
        <f>HYPERLINK("https://klasma.github.io/Logging_HANINGE/tillsynsmail/A 37004-2022.docx", "A 37004-2022")</f>
        <v/>
      </c>
    </row>
    <row r="326" ht="15" customHeight="1">
      <c r="A326" t="inlineStr">
        <is>
          <t>A 37522-2022</t>
        </is>
      </c>
      <c r="B326" s="1" t="n">
        <v>44809</v>
      </c>
      <c r="C326" s="1" t="n">
        <v>45208</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HYPERLINK("https://klasma.github.io/Logging_NORRTALJE/artfynd/A 37522-2022.xlsx", "A 37522-2022")</f>
        <v/>
      </c>
      <c r="T326">
        <f>HYPERLINK("https://klasma.github.io/Logging_NORRTALJE/kartor/A 37522-2022.png", "A 37522-2022")</f>
        <v/>
      </c>
      <c r="V326">
        <f>HYPERLINK("https://klasma.github.io/Logging_NORRTALJE/klagomål/A 37522-2022.docx", "A 37522-2022")</f>
        <v/>
      </c>
      <c r="W326">
        <f>HYPERLINK("https://klasma.github.io/Logging_NORRTALJE/klagomålsmail/A 37522-2022.docx", "A 37522-2022")</f>
        <v/>
      </c>
      <c r="X326">
        <f>HYPERLINK("https://klasma.github.io/Logging_NORRTALJE/tillsyn/A 37522-2022.docx", "A 37522-2022")</f>
        <v/>
      </c>
      <c r="Y326">
        <f>HYPERLINK("https://klasma.github.io/Logging_NORRTALJE/tillsynsmail/A 37522-2022.docx", "A 37522-2022")</f>
        <v/>
      </c>
    </row>
    <row r="327" ht="15" customHeight="1">
      <c r="A327" t="inlineStr">
        <is>
          <t>A 38452-2022</t>
        </is>
      </c>
      <c r="B327" s="1" t="n">
        <v>44813</v>
      </c>
      <c r="C327" s="1" t="n">
        <v>45208</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HYPERLINK("https://klasma.github.io/Logging_SODERTALJE/artfynd/A 38452-2022.xlsx", "A 38452-2022")</f>
        <v/>
      </c>
      <c r="T327">
        <f>HYPERLINK("https://klasma.github.io/Logging_SODERTALJE/kartor/A 38452-2022.png", "A 38452-2022")</f>
        <v/>
      </c>
      <c r="V327">
        <f>HYPERLINK("https://klasma.github.io/Logging_SODERTALJE/klagomål/A 38452-2022.docx", "A 38452-2022")</f>
        <v/>
      </c>
      <c r="W327">
        <f>HYPERLINK("https://klasma.github.io/Logging_SODERTALJE/klagomålsmail/A 38452-2022.docx", "A 38452-2022")</f>
        <v/>
      </c>
      <c r="X327">
        <f>HYPERLINK("https://klasma.github.io/Logging_SODERTALJE/tillsyn/A 38452-2022.docx", "A 38452-2022")</f>
        <v/>
      </c>
      <c r="Y327">
        <f>HYPERLINK("https://klasma.github.io/Logging_SODERTALJE/tillsynsmail/A 38452-2022.docx", "A 38452-2022")</f>
        <v/>
      </c>
    </row>
    <row r="328" ht="15" customHeight="1">
      <c r="A328" t="inlineStr">
        <is>
          <t>A 38597-2022</t>
        </is>
      </c>
      <c r="B328" s="1" t="n">
        <v>44813</v>
      </c>
      <c r="C328" s="1" t="n">
        <v>45208</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HYPERLINK("https://klasma.github.io/Logging_NORRTALJE/artfynd/A 38597-2022.xlsx", "A 38597-2022")</f>
        <v/>
      </c>
      <c r="T328">
        <f>HYPERLINK("https://klasma.github.io/Logging_NORRTALJE/kartor/A 38597-2022.png", "A 38597-2022")</f>
        <v/>
      </c>
      <c r="V328">
        <f>HYPERLINK("https://klasma.github.io/Logging_NORRTALJE/klagomål/A 38597-2022.docx", "A 38597-2022")</f>
        <v/>
      </c>
      <c r="W328">
        <f>HYPERLINK("https://klasma.github.io/Logging_NORRTALJE/klagomålsmail/A 38597-2022.docx", "A 38597-2022")</f>
        <v/>
      </c>
      <c r="X328">
        <f>HYPERLINK("https://klasma.github.io/Logging_NORRTALJE/tillsyn/A 38597-2022.docx", "A 38597-2022")</f>
        <v/>
      </c>
      <c r="Y328">
        <f>HYPERLINK("https://klasma.github.io/Logging_NORRTALJE/tillsynsmail/A 38597-2022.docx", "A 38597-2022")</f>
        <v/>
      </c>
    </row>
    <row r="329" ht="15" customHeight="1">
      <c r="A329" t="inlineStr">
        <is>
          <t>A 39636-2022</t>
        </is>
      </c>
      <c r="B329" s="1" t="n">
        <v>44818</v>
      </c>
      <c r="C329" s="1" t="n">
        <v>45208</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HYPERLINK("https://klasma.github.io/Logging_HANINGE/artfynd/A 39636-2022.xlsx", "A 39636-2022")</f>
        <v/>
      </c>
      <c r="T329">
        <f>HYPERLINK("https://klasma.github.io/Logging_HANINGE/kartor/A 39636-2022.png", "A 39636-2022")</f>
        <v/>
      </c>
      <c r="V329">
        <f>HYPERLINK("https://klasma.github.io/Logging_HANINGE/klagomål/A 39636-2022.docx", "A 39636-2022")</f>
        <v/>
      </c>
      <c r="W329">
        <f>HYPERLINK("https://klasma.github.io/Logging_HANINGE/klagomålsmail/A 39636-2022.docx", "A 39636-2022")</f>
        <v/>
      </c>
      <c r="X329">
        <f>HYPERLINK("https://klasma.github.io/Logging_HANINGE/tillsyn/A 39636-2022.docx", "A 39636-2022")</f>
        <v/>
      </c>
      <c r="Y329">
        <f>HYPERLINK("https://klasma.github.io/Logging_HANINGE/tillsynsmail/A 39636-2022.docx", "A 39636-2022")</f>
        <v/>
      </c>
    </row>
    <row r="330" ht="15" customHeight="1">
      <c r="A330" t="inlineStr">
        <is>
          <t>A 40672-2022</t>
        </is>
      </c>
      <c r="B330" s="1" t="n">
        <v>44824</v>
      </c>
      <c r="C330" s="1" t="n">
        <v>45208</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HYPERLINK("https://klasma.github.io/Logging_NORRTALJE/artfynd/A 40672-2022.xlsx", "A 40672-2022")</f>
        <v/>
      </c>
      <c r="T330">
        <f>HYPERLINK("https://klasma.github.io/Logging_NORRTALJE/kartor/A 40672-2022.png", "A 40672-2022")</f>
        <v/>
      </c>
      <c r="V330">
        <f>HYPERLINK("https://klasma.github.io/Logging_NORRTALJE/klagomål/A 40672-2022.docx", "A 40672-2022")</f>
        <v/>
      </c>
      <c r="W330">
        <f>HYPERLINK("https://klasma.github.io/Logging_NORRTALJE/klagomålsmail/A 40672-2022.docx", "A 40672-2022")</f>
        <v/>
      </c>
      <c r="X330">
        <f>HYPERLINK("https://klasma.github.io/Logging_NORRTALJE/tillsyn/A 40672-2022.docx", "A 40672-2022")</f>
        <v/>
      </c>
      <c r="Y330">
        <f>HYPERLINK("https://klasma.github.io/Logging_NORRTALJE/tillsynsmail/A 40672-2022.docx", "A 40672-2022")</f>
        <v/>
      </c>
    </row>
    <row r="331" ht="15" customHeight="1">
      <c r="A331" t="inlineStr">
        <is>
          <t>A 44709-2022</t>
        </is>
      </c>
      <c r="B331" s="1" t="n">
        <v>44839</v>
      </c>
      <c r="C331" s="1" t="n">
        <v>45208</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HYPERLINK("https://klasma.github.io/Logging_NORRTALJE/artfynd/A 44709-2022.xlsx", "A 44709-2022")</f>
        <v/>
      </c>
      <c r="T331">
        <f>HYPERLINK("https://klasma.github.io/Logging_NORRTALJE/kartor/A 44709-2022.png", "A 44709-2022")</f>
        <v/>
      </c>
      <c r="V331">
        <f>HYPERLINK("https://klasma.github.io/Logging_NORRTALJE/klagomål/A 44709-2022.docx", "A 44709-2022")</f>
        <v/>
      </c>
      <c r="W331">
        <f>HYPERLINK("https://klasma.github.io/Logging_NORRTALJE/klagomålsmail/A 44709-2022.docx", "A 44709-2022")</f>
        <v/>
      </c>
      <c r="X331">
        <f>HYPERLINK("https://klasma.github.io/Logging_NORRTALJE/tillsyn/A 44709-2022.docx", "A 44709-2022")</f>
        <v/>
      </c>
      <c r="Y331">
        <f>HYPERLINK("https://klasma.github.io/Logging_NORRTALJE/tillsynsmail/A 44709-2022.docx", "A 44709-2022")</f>
        <v/>
      </c>
    </row>
    <row r="332" ht="15" customHeight="1">
      <c r="A332" t="inlineStr">
        <is>
          <t>A 44958-2022</t>
        </is>
      </c>
      <c r="B332" s="1" t="n">
        <v>44841</v>
      </c>
      <c r="C332" s="1" t="n">
        <v>45208</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HYPERLINK("https://klasma.github.io/Logging_SODERTALJE/artfynd/A 44958-2022.xlsx", "A 44958-2022")</f>
        <v/>
      </c>
      <c r="T332">
        <f>HYPERLINK("https://klasma.github.io/Logging_SODERTALJE/kartor/A 44958-2022.png", "A 44958-2022")</f>
        <v/>
      </c>
      <c r="V332">
        <f>HYPERLINK("https://klasma.github.io/Logging_SODERTALJE/klagomål/A 44958-2022.docx", "A 44958-2022")</f>
        <v/>
      </c>
      <c r="W332">
        <f>HYPERLINK("https://klasma.github.io/Logging_SODERTALJE/klagomålsmail/A 44958-2022.docx", "A 44958-2022")</f>
        <v/>
      </c>
      <c r="X332">
        <f>HYPERLINK("https://klasma.github.io/Logging_SODERTALJE/tillsyn/A 44958-2022.docx", "A 44958-2022")</f>
        <v/>
      </c>
      <c r="Y332">
        <f>HYPERLINK("https://klasma.github.io/Logging_SODERTALJE/tillsynsmail/A 44958-2022.docx", "A 44958-2022")</f>
        <v/>
      </c>
    </row>
    <row r="333" ht="15" customHeight="1">
      <c r="A333" t="inlineStr">
        <is>
          <t>A 47898-2022</t>
        </is>
      </c>
      <c r="B333" s="1" t="n">
        <v>44855</v>
      </c>
      <c r="C333" s="1" t="n">
        <v>45208</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HYPERLINK("https://klasma.github.io/Logging_NORRTALJE/artfynd/A 47898-2022.xlsx", "A 47898-2022")</f>
        <v/>
      </c>
      <c r="T333">
        <f>HYPERLINK("https://klasma.github.io/Logging_NORRTALJE/kartor/A 47898-2022.png", "A 47898-2022")</f>
        <v/>
      </c>
      <c r="V333">
        <f>HYPERLINK("https://klasma.github.io/Logging_NORRTALJE/klagomål/A 47898-2022.docx", "A 47898-2022")</f>
        <v/>
      </c>
      <c r="W333">
        <f>HYPERLINK("https://klasma.github.io/Logging_NORRTALJE/klagomålsmail/A 47898-2022.docx", "A 47898-2022")</f>
        <v/>
      </c>
      <c r="X333">
        <f>HYPERLINK("https://klasma.github.io/Logging_NORRTALJE/tillsyn/A 47898-2022.docx", "A 47898-2022")</f>
        <v/>
      </c>
      <c r="Y333">
        <f>HYPERLINK("https://klasma.github.io/Logging_NORRTALJE/tillsynsmail/A 47898-2022.docx", "A 47898-2022")</f>
        <v/>
      </c>
    </row>
    <row r="334" ht="15" customHeight="1">
      <c r="A334" t="inlineStr">
        <is>
          <t>A 50854-2022</t>
        </is>
      </c>
      <c r="B334" s="1" t="n">
        <v>44863</v>
      </c>
      <c r="C334" s="1" t="n">
        <v>45208</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HYPERLINK("https://klasma.github.io/Logging_NORRTALJE/artfynd/A 50854-2022.xlsx", "A 50854-2022")</f>
        <v/>
      </c>
      <c r="T334">
        <f>HYPERLINK("https://klasma.github.io/Logging_NORRTALJE/kartor/A 50854-2022.png", "A 50854-2022")</f>
        <v/>
      </c>
      <c r="V334">
        <f>HYPERLINK("https://klasma.github.io/Logging_NORRTALJE/klagomål/A 50854-2022.docx", "A 50854-2022")</f>
        <v/>
      </c>
      <c r="W334">
        <f>HYPERLINK("https://klasma.github.io/Logging_NORRTALJE/klagomålsmail/A 50854-2022.docx", "A 50854-2022")</f>
        <v/>
      </c>
      <c r="X334">
        <f>HYPERLINK("https://klasma.github.io/Logging_NORRTALJE/tillsyn/A 50854-2022.docx", "A 50854-2022")</f>
        <v/>
      </c>
      <c r="Y334">
        <f>HYPERLINK("https://klasma.github.io/Logging_NORRTALJE/tillsynsmail/A 50854-2022.docx", "A 50854-2022")</f>
        <v/>
      </c>
    </row>
    <row r="335" ht="15" customHeight="1">
      <c r="A335" t="inlineStr">
        <is>
          <t>A 51189-2022</t>
        </is>
      </c>
      <c r="B335" s="1" t="n">
        <v>44865</v>
      </c>
      <c r="C335" s="1" t="n">
        <v>45208</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HYPERLINK("https://klasma.github.io/Logging_SIGTUNA/artfynd/A 51189-2022.xlsx", "A 51189-2022")</f>
        <v/>
      </c>
      <c r="T335">
        <f>HYPERLINK("https://klasma.github.io/Logging_SIGTUNA/kartor/A 51189-2022.png", "A 51189-2022")</f>
        <v/>
      </c>
      <c r="V335">
        <f>HYPERLINK("https://klasma.github.io/Logging_SIGTUNA/klagomål/A 51189-2022.docx", "A 51189-2022")</f>
        <v/>
      </c>
      <c r="W335">
        <f>HYPERLINK("https://klasma.github.io/Logging_SIGTUNA/klagomålsmail/A 51189-2022.docx", "A 51189-2022")</f>
        <v/>
      </c>
      <c r="X335">
        <f>HYPERLINK("https://klasma.github.io/Logging_SIGTUNA/tillsyn/A 51189-2022.docx", "A 51189-2022")</f>
        <v/>
      </c>
      <c r="Y335">
        <f>HYPERLINK("https://klasma.github.io/Logging_SIGTUNA/tillsynsmail/A 51189-2022.docx", "A 51189-2022")</f>
        <v/>
      </c>
    </row>
    <row r="336" ht="15" customHeight="1">
      <c r="A336" t="inlineStr">
        <is>
          <t>A 61732-2022</t>
        </is>
      </c>
      <c r="B336" s="1" t="n">
        <v>44917</v>
      </c>
      <c r="C336" s="1" t="n">
        <v>45208</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HYPERLINK("https://klasma.github.io/Logging_OSTERAKER/artfynd/A 61732-2022.xlsx", "A 61732-2022")</f>
        <v/>
      </c>
      <c r="T336">
        <f>HYPERLINK("https://klasma.github.io/Logging_OSTERAKER/kartor/A 61732-2022.png", "A 61732-2022")</f>
        <v/>
      </c>
      <c r="V336">
        <f>HYPERLINK("https://klasma.github.io/Logging_OSTERAKER/klagomål/A 61732-2022.docx", "A 61732-2022")</f>
        <v/>
      </c>
      <c r="W336">
        <f>HYPERLINK("https://klasma.github.io/Logging_OSTERAKER/klagomålsmail/A 61732-2022.docx", "A 61732-2022")</f>
        <v/>
      </c>
      <c r="X336">
        <f>HYPERLINK("https://klasma.github.io/Logging_OSTERAKER/tillsyn/A 61732-2022.docx", "A 61732-2022")</f>
        <v/>
      </c>
      <c r="Y336">
        <f>HYPERLINK("https://klasma.github.io/Logging_OSTERAKER/tillsynsmail/A 61732-2022.docx", "A 61732-2022")</f>
        <v/>
      </c>
    </row>
    <row r="337" ht="15" customHeight="1">
      <c r="A337" t="inlineStr">
        <is>
          <t>A 1691-2023</t>
        </is>
      </c>
      <c r="B337" s="1" t="n">
        <v>44938</v>
      </c>
      <c r="C337" s="1" t="n">
        <v>45208</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1691-2023.xlsx", "A 1691-2023")</f>
        <v/>
      </c>
      <c r="T337">
        <f>HYPERLINK("https://klasma.github.io/Logging_BOTKYRKA/kartor/A 1691-2023.png", "A 1691-2023")</f>
        <v/>
      </c>
      <c r="V337">
        <f>HYPERLINK("https://klasma.github.io/Logging_BOTKYRKA/klagomål/A 1691-2023.docx", "A 1691-2023")</f>
        <v/>
      </c>
      <c r="W337">
        <f>HYPERLINK("https://klasma.github.io/Logging_BOTKYRKA/klagomålsmail/A 1691-2023.docx", "A 1691-2023")</f>
        <v/>
      </c>
      <c r="X337">
        <f>HYPERLINK("https://klasma.github.io/Logging_BOTKYRKA/tillsyn/A 1691-2023.docx", "A 1691-2023")</f>
        <v/>
      </c>
      <c r="Y337">
        <f>HYPERLINK("https://klasma.github.io/Logging_BOTKYRKA/tillsynsmail/A 1691-2023.docx", "A 1691-2023")</f>
        <v/>
      </c>
    </row>
    <row r="338" ht="15" customHeight="1">
      <c r="A338" t="inlineStr">
        <is>
          <t>A 2987-2023</t>
        </is>
      </c>
      <c r="B338" s="1" t="n">
        <v>44945</v>
      </c>
      <c r="C338" s="1" t="n">
        <v>45208</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HYPERLINK("https://klasma.github.io/Logging_SALEM/artfynd/A 2987-2023.xlsx", "A 2987-2023")</f>
        <v/>
      </c>
      <c r="T338">
        <f>HYPERLINK("https://klasma.github.io/Logging_SALEM/kartor/A 2987-2023.png", "A 2987-2023")</f>
        <v/>
      </c>
      <c r="V338">
        <f>HYPERLINK("https://klasma.github.io/Logging_SALEM/klagomål/A 2987-2023.docx", "A 2987-2023")</f>
        <v/>
      </c>
      <c r="W338">
        <f>HYPERLINK("https://klasma.github.io/Logging_SALEM/klagomålsmail/A 2987-2023.docx", "A 2987-2023")</f>
        <v/>
      </c>
      <c r="X338">
        <f>HYPERLINK("https://klasma.github.io/Logging_SALEM/tillsyn/A 2987-2023.docx", "A 2987-2023")</f>
        <v/>
      </c>
      <c r="Y338">
        <f>HYPERLINK("https://klasma.github.io/Logging_SALEM/tillsynsmail/A 2987-2023.docx", "A 2987-2023")</f>
        <v/>
      </c>
    </row>
    <row r="339" ht="15" customHeight="1">
      <c r="A339" t="inlineStr">
        <is>
          <t>A 3919-2023</t>
        </is>
      </c>
      <c r="B339" s="1" t="n">
        <v>44952</v>
      </c>
      <c r="C339" s="1" t="n">
        <v>45208</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HYPERLINK("https://klasma.github.io/Logging_OSTERAKER/artfynd/A 3919-2023.xlsx", "A 3919-2023")</f>
        <v/>
      </c>
      <c r="T339">
        <f>HYPERLINK("https://klasma.github.io/Logging_OSTERAKER/kartor/A 3919-2023.png", "A 3919-2023")</f>
        <v/>
      </c>
      <c r="V339">
        <f>HYPERLINK("https://klasma.github.io/Logging_OSTERAKER/klagomål/A 3919-2023.docx", "A 3919-2023")</f>
        <v/>
      </c>
      <c r="W339">
        <f>HYPERLINK("https://klasma.github.io/Logging_OSTERAKER/klagomålsmail/A 3919-2023.docx", "A 3919-2023")</f>
        <v/>
      </c>
      <c r="X339">
        <f>HYPERLINK("https://klasma.github.io/Logging_OSTERAKER/tillsyn/A 3919-2023.docx", "A 3919-2023")</f>
        <v/>
      </c>
      <c r="Y339">
        <f>HYPERLINK("https://klasma.github.io/Logging_OSTERAKER/tillsynsmail/A 3919-2023.docx", "A 3919-2023")</f>
        <v/>
      </c>
    </row>
    <row r="340" ht="15" customHeight="1">
      <c r="A340" t="inlineStr">
        <is>
          <t>A 4595-2023</t>
        </is>
      </c>
      <c r="B340" s="1" t="n">
        <v>44956</v>
      </c>
      <c r="C340" s="1" t="n">
        <v>45208</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HYPERLINK("https://klasma.github.io/Logging_NORRTALJE/artfynd/A 4595-2023.xlsx", "A 4595-2023")</f>
        <v/>
      </c>
      <c r="T340">
        <f>HYPERLINK("https://klasma.github.io/Logging_NORRTALJE/kartor/A 4595-2023.png", "A 4595-2023")</f>
        <v/>
      </c>
      <c r="V340">
        <f>HYPERLINK("https://klasma.github.io/Logging_NORRTALJE/klagomål/A 4595-2023.docx", "A 4595-2023")</f>
        <v/>
      </c>
      <c r="W340">
        <f>HYPERLINK("https://klasma.github.io/Logging_NORRTALJE/klagomålsmail/A 4595-2023.docx", "A 4595-2023")</f>
        <v/>
      </c>
      <c r="X340">
        <f>HYPERLINK("https://klasma.github.io/Logging_NORRTALJE/tillsyn/A 4595-2023.docx", "A 4595-2023")</f>
        <v/>
      </c>
      <c r="Y340">
        <f>HYPERLINK("https://klasma.github.io/Logging_NORRTALJE/tillsynsmail/A 4595-2023.docx", "A 4595-2023")</f>
        <v/>
      </c>
    </row>
    <row r="341" ht="15" customHeight="1">
      <c r="A341" t="inlineStr">
        <is>
          <t>A 5574-2023</t>
        </is>
      </c>
      <c r="B341" s="1" t="n">
        <v>44960</v>
      </c>
      <c r="C341" s="1" t="n">
        <v>45208</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HYPERLINK("https://klasma.github.io/Logging_BOTKYRKA/artfynd/A 5574-2023.xlsx", "A 5574-2023")</f>
        <v/>
      </c>
      <c r="T341">
        <f>HYPERLINK("https://klasma.github.io/Logging_BOTKYRKA/kartor/A 5574-2023.png", "A 5574-2023")</f>
        <v/>
      </c>
      <c r="V341">
        <f>HYPERLINK("https://klasma.github.io/Logging_BOTKYRKA/klagomål/A 5574-2023.docx", "A 5574-2023")</f>
        <v/>
      </c>
      <c r="W341">
        <f>HYPERLINK("https://klasma.github.io/Logging_BOTKYRKA/klagomålsmail/A 5574-2023.docx", "A 5574-2023")</f>
        <v/>
      </c>
      <c r="X341">
        <f>HYPERLINK("https://klasma.github.io/Logging_BOTKYRKA/tillsyn/A 5574-2023.docx", "A 5574-2023")</f>
        <v/>
      </c>
      <c r="Y341">
        <f>HYPERLINK("https://klasma.github.io/Logging_BOTKYRKA/tillsynsmail/A 5574-2023.docx", "A 5574-2023")</f>
        <v/>
      </c>
    </row>
    <row r="342" ht="15" customHeight="1">
      <c r="A342" t="inlineStr">
        <is>
          <t>A 6435-2023</t>
        </is>
      </c>
      <c r="B342" s="1" t="n">
        <v>44965</v>
      </c>
      <c r="C342" s="1" t="n">
        <v>45208</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HYPERLINK("https://klasma.github.io/Logging_NYNASHAMN/artfynd/A 6435-2023.xlsx", "A 6435-2023")</f>
        <v/>
      </c>
      <c r="T342">
        <f>HYPERLINK("https://klasma.github.io/Logging_NYNASHAMN/kartor/A 6435-2023.png", "A 6435-2023")</f>
        <v/>
      </c>
      <c r="V342">
        <f>HYPERLINK("https://klasma.github.io/Logging_NYNASHAMN/klagomål/A 6435-2023.docx", "A 6435-2023")</f>
        <v/>
      </c>
      <c r="W342">
        <f>HYPERLINK("https://klasma.github.io/Logging_NYNASHAMN/klagomålsmail/A 6435-2023.docx", "A 6435-2023")</f>
        <v/>
      </c>
      <c r="X342">
        <f>HYPERLINK("https://klasma.github.io/Logging_NYNASHAMN/tillsyn/A 6435-2023.docx", "A 6435-2023")</f>
        <v/>
      </c>
      <c r="Y342">
        <f>HYPERLINK("https://klasma.github.io/Logging_NYNASHAMN/tillsynsmail/A 6435-2023.docx", "A 6435-2023")</f>
        <v/>
      </c>
    </row>
    <row r="343" ht="15" customHeight="1">
      <c r="A343" t="inlineStr">
        <is>
          <t>A 6381-2023</t>
        </is>
      </c>
      <c r="B343" s="1" t="n">
        <v>44965</v>
      </c>
      <c r="C343" s="1" t="n">
        <v>45208</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HYPERLINK("https://klasma.github.io/Logging_NORRTALJE/artfynd/A 6381-2023.xlsx", "A 6381-2023")</f>
        <v/>
      </c>
      <c r="T343">
        <f>HYPERLINK("https://klasma.github.io/Logging_NORRTALJE/kartor/A 6381-2023.png", "A 6381-2023")</f>
        <v/>
      </c>
      <c r="V343">
        <f>HYPERLINK("https://klasma.github.io/Logging_NORRTALJE/klagomål/A 6381-2023.docx", "A 6381-2023")</f>
        <v/>
      </c>
      <c r="W343">
        <f>HYPERLINK("https://klasma.github.io/Logging_NORRTALJE/klagomålsmail/A 6381-2023.docx", "A 6381-2023")</f>
        <v/>
      </c>
      <c r="X343">
        <f>HYPERLINK("https://klasma.github.io/Logging_NORRTALJE/tillsyn/A 6381-2023.docx", "A 6381-2023")</f>
        <v/>
      </c>
      <c r="Y343">
        <f>HYPERLINK("https://klasma.github.io/Logging_NORRTALJE/tillsynsmail/A 6381-2023.docx", "A 6381-2023")</f>
        <v/>
      </c>
    </row>
    <row r="344" ht="15" customHeight="1">
      <c r="A344" t="inlineStr">
        <is>
          <t>A 7540-2023</t>
        </is>
      </c>
      <c r="B344" s="1" t="n">
        <v>44972</v>
      </c>
      <c r="C344" s="1" t="n">
        <v>45208</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HYPERLINK("https://klasma.github.io/Logging_NYNASHAMN/artfynd/A 7540-2023.xlsx", "A 7540-2023")</f>
        <v/>
      </c>
      <c r="T344">
        <f>HYPERLINK("https://klasma.github.io/Logging_NYNASHAMN/kartor/A 7540-2023.png", "A 7540-2023")</f>
        <v/>
      </c>
      <c r="V344">
        <f>HYPERLINK("https://klasma.github.io/Logging_NYNASHAMN/klagomål/A 7540-2023.docx", "A 7540-2023")</f>
        <v/>
      </c>
      <c r="W344">
        <f>HYPERLINK("https://klasma.github.io/Logging_NYNASHAMN/klagomålsmail/A 7540-2023.docx", "A 7540-2023")</f>
        <v/>
      </c>
      <c r="X344">
        <f>HYPERLINK("https://klasma.github.io/Logging_NYNASHAMN/tillsyn/A 7540-2023.docx", "A 7540-2023")</f>
        <v/>
      </c>
      <c r="Y344">
        <f>HYPERLINK("https://klasma.github.io/Logging_NYNASHAMN/tillsynsmail/A 7540-2023.docx", "A 7540-2023")</f>
        <v/>
      </c>
    </row>
    <row r="345" ht="15" customHeight="1">
      <c r="A345" t="inlineStr">
        <is>
          <t>A 7890-2023</t>
        </is>
      </c>
      <c r="B345" s="1" t="n">
        <v>44973</v>
      </c>
      <c r="C345" s="1" t="n">
        <v>45208</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HYPERLINK("https://klasma.github.io/Logging_VALLENTUNA/artfynd/A 7890-2023.xlsx", "A 7890-2023")</f>
        <v/>
      </c>
      <c r="T345">
        <f>HYPERLINK("https://klasma.github.io/Logging_VALLENTUNA/kartor/A 7890-2023.png", "A 7890-2023")</f>
        <v/>
      </c>
      <c r="V345">
        <f>HYPERLINK("https://klasma.github.io/Logging_VALLENTUNA/klagomål/A 7890-2023.docx", "A 7890-2023")</f>
        <v/>
      </c>
      <c r="W345">
        <f>HYPERLINK("https://klasma.github.io/Logging_VALLENTUNA/klagomålsmail/A 7890-2023.docx", "A 7890-2023")</f>
        <v/>
      </c>
      <c r="X345">
        <f>HYPERLINK("https://klasma.github.io/Logging_VALLENTUNA/tillsyn/A 7890-2023.docx", "A 7890-2023")</f>
        <v/>
      </c>
      <c r="Y345">
        <f>HYPERLINK("https://klasma.github.io/Logging_VALLENTUNA/tillsynsmail/A 7890-2023.docx", "A 7890-2023")</f>
        <v/>
      </c>
    </row>
    <row r="346" ht="15" customHeight="1">
      <c r="A346" t="inlineStr">
        <is>
          <t>A 7955-2023</t>
        </is>
      </c>
      <c r="B346" s="1" t="n">
        <v>44973</v>
      </c>
      <c r="C346" s="1" t="n">
        <v>45208</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HYPERLINK("https://klasma.github.io/Logging_UPPLANDS-BRO/artfynd/A 7955-2023.xlsx", "A 7955-2023")</f>
        <v/>
      </c>
      <c r="T346">
        <f>HYPERLINK("https://klasma.github.io/Logging_UPPLANDS-BRO/kartor/A 7955-2023.png", "A 7955-2023")</f>
        <v/>
      </c>
      <c r="V346">
        <f>HYPERLINK("https://klasma.github.io/Logging_UPPLANDS-BRO/klagomål/A 7955-2023.docx", "A 7955-2023")</f>
        <v/>
      </c>
      <c r="W346">
        <f>HYPERLINK("https://klasma.github.io/Logging_UPPLANDS-BRO/klagomålsmail/A 7955-2023.docx", "A 7955-2023")</f>
        <v/>
      </c>
      <c r="X346">
        <f>HYPERLINK("https://klasma.github.io/Logging_UPPLANDS-BRO/tillsyn/A 7955-2023.docx", "A 7955-2023")</f>
        <v/>
      </c>
      <c r="Y346">
        <f>HYPERLINK("https://klasma.github.io/Logging_UPPLANDS-BRO/tillsynsmail/A 7955-2023.docx", "A 7955-2023")</f>
        <v/>
      </c>
    </row>
    <row r="347" ht="15" customHeight="1">
      <c r="A347" t="inlineStr">
        <is>
          <t>A 8149-2023</t>
        </is>
      </c>
      <c r="B347" s="1" t="n">
        <v>44974</v>
      </c>
      <c r="C347" s="1" t="n">
        <v>45208</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HYPERLINK("https://klasma.github.io/Logging_SIGTUNA/artfynd/A 8149-2023.xlsx", "A 8149-2023")</f>
        <v/>
      </c>
      <c r="T347">
        <f>HYPERLINK("https://klasma.github.io/Logging_SIGTUNA/kartor/A 8149-2023.png", "A 8149-2023")</f>
        <v/>
      </c>
      <c r="V347">
        <f>HYPERLINK("https://klasma.github.io/Logging_SIGTUNA/klagomål/A 8149-2023.docx", "A 8149-2023")</f>
        <v/>
      </c>
      <c r="W347">
        <f>HYPERLINK("https://klasma.github.io/Logging_SIGTUNA/klagomålsmail/A 8149-2023.docx", "A 8149-2023")</f>
        <v/>
      </c>
      <c r="X347">
        <f>HYPERLINK("https://klasma.github.io/Logging_SIGTUNA/tillsyn/A 8149-2023.docx", "A 8149-2023")</f>
        <v/>
      </c>
      <c r="Y347">
        <f>HYPERLINK("https://klasma.github.io/Logging_SIGTUNA/tillsynsmail/A 8149-2023.docx", "A 8149-2023")</f>
        <v/>
      </c>
    </row>
    <row r="348" ht="15" customHeight="1">
      <c r="A348" t="inlineStr">
        <is>
          <t>A 9214-2023</t>
        </is>
      </c>
      <c r="B348" s="1" t="n">
        <v>44980</v>
      </c>
      <c r="C348" s="1" t="n">
        <v>45208</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HYPERLINK("https://klasma.github.io/Logging_NORRTALJE/artfynd/A 9214-2023.xlsx", "A 9214-2023")</f>
        <v/>
      </c>
      <c r="T348">
        <f>HYPERLINK("https://klasma.github.io/Logging_NORRTALJE/kartor/A 9214-2023.png", "A 9214-2023")</f>
        <v/>
      </c>
      <c r="V348">
        <f>HYPERLINK("https://klasma.github.io/Logging_NORRTALJE/klagomål/A 9214-2023.docx", "A 9214-2023")</f>
        <v/>
      </c>
      <c r="W348">
        <f>HYPERLINK("https://klasma.github.io/Logging_NORRTALJE/klagomålsmail/A 9214-2023.docx", "A 9214-2023")</f>
        <v/>
      </c>
      <c r="X348">
        <f>HYPERLINK("https://klasma.github.io/Logging_NORRTALJE/tillsyn/A 9214-2023.docx", "A 9214-2023")</f>
        <v/>
      </c>
      <c r="Y348">
        <f>HYPERLINK("https://klasma.github.io/Logging_NORRTALJE/tillsynsmail/A 9214-2023.docx", "A 9214-2023")</f>
        <v/>
      </c>
    </row>
    <row r="349" ht="15" customHeight="1">
      <c r="A349" t="inlineStr">
        <is>
          <t>A 9268-2023</t>
        </is>
      </c>
      <c r="B349" s="1" t="n">
        <v>44980</v>
      </c>
      <c r="C349" s="1" t="n">
        <v>45208</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HYPERLINK("https://klasma.github.io/Logging_NYNASHAMN/artfynd/A 9268-2023.xlsx", "A 9268-2023")</f>
        <v/>
      </c>
      <c r="T349">
        <f>HYPERLINK("https://klasma.github.io/Logging_NYNASHAMN/kartor/A 9268-2023.png", "A 9268-2023")</f>
        <v/>
      </c>
      <c r="V349">
        <f>HYPERLINK("https://klasma.github.io/Logging_NYNASHAMN/klagomål/A 9268-2023.docx", "A 9268-2023")</f>
        <v/>
      </c>
      <c r="W349">
        <f>HYPERLINK("https://klasma.github.io/Logging_NYNASHAMN/klagomålsmail/A 9268-2023.docx", "A 9268-2023")</f>
        <v/>
      </c>
      <c r="X349">
        <f>HYPERLINK("https://klasma.github.io/Logging_NYNASHAMN/tillsyn/A 9268-2023.docx", "A 9268-2023")</f>
        <v/>
      </c>
      <c r="Y349">
        <f>HYPERLINK("https://klasma.github.io/Logging_NYNASHAMN/tillsynsmail/A 9268-2023.docx", "A 9268-2023")</f>
        <v/>
      </c>
    </row>
    <row r="350" ht="15" customHeight="1">
      <c r="A350" t="inlineStr">
        <is>
          <t>A 9271-2023</t>
        </is>
      </c>
      <c r="B350" s="1" t="n">
        <v>44980</v>
      </c>
      <c r="C350" s="1" t="n">
        <v>45208</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HYPERLINK("https://klasma.github.io/Logging_NORRTALJE/artfynd/A 9271-2023.xlsx", "A 9271-2023")</f>
        <v/>
      </c>
      <c r="T350">
        <f>HYPERLINK("https://klasma.github.io/Logging_NORRTALJE/kartor/A 9271-2023.png", "A 9271-2023")</f>
        <v/>
      </c>
      <c r="V350">
        <f>HYPERLINK("https://klasma.github.io/Logging_NORRTALJE/klagomål/A 9271-2023.docx", "A 9271-2023")</f>
        <v/>
      </c>
      <c r="W350">
        <f>HYPERLINK("https://klasma.github.io/Logging_NORRTALJE/klagomålsmail/A 9271-2023.docx", "A 9271-2023")</f>
        <v/>
      </c>
      <c r="X350">
        <f>HYPERLINK("https://klasma.github.io/Logging_NORRTALJE/tillsyn/A 9271-2023.docx", "A 9271-2023")</f>
        <v/>
      </c>
      <c r="Y350">
        <f>HYPERLINK("https://klasma.github.io/Logging_NORRTALJE/tillsynsmail/A 9271-2023.docx", "A 9271-2023")</f>
        <v/>
      </c>
    </row>
    <row r="351" ht="15" customHeight="1">
      <c r="A351" t="inlineStr">
        <is>
          <t>A 9522-2023</t>
        </is>
      </c>
      <c r="B351" s="1" t="n">
        <v>44981</v>
      </c>
      <c r="C351" s="1" t="n">
        <v>45208</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9522-2023.xlsx", "A 9522-2023")</f>
        <v/>
      </c>
      <c r="T351">
        <f>HYPERLINK("https://klasma.github.io/Logging_NORRTALJE/kartor/A 9522-2023.png", "A 9522-2023")</f>
        <v/>
      </c>
      <c r="V351">
        <f>HYPERLINK("https://klasma.github.io/Logging_NORRTALJE/klagomål/A 9522-2023.docx", "A 9522-2023")</f>
        <v/>
      </c>
      <c r="W351">
        <f>HYPERLINK("https://klasma.github.io/Logging_NORRTALJE/klagomålsmail/A 9522-2023.docx", "A 9522-2023")</f>
        <v/>
      </c>
      <c r="X351">
        <f>HYPERLINK("https://klasma.github.io/Logging_NORRTALJE/tillsyn/A 9522-2023.docx", "A 9522-2023")</f>
        <v/>
      </c>
      <c r="Y351">
        <f>HYPERLINK("https://klasma.github.io/Logging_NORRTALJE/tillsynsmail/A 9522-2023.docx", "A 9522-2023")</f>
        <v/>
      </c>
    </row>
    <row r="352" ht="15" customHeight="1">
      <c r="A352" t="inlineStr">
        <is>
          <t>A 11244-2023</t>
        </is>
      </c>
      <c r="B352" s="1" t="n">
        <v>44992</v>
      </c>
      <c r="C352" s="1" t="n">
        <v>45208</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HYPERLINK("https://klasma.github.io/Logging_VALLENTUNA/artfynd/A 11244-2023.xlsx", "A 11244-2023")</f>
        <v/>
      </c>
      <c r="T352">
        <f>HYPERLINK("https://klasma.github.io/Logging_VALLENTUNA/kartor/A 11244-2023.png", "A 11244-2023")</f>
        <v/>
      </c>
      <c r="V352">
        <f>HYPERLINK("https://klasma.github.io/Logging_VALLENTUNA/klagomål/A 11244-2023.docx", "A 11244-2023")</f>
        <v/>
      </c>
      <c r="W352">
        <f>HYPERLINK("https://klasma.github.io/Logging_VALLENTUNA/klagomålsmail/A 11244-2023.docx", "A 11244-2023")</f>
        <v/>
      </c>
      <c r="X352">
        <f>HYPERLINK("https://klasma.github.io/Logging_VALLENTUNA/tillsyn/A 11244-2023.docx", "A 11244-2023")</f>
        <v/>
      </c>
      <c r="Y352">
        <f>HYPERLINK("https://klasma.github.io/Logging_VALLENTUNA/tillsynsmail/A 11244-2023.docx", "A 11244-2023")</f>
        <v/>
      </c>
    </row>
    <row r="353" ht="15" customHeight="1">
      <c r="A353" t="inlineStr">
        <is>
          <t>A 11429-2023</t>
        </is>
      </c>
      <c r="B353" s="1" t="n">
        <v>44993</v>
      </c>
      <c r="C353" s="1" t="n">
        <v>45208</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HYPERLINK("https://klasma.github.io/Logging_NORRTALJE/artfynd/A 11429-2023.xlsx", "A 11429-2023")</f>
        <v/>
      </c>
      <c r="T353">
        <f>HYPERLINK("https://klasma.github.io/Logging_NORRTALJE/kartor/A 11429-2023.png", "A 11429-2023")</f>
        <v/>
      </c>
      <c r="V353">
        <f>HYPERLINK("https://klasma.github.io/Logging_NORRTALJE/klagomål/A 11429-2023.docx", "A 11429-2023")</f>
        <v/>
      </c>
      <c r="W353">
        <f>HYPERLINK("https://klasma.github.io/Logging_NORRTALJE/klagomålsmail/A 11429-2023.docx", "A 11429-2023")</f>
        <v/>
      </c>
      <c r="X353">
        <f>HYPERLINK("https://klasma.github.io/Logging_NORRTALJE/tillsyn/A 11429-2023.docx", "A 11429-2023")</f>
        <v/>
      </c>
      <c r="Y353">
        <f>HYPERLINK("https://klasma.github.io/Logging_NORRTALJE/tillsynsmail/A 11429-2023.docx", "A 11429-2023")</f>
        <v/>
      </c>
    </row>
    <row r="354" ht="15" customHeight="1">
      <c r="A354" t="inlineStr">
        <is>
          <t>A 13794-2023</t>
        </is>
      </c>
      <c r="B354" s="1" t="n">
        <v>45007</v>
      </c>
      <c r="C354" s="1" t="n">
        <v>45208</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HYPERLINK("https://klasma.github.io/Logging_EKERO/artfynd/A 13794-2023.xlsx", "A 13794-2023")</f>
        <v/>
      </c>
      <c r="T354">
        <f>HYPERLINK("https://klasma.github.io/Logging_EKERO/kartor/A 13794-2023.png", "A 13794-2023")</f>
        <v/>
      </c>
      <c r="V354">
        <f>HYPERLINK("https://klasma.github.io/Logging_EKERO/klagomål/A 13794-2023.docx", "A 13794-2023")</f>
        <v/>
      </c>
      <c r="W354">
        <f>HYPERLINK("https://klasma.github.io/Logging_EKERO/klagomålsmail/A 13794-2023.docx", "A 13794-2023")</f>
        <v/>
      </c>
      <c r="X354">
        <f>HYPERLINK("https://klasma.github.io/Logging_EKERO/tillsyn/A 13794-2023.docx", "A 13794-2023")</f>
        <v/>
      </c>
      <c r="Y354">
        <f>HYPERLINK("https://klasma.github.io/Logging_EKERO/tillsynsmail/A 13794-2023.docx", "A 13794-2023")</f>
        <v/>
      </c>
    </row>
    <row r="355" ht="15" customHeight="1">
      <c r="A355" t="inlineStr">
        <is>
          <t>A 15644-2023</t>
        </is>
      </c>
      <c r="B355" s="1" t="n">
        <v>45021</v>
      </c>
      <c r="C355" s="1" t="n">
        <v>45208</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HYPERLINK("https://klasma.github.io/Logging_NORRTALJE/artfynd/A 15644-2023.xlsx", "A 15644-2023")</f>
        <v/>
      </c>
      <c r="T355">
        <f>HYPERLINK("https://klasma.github.io/Logging_NORRTALJE/kartor/A 15644-2023.png", "A 15644-2023")</f>
        <v/>
      </c>
      <c r="V355">
        <f>HYPERLINK("https://klasma.github.io/Logging_NORRTALJE/klagomål/A 15644-2023.docx", "A 15644-2023")</f>
        <v/>
      </c>
      <c r="W355">
        <f>HYPERLINK("https://klasma.github.io/Logging_NORRTALJE/klagomålsmail/A 15644-2023.docx", "A 15644-2023")</f>
        <v/>
      </c>
      <c r="X355">
        <f>HYPERLINK("https://klasma.github.io/Logging_NORRTALJE/tillsyn/A 15644-2023.docx", "A 15644-2023")</f>
        <v/>
      </c>
      <c r="Y355">
        <f>HYPERLINK("https://klasma.github.io/Logging_NORRTALJE/tillsynsmail/A 15644-2023.docx", "A 15644-2023")</f>
        <v/>
      </c>
    </row>
    <row r="356" ht="15" customHeight="1">
      <c r="A356" t="inlineStr">
        <is>
          <t>A 18216-2023</t>
        </is>
      </c>
      <c r="B356" s="1" t="n">
        <v>45041</v>
      </c>
      <c r="C356" s="1" t="n">
        <v>45208</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HYPERLINK("https://klasma.github.io/Logging_NORRTALJE/artfynd/A 18216-2023.xlsx", "A 18216-2023")</f>
        <v/>
      </c>
      <c r="T356">
        <f>HYPERLINK("https://klasma.github.io/Logging_NORRTALJE/kartor/A 18216-2023.png", "A 18216-2023")</f>
        <v/>
      </c>
      <c r="V356">
        <f>HYPERLINK("https://klasma.github.io/Logging_NORRTALJE/klagomål/A 18216-2023.docx", "A 18216-2023")</f>
        <v/>
      </c>
      <c r="W356">
        <f>HYPERLINK("https://klasma.github.io/Logging_NORRTALJE/klagomålsmail/A 18216-2023.docx", "A 18216-2023")</f>
        <v/>
      </c>
      <c r="X356">
        <f>HYPERLINK("https://klasma.github.io/Logging_NORRTALJE/tillsyn/A 18216-2023.docx", "A 18216-2023")</f>
        <v/>
      </c>
      <c r="Y356">
        <f>HYPERLINK("https://klasma.github.io/Logging_NORRTALJE/tillsynsmail/A 18216-2023.docx", "A 18216-2023")</f>
        <v/>
      </c>
    </row>
    <row r="357" ht="15" customHeight="1">
      <c r="A357" t="inlineStr">
        <is>
          <t>A 19489-2023</t>
        </is>
      </c>
      <c r="B357" s="1" t="n">
        <v>45050</v>
      </c>
      <c r="C357" s="1" t="n">
        <v>45208</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HYPERLINK("https://klasma.github.io/Logging_NYKVARN/artfynd/A 19489-2023.xlsx", "A 19489-2023")</f>
        <v/>
      </c>
      <c r="T357">
        <f>HYPERLINK("https://klasma.github.io/Logging_NYKVARN/kartor/A 19489-2023.png", "A 19489-2023")</f>
        <v/>
      </c>
      <c r="V357">
        <f>HYPERLINK("https://klasma.github.io/Logging_NYKVARN/klagomål/A 19489-2023.docx", "A 19489-2023")</f>
        <v/>
      </c>
      <c r="W357">
        <f>HYPERLINK("https://klasma.github.io/Logging_NYKVARN/klagomålsmail/A 19489-2023.docx", "A 19489-2023")</f>
        <v/>
      </c>
      <c r="X357">
        <f>HYPERLINK("https://klasma.github.io/Logging_NYKVARN/tillsyn/A 19489-2023.docx", "A 19489-2023")</f>
        <v/>
      </c>
      <c r="Y357">
        <f>HYPERLINK("https://klasma.github.io/Logging_NYKVARN/tillsynsmail/A 19489-2023.docx", "A 19489-2023")</f>
        <v/>
      </c>
    </row>
    <row r="358" ht="15" customHeight="1">
      <c r="A358" t="inlineStr">
        <is>
          <t>A 24233-2023</t>
        </is>
      </c>
      <c r="B358" s="1" t="n">
        <v>45076</v>
      </c>
      <c r="C358" s="1" t="n">
        <v>45208</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HYPERLINK("https://klasma.github.io/Logging_HUDDINGE/artfynd/A 24233-2023.xlsx", "A 24233-2023")</f>
        <v/>
      </c>
      <c r="T358">
        <f>HYPERLINK("https://klasma.github.io/Logging_HUDDINGE/kartor/A 24233-2023.png", "A 24233-2023")</f>
        <v/>
      </c>
      <c r="V358">
        <f>HYPERLINK("https://klasma.github.io/Logging_HUDDINGE/klagomål/A 24233-2023.docx", "A 24233-2023")</f>
        <v/>
      </c>
      <c r="W358">
        <f>HYPERLINK("https://klasma.github.io/Logging_HUDDINGE/klagomålsmail/A 24233-2023.docx", "A 24233-2023")</f>
        <v/>
      </c>
      <c r="X358">
        <f>HYPERLINK("https://klasma.github.io/Logging_HUDDINGE/tillsyn/A 24233-2023.docx", "A 24233-2023")</f>
        <v/>
      </c>
      <c r="Y358">
        <f>HYPERLINK("https://klasma.github.io/Logging_HUDDINGE/tillsynsmail/A 24233-2023.docx", "A 24233-2023")</f>
        <v/>
      </c>
    </row>
    <row r="359" ht="15" customHeight="1">
      <c r="A359" t="inlineStr">
        <is>
          <t>A 23829-2023</t>
        </is>
      </c>
      <c r="B359" s="1" t="n">
        <v>45078</v>
      </c>
      <c r="C359" s="1" t="n">
        <v>45208</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HYPERLINK("https://klasma.github.io/Logging_BOTKYRKA/artfynd/A 23829-2023.xlsx", "A 23829-2023")</f>
        <v/>
      </c>
      <c r="T359">
        <f>HYPERLINK("https://klasma.github.io/Logging_BOTKYRKA/kartor/A 23829-2023.png", "A 23829-2023")</f>
        <v/>
      </c>
      <c r="V359">
        <f>HYPERLINK("https://klasma.github.io/Logging_BOTKYRKA/klagomål/A 23829-2023.docx", "A 23829-2023")</f>
        <v/>
      </c>
      <c r="W359">
        <f>HYPERLINK("https://klasma.github.io/Logging_BOTKYRKA/klagomålsmail/A 23829-2023.docx", "A 23829-2023")</f>
        <v/>
      </c>
      <c r="X359">
        <f>HYPERLINK("https://klasma.github.io/Logging_BOTKYRKA/tillsyn/A 23829-2023.docx", "A 23829-2023")</f>
        <v/>
      </c>
      <c r="Y359">
        <f>HYPERLINK("https://klasma.github.io/Logging_BOTKYRKA/tillsynsmail/A 23829-2023.docx", "A 23829-2023")</f>
        <v/>
      </c>
    </row>
    <row r="360" ht="15" customHeight="1">
      <c r="A360" t="inlineStr">
        <is>
          <t>A 23823-2023</t>
        </is>
      </c>
      <c r="B360" s="1" t="n">
        <v>45078</v>
      </c>
      <c r="C360" s="1" t="n">
        <v>45208</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HYPERLINK("https://klasma.github.io/Logging_SALEM/artfynd/A 23823-2023.xlsx", "A 23823-2023")</f>
        <v/>
      </c>
      <c r="T360">
        <f>HYPERLINK("https://klasma.github.io/Logging_SALEM/kartor/A 23823-2023.png", "A 23823-2023")</f>
        <v/>
      </c>
      <c r="V360">
        <f>HYPERLINK("https://klasma.github.io/Logging_SALEM/klagomål/A 23823-2023.docx", "A 23823-2023")</f>
        <v/>
      </c>
      <c r="W360">
        <f>HYPERLINK("https://klasma.github.io/Logging_SALEM/klagomålsmail/A 23823-2023.docx", "A 23823-2023")</f>
        <v/>
      </c>
      <c r="X360">
        <f>HYPERLINK("https://klasma.github.io/Logging_SALEM/tillsyn/A 23823-2023.docx", "A 23823-2023")</f>
        <v/>
      </c>
      <c r="Y360">
        <f>HYPERLINK("https://klasma.github.io/Logging_SALEM/tillsynsmail/A 23823-2023.docx", "A 23823-2023")</f>
        <v/>
      </c>
    </row>
    <row r="361" ht="15" customHeight="1">
      <c r="A361" t="inlineStr">
        <is>
          <t>A 24535-2023</t>
        </is>
      </c>
      <c r="B361" s="1" t="n">
        <v>45082</v>
      </c>
      <c r="C361" s="1" t="n">
        <v>45208</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HYPERLINK("https://klasma.github.io/Logging_NORRTALJE/artfynd/A 24535-2023.xlsx", "A 24535-2023")</f>
        <v/>
      </c>
      <c r="T361">
        <f>HYPERLINK("https://klasma.github.io/Logging_NORRTALJE/kartor/A 24535-2023.png", "A 24535-2023")</f>
        <v/>
      </c>
      <c r="V361">
        <f>HYPERLINK("https://klasma.github.io/Logging_NORRTALJE/klagomål/A 24535-2023.docx", "A 24535-2023")</f>
        <v/>
      </c>
      <c r="W361">
        <f>HYPERLINK("https://klasma.github.io/Logging_NORRTALJE/klagomålsmail/A 24535-2023.docx", "A 24535-2023")</f>
        <v/>
      </c>
      <c r="X361">
        <f>HYPERLINK("https://klasma.github.io/Logging_NORRTALJE/tillsyn/A 24535-2023.docx", "A 24535-2023")</f>
        <v/>
      </c>
      <c r="Y361">
        <f>HYPERLINK("https://klasma.github.io/Logging_NORRTALJE/tillsynsmail/A 24535-2023.docx", "A 24535-2023")</f>
        <v/>
      </c>
    </row>
    <row r="362" ht="15" customHeight="1">
      <c r="A362" t="inlineStr">
        <is>
          <t>A 26635-2023</t>
        </is>
      </c>
      <c r="B362" s="1" t="n">
        <v>45092</v>
      </c>
      <c r="C362" s="1" t="n">
        <v>45208</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HYPERLINK("https://klasma.github.io/Logging_NORRTALJE/artfynd/A 26635-2023.xlsx", "A 26635-2023")</f>
        <v/>
      </c>
      <c r="T362">
        <f>HYPERLINK("https://klasma.github.io/Logging_NORRTALJE/kartor/A 26635-2023.png", "A 26635-2023")</f>
        <v/>
      </c>
      <c r="V362">
        <f>HYPERLINK("https://klasma.github.io/Logging_NORRTALJE/klagomål/A 26635-2023.docx", "A 26635-2023")</f>
        <v/>
      </c>
      <c r="W362">
        <f>HYPERLINK("https://klasma.github.io/Logging_NORRTALJE/klagomålsmail/A 26635-2023.docx", "A 26635-2023")</f>
        <v/>
      </c>
      <c r="X362">
        <f>HYPERLINK("https://klasma.github.io/Logging_NORRTALJE/tillsyn/A 26635-2023.docx", "A 26635-2023")</f>
        <v/>
      </c>
      <c r="Y362">
        <f>HYPERLINK("https://klasma.github.io/Logging_NORRTALJE/tillsynsmail/A 26635-2023.docx", "A 26635-2023")</f>
        <v/>
      </c>
    </row>
    <row r="363" ht="15" customHeight="1">
      <c r="A363" t="inlineStr">
        <is>
          <t>A 31142-2023</t>
        </is>
      </c>
      <c r="B363" s="1" t="n">
        <v>45113</v>
      </c>
      <c r="C363" s="1" t="n">
        <v>45208</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HYPERLINK("https://klasma.github.io/Logging_NYNASHAMN/artfynd/A 31142-2023.xlsx", "A 31142-2023")</f>
        <v/>
      </c>
      <c r="T363">
        <f>HYPERLINK("https://klasma.github.io/Logging_NYNASHAMN/kartor/A 31142-2023.png", "A 31142-2023")</f>
        <v/>
      </c>
      <c r="V363">
        <f>HYPERLINK("https://klasma.github.io/Logging_NYNASHAMN/klagomål/A 31142-2023.docx", "A 31142-2023")</f>
        <v/>
      </c>
      <c r="W363">
        <f>HYPERLINK("https://klasma.github.io/Logging_NYNASHAMN/klagomålsmail/A 31142-2023.docx", "A 31142-2023")</f>
        <v/>
      </c>
      <c r="X363">
        <f>HYPERLINK("https://klasma.github.io/Logging_NYNASHAMN/tillsyn/A 31142-2023.docx", "A 31142-2023")</f>
        <v/>
      </c>
      <c r="Y363">
        <f>HYPERLINK("https://klasma.github.io/Logging_NYNASHAMN/tillsynsmail/A 31142-2023.docx", "A 31142-2023")</f>
        <v/>
      </c>
    </row>
    <row r="364" ht="15" customHeight="1">
      <c r="A364" t="inlineStr">
        <is>
          <t>A 31828-2023</t>
        </is>
      </c>
      <c r="B364" s="1" t="n">
        <v>45118</v>
      </c>
      <c r="C364" s="1" t="n">
        <v>45208</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HYPERLINK("https://klasma.github.io/Logging_NYNASHAMN/artfynd/A 31828-2023.xlsx", "A 31828-2023")</f>
        <v/>
      </c>
      <c r="T364">
        <f>HYPERLINK("https://klasma.github.io/Logging_NYNASHAMN/kartor/A 31828-2023.png", "A 31828-2023")</f>
        <v/>
      </c>
      <c r="V364">
        <f>HYPERLINK("https://klasma.github.io/Logging_NYNASHAMN/klagomål/A 31828-2023.docx", "A 31828-2023")</f>
        <v/>
      </c>
      <c r="W364">
        <f>HYPERLINK("https://klasma.github.io/Logging_NYNASHAMN/klagomålsmail/A 31828-2023.docx", "A 31828-2023")</f>
        <v/>
      </c>
      <c r="X364">
        <f>HYPERLINK("https://klasma.github.io/Logging_NYNASHAMN/tillsyn/A 31828-2023.docx", "A 31828-2023")</f>
        <v/>
      </c>
      <c r="Y364">
        <f>HYPERLINK("https://klasma.github.io/Logging_NYNASHAMN/tillsynsmail/A 31828-2023.docx", "A 31828-2023")</f>
        <v/>
      </c>
    </row>
    <row r="365" ht="15" customHeight="1">
      <c r="A365" t="inlineStr">
        <is>
          <t>A 33528-2023</t>
        </is>
      </c>
      <c r="B365" s="1" t="n">
        <v>45131</v>
      </c>
      <c r="C365" s="1" t="n">
        <v>45208</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HYPERLINK("https://klasma.github.io/Logging_NYNASHAMN/artfynd/A 33528-2023.xlsx", "A 33528-2023")</f>
        <v/>
      </c>
      <c r="T365">
        <f>HYPERLINK("https://klasma.github.io/Logging_NYNASHAMN/kartor/A 33528-2023.png", "A 33528-2023")</f>
        <v/>
      </c>
      <c r="V365">
        <f>HYPERLINK("https://klasma.github.io/Logging_NYNASHAMN/klagomål/A 33528-2023.docx", "A 33528-2023")</f>
        <v/>
      </c>
      <c r="W365">
        <f>HYPERLINK("https://klasma.github.io/Logging_NYNASHAMN/klagomålsmail/A 33528-2023.docx", "A 33528-2023")</f>
        <v/>
      </c>
      <c r="X365">
        <f>HYPERLINK("https://klasma.github.io/Logging_NYNASHAMN/tillsyn/A 33528-2023.docx", "A 33528-2023")</f>
        <v/>
      </c>
      <c r="Y365">
        <f>HYPERLINK("https://klasma.github.io/Logging_NYNASHAMN/tillsynsmail/A 33528-2023.docx", "A 33528-2023")</f>
        <v/>
      </c>
    </row>
    <row r="366" ht="15" customHeight="1">
      <c r="A366" t="inlineStr">
        <is>
          <t>A 35155-2023</t>
        </is>
      </c>
      <c r="B366" s="1" t="n">
        <v>45145</v>
      </c>
      <c r="C366" s="1" t="n">
        <v>45208</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HYPERLINK("https://klasma.github.io/Logging_SODERTALJE/artfynd/A 35155-2023.xlsx", "A 35155-2023")</f>
        <v/>
      </c>
      <c r="T366">
        <f>HYPERLINK("https://klasma.github.io/Logging_SODERTALJE/kartor/A 35155-2023.png", "A 35155-2023")</f>
        <v/>
      </c>
      <c r="V366">
        <f>HYPERLINK("https://klasma.github.io/Logging_SODERTALJE/klagomål/A 35155-2023.docx", "A 35155-2023")</f>
        <v/>
      </c>
      <c r="W366">
        <f>HYPERLINK("https://klasma.github.io/Logging_SODERTALJE/klagomålsmail/A 35155-2023.docx", "A 35155-2023")</f>
        <v/>
      </c>
      <c r="X366">
        <f>HYPERLINK("https://klasma.github.io/Logging_SODERTALJE/tillsyn/A 35155-2023.docx", "A 35155-2023")</f>
        <v/>
      </c>
      <c r="Y366">
        <f>HYPERLINK("https://klasma.github.io/Logging_SODERTALJE/tillsynsmail/A 35155-2023.docx", "A 35155-2023")</f>
        <v/>
      </c>
    </row>
    <row r="367" ht="15" customHeight="1">
      <c r="A367" t="inlineStr">
        <is>
          <t>A 35649-2023</t>
        </is>
      </c>
      <c r="B367" s="1" t="n">
        <v>45146</v>
      </c>
      <c r="C367" s="1" t="n">
        <v>45208</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HYPERLINK("https://klasma.github.io/Logging_NORRTALJE/artfynd/A 35649-2023.xlsx", "A 35649-2023")</f>
        <v/>
      </c>
      <c r="T367">
        <f>HYPERLINK("https://klasma.github.io/Logging_NORRTALJE/kartor/A 35649-2023.png", "A 35649-2023")</f>
        <v/>
      </c>
      <c r="V367">
        <f>HYPERLINK("https://klasma.github.io/Logging_NORRTALJE/klagomål/A 35649-2023.docx", "A 35649-2023")</f>
        <v/>
      </c>
      <c r="W367">
        <f>HYPERLINK("https://klasma.github.io/Logging_NORRTALJE/klagomålsmail/A 35649-2023.docx", "A 35649-2023")</f>
        <v/>
      </c>
      <c r="X367">
        <f>HYPERLINK("https://klasma.github.io/Logging_NORRTALJE/tillsyn/A 35649-2023.docx", "A 35649-2023")</f>
        <v/>
      </c>
      <c r="Y367">
        <f>HYPERLINK("https://klasma.github.io/Logging_NORRTALJE/tillsynsmail/A 35649-2023.docx", "A 35649-2023")</f>
        <v/>
      </c>
    </row>
    <row r="368" ht="15" customHeight="1">
      <c r="A368" t="inlineStr">
        <is>
          <t>A 38276-2023</t>
        </is>
      </c>
      <c r="B368" s="1" t="n">
        <v>45160</v>
      </c>
      <c r="C368" s="1" t="n">
        <v>45208</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HYPERLINK("https://klasma.github.io/Logging_SIGTUNA/artfynd/A 38276-2023.xlsx", "A 38276-2023")</f>
        <v/>
      </c>
      <c r="T368">
        <f>HYPERLINK("https://klasma.github.io/Logging_SIGTUNA/kartor/A 38276-2023.png", "A 38276-2023")</f>
        <v/>
      </c>
      <c r="V368">
        <f>HYPERLINK("https://klasma.github.io/Logging_SIGTUNA/klagomål/A 38276-2023.docx", "A 38276-2023")</f>
        <v/>
      </c>
      <c r="W368">
        <f>HYPERLINK("https://klasma.github.io/Logging_SIGTUNA/klagomålsmail/A 38276-2023.docx", "A 38276-2023")</f>
        <v/>
      </c>
      <c r="X368">
        <f>HYPERLINK("https://klasma.github.io/Logging_SIGTUNA/tillsyn/A 38276-2023.docx", "A 38276-2023")</f>
        <v/>
      </c>
      <c r="Y368">
        <f>HYPERLINK("https://klasma.github.io/Logging_SIGTUNA/tillsynsmail/A 38276-2023.docx", "A 38276-2023")</f>
        <v/>
      </c>
    </row>
    <row r="369" ht="15" customHeight="1">
      <c r="A369" t="inlineStr">
        <is>
          <t>A 39613-2023</t>
        </is>
      </c>
      <c r="B369" s="1" t="n">
        <v>45163</v>
      </c>
      <c r="C369" s="1" t="n">
        <v>45208</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HYPERLINK("https://klasma.github.io/Logging_SIGTUNA/artfynd/A 39613-2023.xlsx", "A 39613-2023")</f>
        <v/>
      </c>
      <c r="T369">
        <f>HYPERLINK("https://klasma.github.io/Logging_SIGTUNA/kartor/A 39613-2023.png", "A 39613-2023")</f>
        <v/>
      </c>
      <c r="V369">
        <f>HYPERLINK("https://klasma.github.io/Logging_SIGTUNA/klagomål/A 39613-2023.docx", "A 39613-2023")</f>
        <v/>
      </c>
      <c r="W369">
        <f>HYPERLINK("https://klasma.github.io/Logging_SIGTUNA/klagomålsmail/A 39613-2023.docx", "A 39613-2023")</f>
        <v/>
      </c>
      <c r="X369">
        <f>HYPERLINK("https://klasma.github.io/Logging_SIGTUNA/tillsyn/A 39613-2023.docx", "A 39613-2023")</f>
        <v/>
      </c>
      <c r="Y369">
        <f>HYPERLINK("https://klasma.github.io/Logging_SIGTUNA/tillsynsmail/A 39613-2023.docx", "A 39613-2023")</f>
        <v/>
      </c>
    </row>
    <row r="370" ht="15" customHeight="1">
      <c r="A370" t="inlineStr">
        <is>
          <t>A 39716-2023</t>
        </is>
      </c>
      <c r="B370" s="1" t="n">
        <v>45166</v>
      </c>
      <c r="C370" s="1" t="n">
        <v>45208</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HYPERLINK("https://klasma.github.io/Logging_SIGTUNA/artfynd/A 39716-2023.xlsx", "A 39716-2023")</f>
        <v/>
      </c>
      <c r="T370">
        <f>HYPERLINK("https://klasma.github.io/Logging_SIGTUNA/kartor/A 39716-2023.png", "A 39716-2023")</f>
        <v/>
      </c>
      <c r="V370">
        <f>HYPERLINK("https://klasma.github.io/Logging_SIGTUNA/klagomål/A 39716-2023.docx", "A 39716-2023")</f>
        <v/>
      </c>
      <c r="W370">
        <f>HYPERLINK("https://klasma.github.io/Logging_SIGTUNA/klagomålsmail/A 39716-2023.docx", "A 39716-2023")</f>
        <v/>
      </c>
      <c r="X370">
        <f>HYPERLINK("https://klasma.github.io/Logging_SIGTUNA/tillsyn/A 39716-2023.docx", "A 39716-2023")</f>
        <v/>
      </c>
      <c r="Y370">
        <f>HYPERLINK("https://klasma.github.io/Logging_SIGTUNA/tillsynsmail/A 39716-2023.docx", "A 39716-2023")</f>
        <v/>
      </c>
    </row>
    <row r="371" ht="15" customHeight="1">
      <c r="A371" t="inlineStr">
        <is>
          <t>A 43354-2023</t>
        </is>
      </c>
      <c r="B371" s="1" t="n">
        <v>45183</v>
      </c>
      <c r="C371" s="1" t="n">
        <v>45208</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HYPERLINK("https://klasma.github.io/Logging_NORRTALJE/artfynd/A 43354-2023.xlsx", "A 43354-2023")</f>
        <v/>
      </c>
      <c r="T371">
        <f>HYPERLINK("https://klasma.github.io/Logging_NORRTALJE/kartor/A 43354-2023.png", "A 43354-2023")</f>
        <v/>
      </c>
      <c r="V371">
        <f>HYPERLINK("https://klasma.github.io/Logging_NORRTALJE/klagomål/A 43354-2023.docx", "A 43354-2023")</f>
        <v/>
      </c>
      <c r="W371">
        <f>HYPERLINK("https://klasma.github.io/Logging_NORRTALJE/klagomålsmail/A 43354-2023.docx", "A 43354-2023")</f>
        <v/>
      </c>
      <c r="X371">
        <f>HYPERLINK("https://klasma.github.io/Logging_NORRTALJE/tillsyn/A 43354-2023.docx", "A 43354-2023")</f>
        <v/>
      </c>
      <c r="Y371">
        <f>HYPERLINK("https://klasma.github.io/Logging_NORRTALJE/tillsynsmail/A 43354-2023.docx", "A 43354-2023")</f>
        <v/>
      </c>
    </row>
    <row r="372" ht="15" customHeight="1">
      <c r="A372" t="inlineStr">
        <is>
          <t>A 45172-2023</t>
        </is>
      </c>
      <c r="B372" s="1" t="n">
        <v>45191</v>
      </c>
      <c r="C372" s="1" t="n">
        <v>45208</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HYPERLINK("https://klasma.github.io/Logging_NORRTALJE/artfynd/A 45172-2023.xlsx", "A 45172-2023")</f>
        <v/>
      </c>
      <c r="T372">
        <f>HYPERLINK("https://klasma.github.io/Logging_NORRTALJE/kartor/A 45172-2023.png", "A 45172-2023")</f>
        <v/>
      </c>
      <c r="V372">
        <f>HYPERLINK("https://klasma.github.io/Logging_NORRTALJE/klagomål/A 45172-2023.docx", "A 45172-2023")</f>
        <v/>
      </c>
      <c r="W372">
        <f>HYPERLINK("https://klasma.github.io/Logging_NORRTALJE/klagomålsmail/A 45172-2023.docx", "A 45172-2023")</f>
        <v/>
      </c>
      <c r="X372">
        <f>HYPERLINK("https://klasma.github.io/Logging_NORRTALJE/tillsyn/A 45172-2023.docx", "A 45172-2023")</f>
        <v/>
      </c>
      <c r="Y372">
        <f>HYPERLINK("https://klasma.github.io/Logging_NORRTALJE/tillsynsmail/A 45172-2023.docx", "A 45172-2023")</f>
        <v/>
      </c>
    </row>
    <row r="373" ht="15" customHeight="1">
      <c r="A373" t="inlineStr">
        <is>
          <t>A 34215-2018</t>
        </is>
      </c>
      <c r="B373" s="1" t="n">
        <v>43318</v>
      </c>
      <c r="C373" s="1" t="n">
        <v>45208</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45208</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45208</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45208</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45208</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45208</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45208</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45208</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45208</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45208</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45208</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45208</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45208</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45208</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45208</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45208</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45208</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45208</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45208</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45208</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45208</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45208</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45208</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45208</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45208</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45208</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45208</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45208</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45208</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45208</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45208</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45208</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45208</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45208</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45208</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45208</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45208</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45208</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45208</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45208</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45208</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45208</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45208</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45208</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45208</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45208</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45208</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45208</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45208</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45208</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45208</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45208</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45208</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45208</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45208</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45208</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45208</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45208</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45208</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45208</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45208</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45208</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45208</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45208</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45208</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45208</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45208</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45208</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45208</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45208</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45208</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45208</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45208</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45208</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45208</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45208</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45208</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45208</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45208</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45208</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45208</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45208</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45208</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45208</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45208</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45208</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45208</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45208</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45208</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45208</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45208</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45208</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45208</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45208</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45208</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45208</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45208</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45208</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45208</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45208</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45208</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45208</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45208</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45208</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45208</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45208</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45208</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45208</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45208</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45208</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45208</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45208</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45208</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45208</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45208</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45208</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45208</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45208</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45208</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45208</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45208</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45208</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45208</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45208</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45208</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45208</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45208</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45208</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45208</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45208</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45208</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45208</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45208</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45208</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45208</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45208</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45208</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45208</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45208</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45208</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45208</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45208</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45208</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45208</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45208</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45208</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45208</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45208</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45208</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45208</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45208</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45208</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45208</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45208</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45208</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45208</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45208</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45208</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45208</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45208</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45208</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45208</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45208</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45208</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45208</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45208</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45208</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45208</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45208</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45208</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45208</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45208</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45208</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45208</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45208</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45208</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45208</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45208</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45208</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45208</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45208</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45208</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45208</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45208</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45208</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45208</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45208</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45208</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45208</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45208</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45208</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45208</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45208</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45208</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45208</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45208</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45208</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45208</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45208</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45208</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45208</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45208</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45208</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45208</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45208</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45208</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45208</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45208</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45208</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45208</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45208</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45208</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45208</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45208</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45208</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45208</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45208</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45208</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45208</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45208</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45208</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45208</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45208</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45208</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45208</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45208</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45208</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45208</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45208</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45208</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45208</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45208</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45208</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45208</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45208</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45208</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45208</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45208</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45208</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45208</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45208</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45208</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45208</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45208</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45208</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45208</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45208</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45208</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45208</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45208</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45208</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45208</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45208</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45208</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45208</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45208</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45208</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45208</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45208</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45208</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45208</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45208</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45208</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45208</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45208</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45208</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45208</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45208</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45208</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45208</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45208</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45208</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45208</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45208</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45208</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45208</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45208</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45208</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45208</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45208</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45208</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45208</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45208</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45208</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45208</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45208</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45208</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45208</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45208</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45208</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45208</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45208</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45208</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45208</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45208</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45208</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45208</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45208</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45208</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45208</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45208</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45208</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45208</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45208</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45208</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45208</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45208</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45208</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45208</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45208</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45208</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45208</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45208</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45208</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45208</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45208</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45208</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45208</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45208</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45208</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45208</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45208</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45208</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45208</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45208</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45208</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45208</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45208</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45208</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45208</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45208</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45208</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45208</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45208</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45208</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45208</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45208</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45208</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45208</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45208</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45208</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45208</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45208</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45208</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45208</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45208</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45208</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45208</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45208</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45208</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45208</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45208</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45208</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45208</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45208</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45208</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45208</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45208</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45208</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45208</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45208</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45208</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45208</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45208</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45208</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45208</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45208</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45208</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45208</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45208</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45208</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45208</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45208</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45208</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45208</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45208</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45208</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45208</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45208</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45208</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45208</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45208</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45208</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45208</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45208</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45208</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45208</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45208</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45208</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45208</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45208</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45208</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45208</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45208</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45208</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45208</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45208</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45208</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45208</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45208</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45208</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45208</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45208</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45208</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45208</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45208</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45208</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45208</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45208</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45208</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45208</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45208</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45208</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45208</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45208</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45208</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45208</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45208</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45208</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45208</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45208</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45208</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45208</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45208</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45208</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45208</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45208</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45208</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45208</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45208</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45208</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45208</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45208</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45208</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45208</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45208</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45208</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45208</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45208</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45208</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45208</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45208</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45208</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45208</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45208</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45208</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45208</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45208</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45208</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45208</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45208</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45208</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45208</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45208</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45208</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45208</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45208</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45208</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45208</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45208</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45208</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45208</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45208</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45208</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45208</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45208</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45208</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45208</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45208</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45208</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45208</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45208</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45208</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45208</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45208</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45208</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45208</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45208</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45208</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45208</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45208</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45208</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45208</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45208</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45208</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45208</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45208</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45208</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45208</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45208</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45208</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45208</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45208</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45208</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45208</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45208</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45208</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45208</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45208</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45208</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45208</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45208</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45208</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45208</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45208</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45208</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45208</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45208</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45208</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45208</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45208</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45208</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45208</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45208</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45208</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45208</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45208</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45208</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45208</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45208</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45208</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45208</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45208</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45208</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45208</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45208</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45208</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45208</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45208</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45208</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45208</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45208</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45208</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45208</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45208</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45208</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45208</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45208</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45208</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45208</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45208</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45208</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45208</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45208</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45208</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45208</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45208</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45208</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45208</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45208</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45208</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45208</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45208</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45208</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45208</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45208</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45208</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45208</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45208</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45208</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45208</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45208</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45208</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45208</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45208</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45208</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45208</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45208</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45208</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45208</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45208</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45208</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45208</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45208</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45208</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45208</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45208</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45208</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45208</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45208</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45208</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45208</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45208</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45208</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45208</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45208</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45208</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45208</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45208</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45208</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45208</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45208</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45208</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45208</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45208</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45208</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45208</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45208</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45208</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45208</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45208</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45208</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45208</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45208</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45208</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45208</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45208</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45208</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45208</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45208</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45208</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45208</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45208</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45208</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45208</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45208</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45208</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45208</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45208</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45208</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45208</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45208</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45208</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45208</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45208</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45208</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45208</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45208</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45208</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45208</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45208</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45208</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45208</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45208</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45208</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45208</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45208</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45208</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45208</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45208</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45208</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45208</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45208</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45208</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45208</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45208</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45208</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45208</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45208</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45208</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45208</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45208</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45208</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45208</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45208</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45208</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45208</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45208</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45208</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45208</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45208</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45208</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45208</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45208</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45208</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45208</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45208</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45208</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45208</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45208</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45208</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45208</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45208</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45208</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45208</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45208</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45208</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45208</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45208</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45208</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45208</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45208</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45208</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45208</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45208</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45208</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45208</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45208</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45208</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45208</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45208</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45208</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45208</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45208</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45208</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45208</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45208</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45208</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45208</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45208</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45208</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45208</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45208</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45208</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45208</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45208</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45208</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45208</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45208</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45208</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45208</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45208</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45208</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45208</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45208</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45208</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45208</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45208</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45208</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45208</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45208</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45208</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45208</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45208</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45208</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45208</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45208</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45208</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45208</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45208</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45208</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45208</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45208</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45208</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45208</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45208</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45208</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45208</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45208</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45208</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45208</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45208</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45208</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45208</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45208</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45208</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45208</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45208</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45208</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45208</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45208</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45208</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45208</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45208</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45208</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45208</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45208</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45208</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45208</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45208</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45208</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45208</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45208</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45208</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45208</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45208</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45208</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45208</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45208</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45208</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45208</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45208</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45208</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45208</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45208</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45208</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45208</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45208</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45208</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45208</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45208</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45208</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45208</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45208</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45208</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45208</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45208</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45208</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45208</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45208</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45208</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45208</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45208</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45208</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45208</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45208</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45208</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45208</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45208</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45208</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45208</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45208</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45208</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45208</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45208</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45208</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45208</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45208</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45208</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45208</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45208</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45208</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45208</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45208</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45208</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45208</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45208</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45208</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45208</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45208</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45208</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45208</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45208</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45208</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45208</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45208</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45208</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45208</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45208</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45208</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45208</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45208</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45208</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45208</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45208</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45208</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45208</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45208</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45208</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45208</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45208</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45208</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45208</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45208</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45208</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45208</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45208</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45208</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45208</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45208</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45208</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45208</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45208</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45208</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45208</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45208</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45208</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45208</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45208</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45208</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45208</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45208</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45208</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45208</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45208</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45208</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45208</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45208</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45208</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45208</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45208</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45208</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45208</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45208</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45208</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45208</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45208</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45208</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45208</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45208</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45208</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45208</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45208</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45208</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45208</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45208</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45208</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45208</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45208</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45208</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45208</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45208</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45208</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45208</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45208</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45208</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45208</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45208</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45208</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45208</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45208</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45208</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45208</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45208</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45208</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45208</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45208</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45208</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45208</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45208</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45208</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45208</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45208</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45208</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45208</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45208</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45208</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45208</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45208</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45208</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45208</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45208</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45208</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45208</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45208</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45208</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45208</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45208</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45208</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45208</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45208</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45208</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45208</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45208</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45208</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45208</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45208</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45208</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45208</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45208</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45208</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45208</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45208</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45208</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45208</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45208</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45208</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45208</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45208</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45208</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45208</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45208</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45208</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45208</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45208</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45208</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45208</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45208</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45208</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45208</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45208</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45208</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45208</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45208</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45208</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45208</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45208</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45208</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45208</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45208</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45208</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45208</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45208</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45208</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45208</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45208</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45208</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45208</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45208</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45208</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45208</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45208</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45208</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45208</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45208</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45208</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45208</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45208</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45208</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45208</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45208</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45208</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45208</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45208</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45208</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45208</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45208</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45208</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45208</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45208</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45208</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45208</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45208</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45208</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45208</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45208</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45208</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45208</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45208</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45208</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45208</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45208</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45208</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45208</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45208</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45208</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45208</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45208</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45208</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45208</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45208</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45208</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45208</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45208</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45208</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45208</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45208</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45208</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45208</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45208</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45208</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45208</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45208</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45208</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45208</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45208</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45208</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45208</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45208</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45208</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45208</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45208</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45208</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45208</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45208</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45208</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45208</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45208</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45208</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45208</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45208</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45208</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45208</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45208</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45208</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45208</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45208</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45208</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45208</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45208</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45208</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45208</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45208</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45208</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45208</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45208</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45208</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45208</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45208</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45208</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45208</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45208</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45208</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45208</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45208</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45208</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45208</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45208</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45208</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45208</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45208</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45208</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45208</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45208</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45208</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45208</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45208</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45208</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45208</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45208</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45208</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45208</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45208</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45208</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45208</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45208</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45208</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45208</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45208</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45208</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45208</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45208</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45208</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45208</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45208</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45208</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45208</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45208</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45208</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45208</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45208</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45208</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45208</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45208</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45208</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45208</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45208</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45208</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45208</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45208</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45208</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45208</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45208</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45208</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45208</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45208</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45208</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45208</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45208</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45208</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45208</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45208</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45208</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45208</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45208</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45208</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45208</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45208</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45208</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45208</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45208</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45208</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45208</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45208</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45208</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45208</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45208</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45208</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45208</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45208</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45208</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45208</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45208</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45208</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45208</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45208</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45208</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45208</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45208</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45208</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45208</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45208</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45208</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45208</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45208</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45208</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45208</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45208</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45208</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45208</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45208</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45208</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45208</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45208</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45208</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45208</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45208</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45208</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45208</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45208</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45208</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45208</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45208</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45208</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45208</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45208</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45208</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45208</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45208</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45208</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45208</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45208</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45208</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45208</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45208</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45208</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45208</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45208</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45208</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45208</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45208</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45208</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45208</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45208</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45208</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45208</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45208</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45208</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45208</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45208</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45208</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45208</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45208</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45208</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45208</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45208</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45208</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45208</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45208</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45208</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45208</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45208</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45208</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45208</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45208</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45208</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45208</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45208</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45208</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45208</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45208</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45208</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45208</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45208</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45208</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45208</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45208</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45208</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45208</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45208</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45208</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45208</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45208</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45208</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45208</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45208</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45208</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45208</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45208</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45208</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45208</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45208</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45208</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45208</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45208</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45208</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45208</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45208</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45208</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45208</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45208</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45208</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45208</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45208</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45208</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45208</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45208</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45208</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45208</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45208</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45208</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45208</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45208</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45208</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45208</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45208</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45208</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45208</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45208</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45208</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45208</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45208</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45208</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45208</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45208</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45208</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45208</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45208</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45208</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45208</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45208</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45208</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45208</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45208</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45208</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45208</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45208</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45208</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45208</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45208</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45208</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45208</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45208</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45208</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45208</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45208</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45208</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45208</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45208</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45208</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45208</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45208</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45208</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45208</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45208</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45208</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45208</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45208</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45208</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45208</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45208</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45208</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45208</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45208</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45208</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45208</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45208</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45208</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45208</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45208</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45208</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45208</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45208</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45208</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45208</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45208</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45208</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45208</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45208</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45208</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45208</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45208</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45208</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45208</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45208</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45208</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45208</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45208</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45208</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45208</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45208</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45208</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45208</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45208</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45208</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45208</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45208</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45208</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45208</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45208</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45208</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45208</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45208</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45208</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45208</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45208</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45208</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45208</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45208</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45208</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45208</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45208</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45208</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45208</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45208</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45208</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45208</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45208</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45208</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45208</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45208</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45208</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45208</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45208</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45208</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45208</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45208</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45208</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45208</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45208</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45208</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45208</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45208</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45208</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45208</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45208</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45208</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45208</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45208</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45208</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45208</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45208</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45208</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45208</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45208</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45208</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45208</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45208</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45208</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45208</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45208</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45208</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45208</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45208</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45208</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45208</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45208</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45208</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45208</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45208</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45208</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45208</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45208</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45208</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45208</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45208</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45208</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45208</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45208</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45208</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45208</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45208</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45208</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45208</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45208</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45208</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45208</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45208</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45208</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45208</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45208</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45208</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45208</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45208</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45208</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45208</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45208</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45208</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45208</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45208</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45208</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45208</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45208</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45208</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45208</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45208</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45208</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45208</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45208</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45208</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45208</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45208</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45208</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45208</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45208</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45208</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45208</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45208</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45208</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45208</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45208</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45208</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45208</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45208</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45208</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45208</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45208</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45208</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45208</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45208</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45208</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45208</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45208</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45208</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45208</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45208</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45208</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45208</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45208</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45208</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45208</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45208</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45208</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45208</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45208</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45208</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45208</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45208</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45208</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45208</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45208</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45208</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45208</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45208</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45208</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45208</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45208</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45208</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45208</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45208</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45208</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45208</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45208</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45208</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45208</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45208</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HYPERLINK("https://klasma.github.io/Logging_SIGTUNA/knärot/A 12900-2022.png", "A 12900-2022")</f>
        <v/>
      </c>
      <c r="V1888">
        <f>HYPERLINK("https://klasma.github.io/Logging_SIGTUNA/klagomål/A 12900-2022.docx", "A 12900-2022")</f>
        <v/>
      </c>
      <c r="W1888">
        <f>HYPERLINK("https://klasma.github.io/Logging_SIGTUNA/klagomålsmail/A 12900-2022.docx", "A 12900-2022")</f>
        <v/>
      </c>
      <c r="X1888">
        <f>HYPERLINK("https://klasma.github.io/Logging_SIGTUNA/tillsyn/A 12900-2022.docx", "A 12900-2022")</f>
        <v/>
      </c>
      <c r="Y1888">
        <f>HYPERLINK("https://klasma.github.io/Logging_SIGTUNA/tillsynsmail/A 12900-2022.docx", "A 12900-2022")</f>
        <v/>
      </c>
    </row>
    <row r="1889" ht="15" customHeight="1">
      <c r="A1889" t="inlineStr">
        <is>
          <t>A 12877-2022</t>
        </is>
      </c>
      <c r="B1889" s="1" t="n">
        <v>44642</v>
      </c>
      <c r="C1889" s="1" t="n">
        <v>45208</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45208</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45208</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45208</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45208</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45208</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45208</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45208</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45208</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45208</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45208</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45208</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45208</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45208</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45208</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45208</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45208</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45208</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45208</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45208</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45208</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45208</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45208</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45208</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45208</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45208</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45208</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45208</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45208</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45208</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45208</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45208</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45208</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45208</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45208</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45208</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45208</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45208</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45208</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45208</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45208</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45208</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45208</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45208</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45208</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45208</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45208</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45208</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45208</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45208</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45208</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45208</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45208</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45208</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45208</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45208</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45208</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45208</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45208</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45208</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45208</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45208</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45208</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45208</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45208</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45208</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45208</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45208</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45208</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45208</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45208</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45208</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45208</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45208</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45208</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45208</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45208</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45208</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45208</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45208</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45208</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45208</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45208</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45208</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45208</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45208</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45208</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45208</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45208</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45208</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45208</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45208</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45208</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45208</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45208</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45208</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45208</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45208</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45208</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45208</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45208</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45208</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45208</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45208</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45208</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45208</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45208</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45208</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45208</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45208</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45208</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45208</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45208</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45208</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45208</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45208</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45208</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45208</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45208</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45208</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45208</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45208</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45208</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45208</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45208</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45208</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45208</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45208</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45208</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45208</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45208</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45208</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45208</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45208</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45208</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45208</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45208</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45208</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45208</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45208</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45208</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45208</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45208</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45208</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45208</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45208</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45208</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45208</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45208</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45208</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45208</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45208</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45208</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45208</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45208</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45208</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45208</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45208</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45208</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45208</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45208</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45208</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45208</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45208</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45208</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45208</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45208</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45208</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45208</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45208</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45208</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45208</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45208</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45208</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45208</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45208</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45208</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45208</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45208</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45208</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45208</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45208</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45208</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45208</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45208</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45208</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45208</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45208</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45208</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45208</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45208</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45208</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45208</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45208</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45208</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45208</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45208</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45208</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45208</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45208</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45208</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45208</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45208</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45208</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45208</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45208</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45208</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45208</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45208</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45208</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45208</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45208</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45208</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45208</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45208</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45208</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45208</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45208</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45208</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45208</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45208</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45208</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45208</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45208</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45208</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45208</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45208</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45208</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45208</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45208</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45208</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45208</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45208</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45208</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45208</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45208</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45208</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45208</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45208</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45208</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45208</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45208</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45208</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45208</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45208</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45208</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45208</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45208</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45208</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45208</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45208</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45208</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45208</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45208</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45208</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45208</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45208</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45208</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45208</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45208</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45208</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45208</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45208</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45208</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45208</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45208</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45208</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45208</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45208</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45208</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45208</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45208</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45208</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45208</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45208</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45208</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45208</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45208</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45208</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45208</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45208</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45208</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45208</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45208</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45208</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45208</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45208</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45208</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45208</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45208</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45208</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45208</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45208</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45208</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45208</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45208</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45208</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45208</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45208</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45208</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45208</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45208</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45208</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45208</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45208</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45208</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45208</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45208</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45208</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45208</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45208</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45208</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45208</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45208</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45208</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45208</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45208</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45208</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45208</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45208</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45208</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45208</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45208</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45208</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45208</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45208</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45208</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45208</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45208</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45208</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45208</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45208</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45208</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45208</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45208</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45208</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45208</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45208</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45208</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45208</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45208</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45208</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45208</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45208</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45208</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45208</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45208</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45208</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45208</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45208</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45208</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45208</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45208</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45208</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45208</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45208</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45208</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45208</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45208</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45208</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45208</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45208</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45208</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45208</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45208</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45208</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45208</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45208</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45208</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45208</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45208</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45208</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45208</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45208</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45208</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45208</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45208</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45208</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45208</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45208</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45208</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45208</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45208</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45208</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45208</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45208</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45208</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45208</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45208</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45208</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45208</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45208</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45208</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45208</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45208</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45208</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45208</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45208</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45208</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45208</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45208</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45208</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45208</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45208</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45208</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45208</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45208</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45208</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45208</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45208</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45208</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45208</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45208</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45208</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45208</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45208</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45208</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45208</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45208</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45208</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45208</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45208</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45208</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45208</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45208</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45208</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45208</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45208</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45208</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45208</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45208</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45208</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45208</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45208</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45208</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45208</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45208</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45208</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45208</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45208</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45208</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45208</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45208</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45208</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45208</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45208</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45208</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45208</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45208</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45208</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45208</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45208</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45208</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45208</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45208</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45208</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45208</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45208</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45208</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45208</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45208</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45208</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45208</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45208</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45208</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45208</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45208</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45208</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45208</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45208</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45208</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45208</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45208</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45208</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45208</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45208</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45208</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45208</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45208</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45208</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45208</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45208</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45208</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45208</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45208</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45208</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45208</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45208</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45208</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45208</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45208</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45208</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45208</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45208</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45208</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45208</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45208</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45208</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45208</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45208</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45208</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45208</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45208</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45208</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45208</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45208</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45208</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45208</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45208</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45208</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45208</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45208</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45208</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45208</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45208</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45208</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45208</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45208</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45208</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45208</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45208</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45208</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45208</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45208</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45208</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45208</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45208</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45208</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45208</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HYPERLINK("https://klasma.github.io/Logging_NORRTALJE/knärot/A 22157-2023.png", "A 22157-2023")</f>
        <v/>
      </c>
      <c r="V2417">
        <f>HYPERLINK("https://klasma.github.io/Logging_NORRTALJE/klagomål/A 22157-2023.docx", "A 22157-2023")</f>
        <v/>
      </c>
      <c r="W2417">
        <f>HYPERLINK("https://klasma.github.io/Logging_NORRTALJE/klagomålsmail/A 22157-2023.docx", "A 22157-2023")</f>
        <v/>
      </c>
      <c r="X2417">
        <f>HYPERLINK("https://klasma.github.io/Logging_NORRTALJE/tillsyn/A 22157-2023.docx", "A 22157-2023")</f>
        <v/>
      </c>
      <c r="Y2417">
        <f>HYPERLINK("https://klasma.github.io/Logging_NORRTALJE/tillsynsmail/A 22157-2023.docx", "A 22157-2023")</f>
        <v/>
      </c>
    </row>
    <row r="2418" ht="15" customHeight="1">
      <c r="A2418" t="inlineStr">
        <is>
          <t>A 22175-2023</t>
        </is>
      </c>
      <c r="B2418" s="1" t="n">
        <v>45069</v>
      </c>
      <c r="C2418" s="1" t="n">
        <v>45208</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45208</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45208</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45208</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45208</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45208</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45208</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45208</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45208</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45208</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45208</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45208</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45208</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45208</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45208</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45208</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45208</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45208</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45208</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45208</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45208</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45208</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45208</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45208</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45208</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45208</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45208</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45208</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45208</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45208</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45208</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45208</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45208</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45208</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45208</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45208</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45208</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45208</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45208</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45208</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45208</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45208</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45208</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45208</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45208</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45208</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45208</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45208</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45208</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45208</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45208</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45208</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45208</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45208</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45208</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45208</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45208</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45208</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45208</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45208</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45208</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45208</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45208</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45208</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45208</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45208</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45208</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45208</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45208</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45208</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45208</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45208</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45208</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45208</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45208</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45208</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45208</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45208</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45208</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45208</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45208</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45208</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45208</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45208</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45208</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45208</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45208</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45208</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45208</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45208</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45208</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45208</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45208</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45208</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45208</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45208</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45208</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45208</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45208</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45208</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45208</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45208</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45208</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45208</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45208</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45208</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45208</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45208</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45208</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45208</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45208</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45208</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45208</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45208</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45208</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45208</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45208</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45208</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45208</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45208</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45208</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45208</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45208</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45208</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45208</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45208</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45208</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45208</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45208</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45208</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45208</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45208</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45208</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45208</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45208</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45208</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45208</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45208</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45208</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45208</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45208</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45208</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45208</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45208</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45208</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45208</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45208</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45208</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45208</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45208</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45208</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45208</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45208</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45208</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45208</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45208</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45208</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45208</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45208</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45208</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45208</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45208</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45208</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45208</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45208</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45208</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45208</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45208</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45208</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45208</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45208</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45208</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45208</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45208</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45208</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45208</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45208</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45208</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45208</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45208</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45208</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45208</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45208</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45208</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45208</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45208</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45208</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45208</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45208</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45208</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45208</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45208</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45208</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45208</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45208</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45208</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45208</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45208</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45208</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45208</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45208</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45208</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45208</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45208</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45208</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45208</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45208</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45208</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45208</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45208</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45208</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45208</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45208</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45208</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45208</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45208</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45208</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45208</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47388-2023</t>
        </is>
      </c>
      <c r="B2636" s="1" t="n">
        <v>45202</v>
      </c>
      <c r="C2636" s="1" t="n">
        <v>45208</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row r="2637">
      <c r="A2637" t="inlineStr">
        <is>
          <t>A 48333-2023</t>
        </is>
      </c>
      <c r="B2637" s="1" t="n">
        <v>45205</v>
      </c>
      <c r="C2637" s="1" t="n">
        <v>45208</v>
      </c>
      <c r="D2637" t="inlineStr">
        <is>
          <t>STOCKHOLMS LÄN</t>
        </is>
      </c>
      <c r="E2637" t="inlineStr">
        <is>
          <t>NORRTÄLJE</t>
        </is>
      </c>
      <c r="G2637" t="n">
        <v>5.6</v>
      </c>
      <c r="H2637" t="n">
        <v>0</v>
      </c>
      <c r="I2637" t="n">
        <v>0</v>
      </c>
      <c r="J2637" t="n">
        <v>0</v>
      </c>
      <c r="K2637" t="n">
        <v>0</v>
      </c>
      <c r="L2637" t="n">
        <v>0</v>
      </c>
      <c r="M2637" t="n">
        <v>0</v>
      </c>
      <c r="N2637" t="n">
        <v>0</v>
      </c>
      <c r="O2637" t="n">
        <v>0</v>
      </c>
      <c r="P2637" t="n">
        <v>0</v>
      </c>
      <c r="Q2637" t="n">
        <v>0</v>
      </c>
      <c r="R26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2023-10-09T05:51:29Z</dcterms:created>
  <dcterms:modified xmlns:dcterms="http://purl.org/dc/terms/" xmlns:xsi="http://www.w3.org/2001/XMLSchema-instance" xsi:type="dcterms:W3CDTF">2023-10-09T05:51:35Z</dcterms:modified>
</cp:coreProperties>
</file>