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45172</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f>
        <v/>
      </c>
      <c r="T2">
        <f>HYPERLINK("https://klasma.github.io/Logging_STROMSUND/kartor/A 68504-2020.png")</f>
        <v/>
      </c>
      <c r="V2">
        <f>HYPERLINK("https://klasma.github.io/Logging_STROMSUND/klagomål/A 68504-2020.docx")</f>
        <v/>
      </c>
      <c r="W2">
        <f>HYPERLINK("https://klasma.github.io/Logging_STROMSUND/klagomålsmail/A 68504-2020.docx")</f>
        <v/>
      </c>
      <c r="X2">
        <f>HYPERLINK("https://klasma.github.io/Logging_STROMSUND/tillsyn/A 68504-2020.docx")</f>
        <v/>
      </c>
      <c r="Y2">
        <f>HYPERLINK("https://klasma.github.io/Logging_STROMSUND/tillsynsmail/A 68504-2020.docx")</f>
        <v/>
      </c>
    </row>
    <row r="3" ht="15" customHeight="1">
      <c r="A3" t="inlineStr">
        <is>
          <t>A 47079-2019</t>
        </is>
      </c>
      <c r="B3" s="1" t="n">
        <v>43720</v>
      </c>
      <c r="C3" s="1" t="n">
        <v>45172</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f>
        <v/>
      </c>
      <c r="T3">
        <f>HYPERLINK("https://klasma.github.io/Logging_STROMSUND/kartor/A 47079-2019.png")</f>
        <v/>
      </c>
      <c r="U3">
        <f>HYPERLINK("https://klasma.github.io/Logging_STROMSUND/knärot/A 47079-2019.png")</f>
        <v/>
      </c>
      <c r="V3">
        <f>HYPERLINK("https://klasma.github.io/Logging_STROMSUND/klagomål/A 47079-2019.docx")</f>
        <v/>
      </c>
      <c r="W3">
        <f>HYPERLINK("https://klasma.github.io/Logging_STROMSUND/klagomålsmail/A 47079-2019.docx")</f>
        <v/>
      </c>
      <c r="X3">
        <f>HYPERLINK("https://klasma.github.io/Logging_STROMSUND/tillsyn/A 47079-2019.docx")</f>
        <v/>
      </c>
      <c r="Y3">
        <f>HYPERLINK("https://klasma.github.io/Logging_STROMSUND/tillsynsmail/A 47079-2019.docx")</f>
        <v/>
      </c>
    </row>
    <row r="4" ht="15" customHeight="1">
      <c r="A4" t="inlineStr">
        <is>
          <t>A 239-2021</t>
        </is>
      </c>
      <c r="B4" s="1" t="n">
        <v>44200</v>
      </c>
      <c r="C4" s="1" t="n">
        <v>45172</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f>
        <v/>
      </c>
      <c r="T4">
        <f>HYPERLINK("https://klasma.github.io/Logging_STROMSUND/kartor/A 239-2021.png")</f>
        <v/>
      </c>
      <c r="V4">
        <f>HYPERLINK("https://klasma.github.io/Logging_STROMSUND/klagomål/A 239-2021.docx")</f>
        <v/>
      </c>
      <c r="W4">
        <f>HYPERLINK("https://klasma.github.io/Logging_STROMSUND/klagomålsmail/A 239-2021.docx")</f>
        <v/>
      </c>
      <c r="X4">
        <f>HYPERLINK("https://klasma.github.io/Logging_STROMSUND/tillsyn/A 239-2021.docx")</f>
        <v/>
      </c>
      <c r="Y4">
        <f>HYPERLINK("https://klasma.github.io/Logging_STROMSUND/tillsynsmail/A 239-2021.docx")</f>
        <v/>
      </c>
    </row>
    <row r="5" ht="15" customHeight="1">
      <c r="A5" t="inlineStr">
        <is>
          <t>A 13357-2023</t>
        </is>
      </c>
      <c r="B5" s="1" t="n">
        <v>45005</v>
      </c>
      <c r="C5" s="1" t="n">
        <v>45172</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f>
        <v/>
      </c>
      <c r="T5">
        <f>HYPERLINK("https://klasma.github.io/Logging_STROMSUND/kartor/A 13357-2023.png")</f>
        <v/>
      </c>
      <c r="V5">
        <f>HYPERLINK("https://klasma.github.io/Logging_STROMSUND/klagomål/A 13357-2023.docx")</f>
        <v/>
      </c>
      <c r="W5">
        <f>HYPERLINK("https://klasma.github.io/Logging_STROMSUND/klagomålsmail/A 13357-2023.docx")</f>
        <v/>
      </c>
      <c r="X5">
        <f>HYPERLINK("https://klasma.github.io/Logging_STROMSUND/tillsyn/A 13357-2023.docx")</f>
        <v/>
      </c>
      <c r="Y5">
        <f>HYPERLINK("https://klasma.github.io/Logging_STROMSUND/tillsynsmail/A 13357-2023.docx")</f>
        <v/>
      </c>
    </row>
    <row r="6" ht="15" customHeight="1">
      <c r="A6" t="inlineStr">
        <is>
          <t>A 66164-2020</t>
        </is>
      </c>
      <c r="B6" s="1" t="n">
        <v>44175</v>
      </c>
      <c r="C6" s="1" t="n">
        <v>45172</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f>
        <v/>
      </c>
      <c r="T6">
        <f>HYPERLINK("https://klasma.github.io/Logging_STROMSUND/kartor/A 66164-2020.png")</f>
        <v/>
      </c>
      <c r="V6">
        <f>HYPERLINK("https://klasma.github.io/Logging_STROMSUND/klagomål/A 66164-2020.docx")</f>
        <v/>
      </c>
      <c r="W6">
        <f>HYPERLINK("https://klasma.github.io/Logging_STROMSUND/klagomålsmail/A 66164-2020.docx")</f>
        <v/>
      </c>
      <c r="X6">
        <f>HYPERLINK("https://klasma.github.io/Logging_STROMSUND/tillsyn/A 66164-2020.docx")</f>
        <v/>
      </c>
      <c r="Y6">
        <f>HYPERLINK("https://klasma.github.io/Logging_STROMSUND/tillsynsmail/A 66164-2020.docx")</f>
        <v/>
      </c>
    </row>
    <row r="7" ht="15" customHeight="1">
      <c r="A7" t="inlineStr">
        <is>
          <t>A 33650-2019</t>
        </is>
      </c>
      <c r="B7" s="1" t="n">
        <v>43651</v>
      </c>
      <c r="C7" s="1" t="n">
        <v>45172</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f>
        <v/>
      </c>
      <c r="T7">
        <f>HYPERLINK("https://klasma.github.io/Logging_STROMSUND/kartor/A 33650-2019.png")</f>
        <v/>
      </c>
      <c r="V7">
        <f>HYPERLINK("https://klasma.github.io/Logging_STROMSUND/klagomål/A 33650-2019.docx")</f>
        <v/>
      </c>
      <c r="W7">
        <f>HYPERLINK("https://klasma.github.io/Logging_STROMSUND/klagomålsmail/A 33650-2019.docx")</f>
        <v/>
      </c>
      <c r="X7">
        <f>HYPERLINK("https://klasma.github.io/Logging_STROMSUND/tillsyn/A 33650-2019.docx")</f>
        <v/>
      </c>
      <c r="Y7">
        <f>HYPERLINK("https://klasma.github.io/Logging_STROMSUND/tillsynsmail/A 33650-2019.docx")</f>
        <v/>
      </c>
    </row>
    <row r="8" ht="15" customHeight="1">
      <c r="A8" t="inlineStr">
        <is>
          <t>A 71914-2021</t>
        </is>
      </c>
      <c r="B8" s="1" t="n">
        <v>44543</v>
      </c>
      <c r="C8" s="1" t="n">
        <v>45172</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f>
        <v/>
      </c>
      <c r="T8">
        <f>HYPERLINK("https://klasma.github.io/Logging_STROMSUND/kartor/A 71914-2021.png")</f>
        <v/>
      </c>
      <c r="U8">
        <f>HYPERLINK("https://klasma.github.io/Logging_STROMSUND/knärot/A 71914-2021.png")</f>
        <v/>
      </c>
      <c r="V8">
        <f>HYPERLINK("https://klasma.github.io/Logging_STROMSUND/klagomål/A 71914-2021.docx")</f>
        <v/>
      </c>
      <c r="W8">
        <f>HYPERLINK("https://klasma.github.io/Logging_STROMSUND/klagomålsmail/A 71914-2021.docx")</f>
        <v/>
      </c>
      <c r="X8">
        <f>HYPERLINK("https://klasma.github.io/Logging_STROMSUND/tillsyn/A 71914-2021.docx")</f>
        <v/>
      </c>
      <c r="Y8">
        <f>HYPERLINK("https://klasma.github.io/Logging_STROMSUND/tillsynsmail/A 71914-2021.docx")</f>
        <v/>
      </c>
    </row>
    <row r="9" ht="15" customHeight="1">
      <c r="A9" t="inlineStr">
        <is>
          <t>A 68481-2020</t>
        </is>
      </c>
      <c r="B9" s="1" t="n">
        <v>44186</v>
      </c>
      <c r="C9" s="1" t="n">
        <v>45172</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f>
        <v/>
      </c>
      <c r="T9">
        <f>HYPERLINK("https://klasma.github.io/Logging_STROMSUND/kartor/A 68481-2020.png")</f>
        <v/>
      </c>
      <c r="V9">
        <f>HYPERLINK("https://klasma.github.io/Logging_STROMSUND/klagomål/A 68481-2020.docx")</f>
        <v/>
      </c>
      <c r="W9">
        <f>HYPERLINK("https://klasma.github.io/Logging_STROMSUND/klagomålsmail/A 68481-2020.docx")</f>
        <v/>
      </c>
      <c r="X9">
        <f>HYPERLINK("https://klasma.github.io/Logging_STROMSUND/tillsyn/A 68481-2020.docx")</f>
        <v/>
      </c>
      <c r="Y9">
        <f>HYPERLINK("https://klasma.github.io/Logging_STROMSUND/tillsynsmail/A 68481-2020.docx")</f>
        <v/>
      </c>
    </row>
    <row r="10" ht="15" customHeight="1">
      <c r="A10" t="inlineStr">
        <is>
          <t>A 39994-2020</t>
        </is>
      </c>
      <c r="B10" s="1" t="n">
        <v>44067</v>
      </c>
      <c r="C10" s="1" t="n">
        <v>45172</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f>
        <v/>
      </c>
      <c r="T10">
        <f>HYPERLINK("https://klasma.github.io/Logging_STROMSUND/kartor/A 39994-2020.png")</f>
        <v/>
      </c>
      <c r="V10">
        <f>HYPERLINK("https://klasma.github.io/Logging_STROMSUND/klagomål/A 39994-2020.docx")</f>
        <v/>
      </c>
      <c r="W10">
        <f>HYPERLINK("https://klasma.github.io/Logging_STROMSUND/klagomålsmail/A 39994-2020.docx")</f>
        <v/>
      </c>
      <c r="X10">
        <f>HYPERLINK("https://klasma.github.io/Logging_STROMSUND/tillsyn/A 39994-2020.docx")</f>
        <v/>
      </c>
      <c r="Y10">
        <f>HYPERLINK("https://klasma.github.io/Logging_STROMSUND/tillsynsmail/A 39994-2020.docx")</f>
        <v/>
      </c>
    </row>
    <row r="11" ht="15" customHeight="1">
      <c r="A11" t="inlineStr">
        <is>
          <t>A 71219-2021</t>
        </is>
      </c>
      <c r="B11" s="1" t="n">
        <v>44538</v>
      </c>
      <c r="C11" s="1" t="n">
        <v>45172</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f>
        <v/>
      </c>
      <c r="T11">
        <f>HYPERLINK("https://klasma.github.io/Logging_STROMSUND/kartor/A 71219-2021.png")</f>
        <v/>
      </c>
      <c r="V11">
        <f>HYPERLINK("https://klasma.github.io/Logging_STROMSUND/klagomål/A 71219-2021.docx")</f>
        <v/>
      </c>
      <c r="W11">
        <f>HYPERLINK("https://klasma.github.io/Logging_STROMSUND/klagomålsmail/A 71219-2021.docx")</f>
        <v/>
      </c>
      <c r="X11">
        <f>HYPERLINK("https://klasma.github.io/Logging_STROMSUND/tillsyn/A 71219-2021.docx")</f>
        <v/>
      </c>
      <c r="Y11">
        <f>HYPERLINK("https://klasma.github.io/Logging_STROMSUND/tillsynsmail/A 71219-2021.docx")</f>
        <v/>
      </c>
    </row>
    <row r="12" ht="15" customHeight="1">
      <c r="A12" t="inlineStr">
        <is>
          <t>A 41447-2020</t>
        </is>
      </c>
      <c r="B12" s="1" t="n">
        <v>44073</v>
      </c>
      <c r="C12" s="1" t="n">
        <v>45172</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f>
        <v/>
      </c>
      <c r="T12">
        <f>HYPERLINK("https://klasma.github.io/Logging_STROMSUND/kartor/A 41447-2020.png")</f>
        <v/>
      </c>
      <c r="U12">
        <f>HYPERLINK("https://klasma.github.io/Logging_STROMSUND/knärot/A 41447-2020.png")</f>
        <v/>
      </c>
      <c r="V12">
        <f>HYPERLINK("https://klasma.github.io/Logging_STROMSUND/klagomål/A 41447-2020.docx")</f>
        <v/>
      </c>
      <c r="W12">
        <f>HYPERLINK("https://klasma.github.io/Logging_STROMSUND/klagomålsmail/A 41447-2020.docx")</f>
        <v/>
      </c>
      <c r="X12">
        <f>HYPERLINK("https://klasma.github.io/Logging_STROMSUND/tillsyn/A 41447-2020.docx")</f>
        <v/>
      </c>
      <c r="Y12">
        <f>HYPERLINK("https://klasma.github.io/Logging_STROMSUND/tillsynsmail/A 41447-2020.docx")</f>
        <v/>
      </c>
    </row>
    <row r="13" ht="15" customHeight="1">
      <c r="A13" t="inlineStr">
        <is>
          <t>A 55937-2020</t>
        </is>
      </c>
      <c r="B13" s="1" t="n">
        <v>44133</v>
      </c>
      <c r="C13" s="1" t="n">
        <v>45172</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f>
        <v/>
      </c>
      <c r="T13">
        <f>HYPERLINK("https://klasma.github.io/Logging_STROMSUND/kartor/A 55937-2020.png")</f>
        <v/>
      </c>
      <c r="U13">
        <f>HYPERLINK("https://klasma.github.io/Logging_STROMSUND/knärot/A 55937-2020.png")</f>
        <v/>
      </c>
      <c r="V13">
        <f>HYPERLINK("https://klasma.github.io/Logging_STROMSUND/klagomål/A 55937-2020.docx")</f>
        <v/>
      </c>
      <c r="W13">
        <f>HYPERLINK("https://klasma.github.io/Logging_STROMSUND/klagomålsmail/A 55937-2020.docx")</f>
        <v/>
      </c>
      <c r="X13">
        <f>HYPERLINK("https://klasma.github.io/Logging_STROMSUND/tillsyn/A 55937-2020.docx")</f>
        <v/>
      </c>
      <c r="Y13">
        <f>HYPERLINK("https://klasma.github.io/Logging_STROMSUND/tillsynsmail/A 55937-2020.docx")</f>
        <v/>
      </c>
    </row>
    <row r="14" ht="15" customHeight="1">
      <c r="A14" t="inlineStr">
        <is>
          <t>A 62085-2020</t>
        </is>
      </c>
      <c r="B14" s="1" t="n">
        <v>44158</v>
      </c>
      <c r="C14" s="1" t="n">
        <v>45172</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f>
        <v/>
      </c>
      <c r="T14">
        <f>HYPERLINK("https://klasma.github.io/Logging_STROMSUND/kartor/A 62085-2020.png")</f>
        <v/>
      </c>
      <c r="V14">
        <f>HYPERLINK("https://klasma.github.io/Logging_STROMSUND/klagomål/A 62085-2020.docx")</f>
        <v/>
      </c>
      <c r="W14">
        <f>HYPERLINK("https://klasma.github.io/Logging_STROMSUND/klagomålsmail/A 62085-2020.docx")</f>
        <v/>
      </c>
      <c r="X14">
        <f>HYPERLINK("https://klasma.github.io/Logging_STROMSUND/tillsyn/A 62085-2020.docx")</f>
        <v/>
      </c>
      <c r="Y14">
        <f>HYPERLINK("https://klasma.github.io/Logging_STROMSUND/tillsynsmail/A 62085-2020.docx")</f>
        <v/>
      </c>
    </row>
    <row r="15" ht="15" customHeight="1">
      <c r="A15" t="inlineStr">
        <is>
          <t>A 66153-2020</t>
        </is>
      </c>
      <c r="B15" s="1" t="n">
        <v>44175</v>
      </c>
      <c r="C15" s="1" t="n">
        <v>45172</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f>
        <v/>
      </c>
      <c r="T15">
        <f>HYPERLINK("https://klasma.github.io/Logging_STROMSUND/kartor/A 66153-2020.png")</f>
        <v/>
      </c>
      <c r="V15">
        <f>HYPERLINK("https://klasma.github.io/Logging_STROMSUND/klagomål/A 66153-2020.docx")</f>
        <v/>
      </c>
      <c r="W15">
        <f>HYPERLINK("https://klasma.github.io/Logging_STROMSUND/klagomålsmail/A 66153-2020.docx")</f>
        <v/>
      </c>
      <c r="X15">
        <f>HYPERLINK("https://klasma.github.io/Logging_STROMSUND/tillsyn/A 66153-2020.docx")</f>
        <v/>
      </c>
      <c r="Y15">
        <f>HYPERLINK("https://klasma.github.io/Logging_STROMSUND/tillsynsmail/A 66153-2020.docx")</f>
        <v/>
      </c>
    </row>
    <row r="16" ht="15" customHeight="1">
      <c r="A16" t="inlineStr">
        <is>
          <t>A 13787-2020</t>
        </is>
      </c>
      <c r="B16" s="1" t="n">
        <v>43903</v>
      </c>
      <c r="C16" s="1" t="n">
        <v>45172</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f>
        <v/>
      </c>
      <c r="T16">
        <f>HYPERLINK("https://klasma.github.io/Logging_STROMSUND/kartor/A 13787-2020.png")</f>
        <v/>
      </c>
      <c r="V16">
        <f>HYPERLINK("https://klasma.github.io/Logging_STROMSUND/klagomål/A 13787-2020.docx")</f>
        <v/>
      </c>
      <c r="W16">
        <f>HYPERLINK("https://klasma.github.io/Logging_STROMSUND/klagomålsmail/A 13787-2020.docx")</f>
        <v/>
      </c>
      <c r="X16">
        <f>HYPERLINK("https://klasma.github.io/Logging_STROMSUND/tillsyn/A 13787-2020.docx")</f>
        <v/>
      </c>
      <c r="Y16">
        <f>HYPERLINK("https://klasma.github.io/Logging_STROMSUND/tillsynsmail/A 13787-2020.docx")</f>
        <v/>
      </c>
    </row>
    <row r="17" ht="15" customHeight="1">
      <c r="A17" t="inlineStr">
        <is>
          <t>A 18320-2021</t>
        </is>
      </c>
      <c r="B17" s="1" t="n">
        <v>44305</v>
      </c>
      <c r="C17" s="1" t="n">
        <v>45172</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f>
        <v/>
      </c>
      <c r="T17">
        <f>HYPERLINK("https://klasma.github.io/Logging_STROMSUND/kartor/A 18320-2021.png")</f>
        <v/>
      </c>
      <c r="V17">
        <f>HYPERLINK("https://klasma.github.io/Logging_STROMSUND/klagomål/A 18320-2021.docx")</f>
        <v/>
      </c>
      <c r="W17">
        <f>HYPERLINK("https://klasma.github.io/Logging_STROMSUND/klagomålsmail/A 18320-2021.docx")</f>
        <v/>
      </c>
      <c r="X17">
        <f>HYPERLINK("https://klasma.github.io/Logging_STROMSUND/tillsyn/A 18320-2021.docx")</f>
        <v/>
      </c>
      <c r="Y17">
        <f>HYPERLINK("https://klasma.github.io/Logging_STROMSUND/tillsynsmail/A 18320-2021.docx")</f>
        <v/>
      </c>
    </row>
    <row r="18" ht="15" customHeight="1">
      <c r="A18" t="inlineStr">
        <is>
          <t>A 68643-2021</t>
        </is>
      </c>
      <c r="B18" s="1" t="n">
        <v>44529</v>
      </c>
      <c r="C18" s="1" t="n">
        <v>45172</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f>
        <v/>
      </c>
      <c r="T18">
        <f>HYPERLINK("https://klasma.github.io/Logging_STROMSUND/kartor/A 68643-2021.png")</f>
        <v/>
      </c>
      <c r="U18">
        <f>HYPERLINK("https://klasma.github.io/Logging_STROMSUND/knärot/A 68643-2021.png")</f>
        <v/>
      </c>
      <c r="V18">
        <f>HYPERLINK("https://klasma.github.io/Logging_STROMSUND/klagomål/A 68643-2021.docx")</f>
        <v/>
      </c>
      <c r="W18">
        <f>HYPERLINK("https://klasma.github.io/Logging_STROMSUND/klagomålsmail/A 68643-2021.docx")</f>
        <v/>
      </c>
      <c r="X18">
        <f>HYPERLINK("https://klasma.github.io/Logging_STROMSUND/tillsyn/A 68643-2021.docx")</f>
        <v/>
      </c>
      <c r="Y18">
        <f>HYPERLINK("https://klasma.github.io/Logging_STROMSUND/tillsynsmail/A 68643-2021.docx")</f>
        <v/>
      </c>
    </row>
    <row r="19" ht="15" customHeight="1">
      <c r="A19" t="inlineStr">
        <is>
          <t>A 37770-2018</t>
        </is>
      </c>
      <c r="B19" s="1" t="n">
        <v>43335</v>
      </c>
      <c r="C19" s="1" t="n">
        <v>45172</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f>
        <v/>
      </c>
      <c r="T19">
        <f>HYPERLINK("https://klasma.github.io/Logging_STROMSUND/kartor/A 37770-2018.png")</f>
        <v/>
      </c>
      <c r="V19">
        <f>HYPERLINK("https://klasma.github.io/Logging_STROMSUND/klagomål/A 37770-2018.docx")</f>
        <v/>
      </c>
      <c r="W19">
        <f>HYPERLINK("https://klasma.github.io/Logging_STROMSUND/klagomålsmail/A 37770-2018.docx")</f>
        <v/>
      </c>
      <c r="X19">
        <f>HYPERLINK("https://klasma.github.io/Logging_STROMSUND/tillsyn/A 37770-2018.docx")</f>
        <v/>
      </c>
      <c r="Y19">
        <f>HYPERLINK("https://klasma.github.io/Logging_STROMSUND/tillsynsmail/A 37770-2018.docx")</f>
        <v/>
      </c>
    </row>
    <row r="20" ht="15" customHeight="1">
      <c r="A20" t="inlineStr">
        <is>
          <t>A 8265-2019</t>
        </is>
      </c>
      <c r="B20" s="1" t="n">
        <v>43501</v>
      </c>
      <c r="C20" s="1" t="n">
        <v>45172</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f>
        <v/>
      </c>
      <c r="T20">
        <f>HYPERLINK("https://klasma.github.io/Logging_STROMSUND/kartor/A 8265-2019.png")</f>
        <v/>
      </c>
      <c r="V20">
        <f>HYPERLINK("https://klasma.github.io/Logging_STROMSUND/klagomål/A 8265-2019.docx")</f>
        <v/>
      </c>
      <c r="W20">
        <f>HYPERLINK("https://klasma.github.io/Logging_STROMSUND/klagomålsmail/A 8265-2019.docx")</f>
        <v/>
      </c>
      <c r="X20">
        <f>HYPERLINK("https://klasma.github.io/Logging_STROMSUND/tillsyn/A 8265-2019.docx")</f>
        <v/>
      </c>
      <c r="Y20">
        <f>HYPERLINK("https://klasma.github.io/Logging_STROMSUND/tillsynsmail/A 8265-2019.docx")</f>
        <v/>
      </c>
    </row>
    <row r="21" ht="15" customHeight="1">
      <c r="A21" t="inlineStr">
        <is>
          <t>A 15884-2019</t>
        </is>
      </c>
      <c r="B21" s="1" t="n">
        <v>43543</v>
      </c>
      <c r="C21" s="1" t="n">
        <v>45172</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f>
        <v/>
      </c>
      <c r="T21">
        <f>HYPERLINK("https://klasma.github.io/Logging_STROMSUND/kartor/A 15884-2019.png")</f>
        <v/>
      </c>
      <c r="V21">
        <f>HYPERLINK("https://klasma.github.io/Logging_STROMSUND/klagomål/A 15884-2019.docx")</f>
        <v/>
      </c>
      <c r="W21">
        <f>HYPERLINK("https://klasma.github.io/Logging_STROMSUND/klagomålsmail/A 15884-2019.docx")</f>
        <v/>
      </c>
      <c r="X21">
        <f>HYPERLINK("https://klasma.github.io/Logging_STROMSUND/tillsyn/A 15884-2019.docx")</f>
        <v/>
      </c>
      <c r="Y21">
        <f>HYPERLINK("https://klasma.github.io/Logging_STROMSUND/tillsynsmail/A 15884-2019.docx")</f>
        <v/>
      </c>
    </row>
    <row r="22" ht="15" customHeight="1">
      <c r="A22" t="inlineStr">
        <is>
          <t>A 44952-2020</t>
        </is>
      </c>
      <c r="B22" s="1" t="n">
        <v>44083</v>
      </c>
      <c r="C22" s="1" t="n">
        <v>45172</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f>
        <v/>
      </c>
      <c r="T22">
        <f>HYPERLINK("https://klasma.github.io/Logging_STROMSUND/kartor/A 44952-2020.png")</f>
        <v/>
      </c>
      <c r="V22">
        <f>HYPERLINK("https://klasma.github.io/Logging_STROMSUND/klagomål/A 44952-2020.docx")</f>
        <v/>
      </c>
      <c r="W22">
        <f>HYPERLINK("https://klasma.github.io/Logging_STROMSUND/klagomålsmail/A 44952-2020.docx")</f>
        <v/>
      </c>
      <c r="X22">
        <f>HYPERLINK("https://klasma.github.io/Logging_STROMSUND/tillsyn/A 44952-2020.docx")</f>
        <v/>
      </c>
      <c r="Y22">
        <f>HYPERLINK("https://klasma.github.io/Logging_STROMSUND/tillsynsmail/A 44952-2020.docx")</f>
        <v/>
      </c>
    </row>
    <row r="23" ht="15" customHeight="1">
      <c r="A23" t="inlineStr">
        <is>
          <t>A 65822-2020</t>
        </is>
      </c>
      <c r="B23" s="1" t="n">
        <v>44174</v>
      </c>
      <c r="C23" s="1" t="n">
        <v>45172</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f>
        <v/>
      </c>
      <c r="T23">
        <f>HYPERLINK("https://klasma.github.io/Logging_STROMSUND/kartor/A 65822-2020.png")</f>
        <v/>
      </c>
      <c r="V23">
        <f>HYPERLINK("https://klasma.github.io/Logging_STROMSUND/klagomål/A 65822-2020.docx")</f>
        <v/>
      </c>
      <c r="W23">
        <f>HYPERLINK("https://klasma.github.io/Logging_STROMSUND/klagomålsmail/A 65822-2020.docx")</f>
        <v/>
      </c>
      <c r="X23">
        <f>HYPERLINK("https://klasma.github.io/Logging_STROMSUND/tillsyn/A 65822-2020.docx")</f>
        <v/>
      </c>
      <c r="Y23">
        <f>HYPERLINK("https://klasma.github.io/Logging_STROMSUND/tillsynsmail/A 65822-2020.docx")</f>
        <v/>
      </c>
    </row>
    <row r="24" ht="15" customHeight="1">
      <c r="A24" t="inlineStr">
        <is>
          <t>A 68593-2021</t>
        </is>
      </c>
      <c r="B24" s="1" t="n">
        <v>44529</v>
      </c>
      <c r="C24" s="1" t="n">
        <v>45172</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f>
        <v/>
      </c>
      <c r="T24">
        <f>HYPERLINK("https://klasma.github.io/Logging_STROMSUND/kartor/A 68593-2021.png")</f>
        <v/>
      </c>
      <c r="V24">
        <f>HYPERLINK("https://klasma.github.io/Logging_STROMSUND/klagomål/A 68593-2021.docx")</f>
        <v/>
      </c>
      <c r="W24">
        <f>HYPERLINK("https://klasma.github.io/Logging_STROMSUND/klagomålsmail/A 68593-2021.docx")</f>
        <v/>
      </c>
      <c r="X24">
        <f>HYPERLINK("https://klasma.github.io/Logging_STROMSUND/tillsyn/A 68593-2021.docx")</f>
        <v/>
      </c>
      <c r="Y24">
        <f>HYPERLINK("https://klasma.github.io/Logging_STROMSUND/tillsynsmail/A 68593-2021.docx")</f>
        <v/>
      </c>
    </row>
    <row r="25" ht="15" customHeight="1">
      <c r="A25" t="inlineStr">
        <is>
          <t>A 44956-2020</t>
        </is>
      </c>
      <c r="B25" s="1" t="n">
        <v>44083</v>
      </c>
      <c r="C25" s="1" t="n">
        <v>45172</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f>
        <v/>
      </c>
      <c r="T25">
        <f>HYPERLINK("https://klasma.github.io/Logging_STROMSUND/kartor/A 44956-2020.png")</f>
        <v/>
      </c>
      <c r="V25">
        <f>HYPERLINK("https://klasma.github.io/Logging_STROMSUND/klagomål/A 44956-2020.docx")</f>
        <v/>
      </c>
      <c r="W25">
        <f>HYPERLINK("https://klasma.github.io/Logging_STROMSUND/klagomålsmail/A 44956-2020.docx")</f>
        <v/>
      </c>
      <c r="X25">
        <f>HYPERLINK("https://klasma.github.io/Logging_STROMSUND/tillsyn/A 44956-2020.docx")</f>
        <v/>
      </c>
      <c r="Y25">
        <f>HYPERLINK("https://klasma.github.io/Logging_STROMSUND/tillsynsmail/A 44956-2020.docx")</f>
        <v/>
      </c>
    </row>
    <row r="26" ht="15" customHeight="1">
      <c r="A26" t="inlineStr">
        <is>
          <t>A 32152-2020</t>
        </is>
      </c>
      <c r="B26" s="1" t="n">
        <v>44015</v>
      </c>
      <c r="C26" s="1" t="n">
        <v>45172</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f>
        <v/>
      </c>
      <c r="T26">
        <f>HYPERLINK("https://klasma.github.io/Logging_STROMSUND/kartor/A 32152-2020.png")</f>
        <v/>
      </c>
      <c r="V26">
        <f>HYPERLINK("https://klasma.github.io/Logging_STROMSUND/klagomål/A 32152-2020.docx")</f>
        <v/>
      </c>
      <c r="W26">
        <f>HYPERLINK("https://klasma.github.io/Logging_STROMSUND/klagomålsmail/A 32152-2020.docx")</f>
        <v/>
      </c>
      <c r="X26">
        <f>HYPERLINK("https://klasma.github.io/Logging_STROMSUND/tillsyn/A 32152-2020.docx")</f>
        <v/>
      </c>
      <c r="Y26">
        <f>HYPERLINK("https://klasma.github.io/Logging_STROMSUND/tillsynsmail/A 32152-2020.docx")</f>
        <v/>
      </c>
    </row>
    <row r="27" ht="15" customHeight="1">
      <c r="A27" t="inlineStr">
        <is>
          <t>A 13008-2019</t>
        </is>
      </c>
      <c r="B27" s="1" t="n">
        <v>43525</v>
      </c>
      <c r="C27" s="1" t="n">
        <v>45172</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f>
        <v/>
      </c>
      <c r="T27">
        <f>HYPERLINK("https://klasma.github.io/Logging_STROMSUND/kartor/A 13008-2019.png")</f>
        <v/>
      </c>
      <c r="V27">
        <f>HYPERLINK("https://klasma.github.io/Logging_STROMSUND/klagomål/A 13008-2019.docx")</f>
        <v/>
      </c>
      <c r="W27">
        <f>HYPERLINK("https://klasma.github.io/Logging_STROMSUND/klagomålsmail/A 13008-2019.docx")</f>
        <v/>
      </c>
      <c r="X27">
        <f>HYPERLINK("https://klasma.github.io/Logging_STROMSUND/tillsyn/A 13008-2019.docx")</f>
        <v/>
      </c>
      <c r="Y27">
        <f>HYPERLINK("https://klasma.github.io/Logging_STROMSUND/tillsynsmail/A 13008-2019.docx")</f>
        <v/>
      </c>
    </row>
    <row r="28" ht="15" customHeight="1">
      <c r="A28" t="inlineStr">
        <is>
          <t>A 31839-2020</t>
        </is>
      </c>
      <c r="B28" s="1" t="n">
        <v>44014</v>
      </c>
      <c r="C28" s="1" t="n">
        <v>45172</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f>
        <v/>
      </c>
      <c r="T28">
        <f>HYPERLINK("https://klasma.github.io/Logging_STROMSUND/kartor/A 31839-2020.png")</f>
        <v/>
      </c>
      <c r="V28">
        <f>HYPERLINK("https://klasma.github.io/Logging_STROMSUND/klagomål/A 31839-2020.docx")</f>
        <v/>
      </c>
      <c r="W28">
        <f>HYPERLINK("https://klasma.github.io/Logging_STROMSUND/klagomålsmail/A 31839-2020.docx")</f>
        <v/>
      </c>
      <c r="X28">
        <f>HYPERLINK("https://klasma.github.io/Logging_STROMSUND/tillsyn/A 31839-2020.docx")</f>
        <v/>
      </c>
      <c r="Y28">
        <f>HYPERLINK("https://klasma.github.io/Logging_STROMSUND/tillsynsmail/A 31839-2020.docx")</f>
        <v/>
      </c>
    </row>
    <row r="29" ht="15" customHeight="1">
      <c r="A29" t="inlineStr">
        <is>
          <t>A 35710-2020</t>
        </is>
      </c>
      <c r="B29" s="1" t="n">
        <v>44046</v>
      </c>
      <c r="C29" s="1" t="n">
        <v>45172</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f>
        <v/>
      </c>
      <c r="T29">
        <f>HYPERLINK("https://klasma.github.io/Logging_STROMSUND/kartor/A 35710-2020.png")</f>
        <v/>
      </c>
      <c r="V29">
        <f>HYPERLINK("https://klasma.github.io/Logging_STROMSUND/klagomål/A 35710-2020.docx")</f>
        <v/>
      </c>
      <c r="W29">
        <f>HYPERLINK("https://klasma.github.io/Logging_STROMSUND/klagomålsmail/A 35710-2020.docx")</f>
        <v/>
      </c>
      <c r="X29">
        <f>HYPERLINK("https://klasma.github.io/Logging_STROMSUND/tillsyn/A 35710-2020.docx")</f>
        <v/>
      </c>
      <c r="Y29">
        <f>HYPERLINK("https://klasma.github.io/Logging_STROMSUND/tillsynsmail/A 35710-2020.docx")</f>
        <v/>
      </c>
    </row>
    <row r="30" ht="15" customHeight="1">
      <c r="A30" t="inlineStr">
        <is>
          <t>A 45276-2019</t>
        </is>
      </c>
      <c r="B30" s="1" t="n">
        <v>43713</v>
      </c>
      <c r="C30" s="1" t="n">
        <v>45172</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f>
        <v/>
      </c>
      <c r="T30">
        <f>HYPERLINK("https://klasma.github.io/Logging_STROMSUND/kartor/A 45276-2019.png")</f>
        <v/>
      </c>
      <c r="V30">
        <f>HYPERLINK("https://klasma.github.io/Logging_STROMSUND/klagomål/A 45276-2019.docx")</f>
        <v/>
      </c>
      <c r="W30">
        <f>HYPERLINK("https://klasma.github.io/Logging_STROMSUND/klagomålsmail/A 45276-2019.docx")</f>
        <v/>
      </c>
      <c r="X30">
        <f>HYPERLINK("https://klasma.github.io/Logging_STROMSUND/tillsyn/A 45276-2019.docx")</f>
        <v/>
      </c>
      <c r="Y30">
        <f>HYPERLINK("https://klasma.github.io/Logging_STROMSUND/tillsynsmail/A 45276-2019.docx")</f>
        <v/>
      </c>
    </row>
    <row r="31" ht="15" customHeight="1">
      <c r="A31" t="inlineStr">
        <is>
          <t>A 59097-2019</t>
        </is>
      </c>
      <c r="B31" s="1" t="n">
        <v>43774</v>
      </c>
      <c r="C31" s="1" t="n">
        <v>45172</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f>
        <v/>
      </c>
      <c r="T31">
        <f>HYPERLINK("https://klasma.github.io/Logging_STROMSUND/kartor/A 59097-2019.png")</f>
        <v/>
      </c>
      <c r="V31">
        <f>HYPERLINK("https://klasma.github.io/Logging_STROMSUND/klagomål/A 59097-2019.docx")</f>
        <v/>
      </c>
      <c r="W31">
        <f>HYPERLINK("https://klasma.github.io/Logging_STROMSUND/klagomålsmail/A 59097-2019.docx")</f>
        <v/>
      </c>
      <c r="X31">
        <f>HYPERLINK("https://klasma.github.io/Logging_STROMSUND/tillsyn/A 59097-2019.docx")</f>
        <v/>
      </c>
      <c r="Y31">
        <f>HYPERLINK("https://klasma.github.io/Logging_STROMSUND/tillsynsmail/A 59097-2019.docx")</f>
        <v/>
      </c>
    </row>
    <row r="32" ht="15" customHeight="1">
      <c r="A32" t="inlineStr">
        <is>
          <t>A 65807-2020</t>
        </is>
      </c>
      <c r="B32" s="1" t="n">
        <v>44174</v>
      </c>
      <c r="C32" s="1" t="n">
        <v>45172</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f>
        <v/>
      </c>
      <c r="T32">
        <f>HYPERLINK("https://klasma.github.io/Logging_STROMSUND/kartor/A 65807-2020.png")</f>
        <v/>
      </c>
      <c r="V32">
        <f>HYPERLINK("https://klasma.github.io/Logging_STROMSUND/klagomål/A 65807-2020.docx")</f>
        <v/>
      </c>
      <c r="W32">
        <f>HYPERLINK("https://klasma.github.io/Logging_STROMSUND/klagomålsmail/A 65807-2020.docx")</f>
        <v/>
      </c>
      <c r="X32">
        <f>HYPERLINK("https://klasma.github.io/Logging_STROMSUND/tillsyn/A 65807-2020.docx")</f>
        <v/>
      </c>
      <c r="Y32">
        <f>HYPERLINK("https://klasma.github.io/Logging_STROMSUND/tillsynsmail/A 65807-2020.docx")</f>
        <v/>
      </c>
    </row>
    <row r="33" ht="15" customHeight="1">
      <c r="A33" t="inlineStr">
        <is>
          <t>A 65784-2020</t>
        </is>
      </c>
      <c r="B33" s="1" t="n">
        <v>44174</v>
      </c>
      <c r="C33" s="1" t="n">
        <v>45172</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f>
        <v/>
      </c>
      <c r="T33">
        <f>HYPERLINK("https://klasma.github.io/Logging_STROMSUND/kartor/A 65784-2020.png")</f>
        <v/>
      </c>
      <c r="V33">
        <f>HYPERLINK("https://klasma.github.io/Logging_STROMSUND/klagomål/A 65784-2020.docx")</f>
        <v/>
      </c>
      <c r="W33">
        <f>HYPERLINK("https://klasma.github.io/Logging_STROMSUND/klagomålsmail/A 65784-2020.docx")</f>
        <v/>
      </c>
      <c r="X33">
        <f>HYPERLINK("https://klasma.github.io/Logging_STROMSUND/tillsyn/A 65784-2020.docx")</f>
        <v/>
      </c>
      <c r="Y33">
        <f>HYPERLINK("https://klasma.github.io/Logging_STROMSUND/tillsynsmail/A 65784-2020.docx")</f>
        <v/>
      </c>
    </row>
    <row r="34" ht="15" customHeight="1">
      <c r="A34" t="inlineStr">
        <is>
          <t>A 43075-2021</t>
        </is>
      </c>
      <c r="B34" s="1" t="n">
        <v>44431</v>
      </c>
      <c r="C34" s="1" t="n">
        <v>45172</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f>
        <v/>
      </c>
      <c r="T34">
        <f>HYPERLINK("https://klasma.github.io/Logging_STROMSUND/kartor/A 43075-2021.png")</f>
        <v/>
      </c>
      <c r="V34">
        <f>HYPERLINK("https://klasma.github.io/Logging_STROMSUND/klagomål/A 43075-2021.docx")</f>
        <v/>
      </c>
      <c r="W34">
        <f>HYPERLINK("https://klasma.github.io/Logging_STROMSUND/klagomålsmail/A 43075-2021.docx")</f>
        <v/>
      </c>
      <c r="X34">
        <f>HYPERLINK("https://klasma.github.io/Logging_STROMSUND/tillsyn/A 43075-2021.docx")</f>
        <v/>
      </c>
      <c r="Y34">
        <f>HYPERLINK("https://klasma.github.io/Logging_STROMSUND/tillsynsmail/A 43075-2021.docx")</f>
        <v/>
      </c>
    </row>
    <row r="35" ht="15" customHeight="1">
      <c r="A35" t="inlineStr">
        <is>
          <t>A 18987-2023</t>
        </is>
      </c>
      <c r="B35" s="1" t="n">
        <v>45044</v>
      </c>
      <c r="C35" s="1" t="n">
        <v>45172</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f>
        <v/>
      </c>
      <c r="T35">
        <f>HYPERLINK("https://klasma.github.io/Logging_STROMSUND/kartor/A 18987-2023.png")</f>
        <v/>
      </c>
      <c r="V35">
        <f>HYPERLINK("https://klasma.github.io/Logging_STROMSUND/klagomål/A 18987-2023.docx")</f>
        <v/>
      </c>
      <c r="W35">
        <f>HYPERLINK("https://klasma.github.io/Logging_STROMSUND/klagomålsmail/A 18987-2023.docx")</f>
        <v/>
      </c>
      <c r="X35">
        <f>HYPERLINK("https://klasma.github.io/Logging_STROMSUND/tillsyn/A 18987-2023.docx")</f>
        <v/>
      </c>
      <c r="Y35">
        <f>HYPERLINK("https://klasma.github.io/Logging_STROMSUND/tillsynsmail/A 18987-2023.docx")</f>
        <v/>
      </c>
    </row>
    <row r="36" ht="15" customHeight="1">
      <c r="A36" t="inlineStr">
        <is>
          <t>A 47078-2019</t>
        </is>
      </c>
      <c r="B36" s="1" t="n">
        <v>43720</v>
      </c>
      <c r="C36" s="1" t="n">
        <v>45172</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f>
        <v/>
      </c>
      <c r="T36">
        <f>HYPERLINK("https://klasma.github.io/Logging_STROMSUND/kartor/A 47078-2019.png")</f>
        <v/>
      </c>
      <c r="V36">
        <f>HYPERLINK("https://klasma.github.io/Logging_STROMSUND/klagomål/A 47078-2019.docx")</f>
        <v/>
      </c>
      <c r="W36">
        <f>HYPERLINK("https://klasma.github.io/Logging_STROMSUND/klagomålsmail/A 47078-2019.docx")</f>
        <v/>
      </c>
      <c r="X36">
        <f>HYPERLINK("https://klasma.github.io/Logging_STROMSUND/tillsyn/A 47078-2019.docx")</f>
        <v/>
      </c>
      <c r="Y36">
        <f>HYPERLINK("https://klasma.github.io/Logging_STROMSUND/tillsynsmail/A 47078-2019.docx")</f>
        <v/>
      </c>
    </row>
    <row r="37" ht="15" customHeight="1">
      <c r="A37" t="inlineStr">
        <is>
          <t>A 19734-2020</t>
        </is>
      </c>
      <c r="B37" s="1" t="n">
        <v>43941</v>
      </c>
      <c r="C37" s="1" t="n">
        <v>45172</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f>
        <v/>
      </c>
      <c r="T37">
        <f>HYPERLINK("https://klasma.github.io/Logging_STROMSUND/kartor/A 19734-2020.png")</f>
        <v/>
      </c>
      <c r="V37">
        <f>HYPERLINK("https://klasma.github.io/Logging_STROMSUND/klagomål/A 19734-2020.docx")</f>
        <v/>
      </c>
      <c r="W37">
        <f>HYPERLINK("https://klasma.github.io/Logging_STROMSUND/klagomålsmail/A 19734-2020.docx")</f>
        <v/>
      </c>
      <c r="X37">
        <f>HYPERLINK("https://klasma.github.io/Logging_STROMSUND/tillsyn/A 19734-2020.docx")</f>
        <v/>
      </c>
      <c r="Y37">
        <f>HYPERLINK("https://klasma.github.io/Logging_STROMSUND/tillsynsmail/A 19734-2020.docx")</f>
        <v/>
      </c>
    </row>
    <row r="38" ht="15" customHeight="1">
      <c r="A38" t="inlineStr">
        <is>
          <t>A 31789-2020</t>
        </is>
      </c>
      <c r="B38" s="1" t="n">
        <v>44014</v>
      </c>
      <c r="C38" s="1" t="n">
        <v>45172</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f>
        <v/>
      </c>
      <c r="T38">
        <f>HYPERLINK("https://klasma.github.io/Logging_STROMSUND/kartor/A 31789-2020.png")</f>
        <v/>
      </c>
      <c r="V38">
        <f>HYPERLINK("https://klasma.github.io/Logging_STROMSUND/klagomål/A 31789-2020.docx")</f>
        <v/>
      </c>
      <c r="W38">
        <f>HYPERLINK("https://klasma.github.io/Logging_STROMSUND/klagomålsmail/A 31789-2020.docx")</f>
        <v/>
      </c>
      <c r="X38">
        <f>HYPERLINK("https://klasma.github.io/Logging_STROMSUND/tillsyn/A 31789-2020.docx")</f>
        <v/>
      </c>
      <c r="Y38">
        <f>HYPERLINK("https://klasma.github.io/Logging_STROMSUND/tillsynsmail/A 31789-2020.docx")</f>
        <v/>
      </c>
    </row>
    <row r="39" ht="15" customHeight="1">
      <c r="A39" t="inlineStr">
        <is>
          <t>A 45664-2020</t>
        </is>
      </c>
      <c r="B39" s="1" t="n">
        <v>44090</v>
      </c>
      <c r="C39" s="1" t="n">
        <v>45172</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f>
        <v/>
      </c>
      <c r="T39">
        <f>HYPERLINK("https://klasma.github.io/Logging_STROMSUND/kartor/A 45664-2020.png")</f>
        <v/>
      </c>
      <c r="V39">
        <f>HYPERLINK("https://klasma.github.io/Logging_STROMSUND/klagomål/A 45664-2020.docx")</f>
        <v/>
      </c>
      <c r="W39">
        <f>HYPERLINK("https://klasma.github.io/Logging_STROMSUND/klagomålsmail/A 45664-2020.docx")</f>
        <v/>
      </c>
      <c r="X39">
        <f>HYPERLINK("https://klasma.github.io/Logging_STROMSUND/tillsyn/A 45664-2020.docx")</f>
        <v/>
      </c>
      <c r="Y39">
        <f>HYPERLINK("https://klasma.github.io/Logging_STROMSUND/tillsynsmail/A 45664-2020.docx")</f>
        <v/>
      </c>
    </row>
    <row r="40" ht="15" customHeight="1">
      <c r="A40" t="inlineStr">
        <is>
          <t>A 26140-2022</t>
        </is>
      </c>
      <c r="B40" s="1" t="n">
        <v>44734</v>
      </c>
      <c r="C40" s="1" t="n">
        <v>45172</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f>
        <v/>
      </c>
      <c r="T40">
        <f>HYPERLINK("https://klasma.github.io/Logging_STROMSUND/kartor/A 26140-2022.png")</f>
        <v/>
      </c>
      <c r="V40">
        <f>HYPERLINK("https://klasma.github.io/Logging_STROMSUND/klagomål/A 26140-2022.docx")</f>
        <v/>
      </c>
      <c r="W40">
        <f>HYPERLINK("https://klasma.github.io/Logging_STROMSUND/klagomålsmail/A 26140-2022.docx")</f>
        <v/>
      </c>
      <c r="X40">
        <f>HYPERLINK("https://klasma.github.io/Logging_STROMSUND/tillsyn/A 26140-2022.docx")</f>
        <v/>
      </c>
      <c r="Y40">
        <f>HYPERLINK("https://klasma.github.io/Logging_STROMSUND/tillsynsmail/A 26140-2022.docx")</f>
        <v/>
      </c>
    </row>
    <row r="41" ht="15" customHeight="1">
      <c r="A41" t="inlineStr">
        <is>
          <t>A 24299-2023</t>
        </is>
      </c>
      <c r="B41" s="1" t="n">
        <v>45079</v>
      </c>
      <c r="C41" s="1" t="n">
        <v>45172</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f>
        <v/>
      </c>
      <c r="T41">
        <f>HYPERLINK("https://klasma.github.io/Logging_STROMSUND/kartor/A 24299-2023.png")</f>
        <v/>
      </c>
      <c r="V41">
        <f>HYPERLINK("https://klasma.github.io/Logging_STROMSUND/klagomål/A 24299-2023.docx")</f>
        <v/>
      </c>
      <c r="W41">
        <f>HYPERLINK("https://klasma.github.io/Logging_STROMSUND/klagomålsmail/A 24299-2023.docx")</f>
        <v/>
      </c>
      <c r="X41">
        <f>HYPERLINK("https://klasma.github.io/Logging_STROMSUND/tillsyn/A 24299-2023.docx")</f>
        <v/>
      </c>
      <c r="Y41">
        <f>HYPERLINK("https://klasma.github.io/Logging_STROMSUND/tillsynsmail/A 24299-2023.docx")</f>
        <v/>
      </c>
    </row>
    <row r="42" ht="15" customHeight="1">
      <c r="A42" t="inlineStr">
        <is>
          <t>A 31327-2023</t>
        </is>
      </c>
      <c r="B42" s="1" t="n">
        <v>45114</v>
      </c>
      <c r="C42" s="1" t="n">
        <v>45172</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f>
        <v/>
      </c>
      <c r="T42">
        <f>HYPERLINK("https://klasma.github.io/Logging_STROMSUND/kartor/A 31327-2023.png")</f>
        <v/>
      </c>
      <c r="V42">
        <f>HYPERLINK("https://klasma.github.io/Logging_STROMSUND/klagomål/A 31327-2023.docx")</f>
        <v/>
      </c>
      <c r="W42">
        <f>HYPERLINK("https://klasma.github.io/Logging_STROMSUND/klagomålsmail/A 31327-2023.docx")</f>
        <v/>
      </c>
      <c r="X42">
        <f>HYPERLINK("https://klasma.github.io/Logging_STROMSUND/tillsyn/A 31327-2023.docx")</f>
        <v/>
      </c>
      <c r="Y42">
        <f>HYPERLINK("https://klasma.github.io/Logging_STROMSUND/tillsynsmail/A 31327-2023.docx")</f>
        <v/>
      </c>
    </row>
    <row r="43" ht="15" customHeight="1">
      <c r="A43" t="inlineStr">
        <is>
          <t>A 25855-2019</t>
        </is>
      </c>
      <c r="B43" s="1" t="n">
        <v>43608</v>
      </c>
      <c r="C43" s="1" t="n">
        <v>45172</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f>
        <v/>
      </c>
      <c r="T43">
        <f>HYPERLINK("https://klasma.github.io/Logging_STROMSUND/kartor/A 25855-2019.png")</f>
        <v/>
      </c>
      <c r="V43">
        <f>HYPERLINK("https://klasma.github.io/Logging_STROMSUND/klagomål/A 25855-2019.docx")</f>
        <v/>
      </c>
      <c r="W43">
        <f>HYPERLINK("https://klasma.github.io/Logging_STROMSUND/klagomålsmail/A 25855-2019.docx")</f>
        <v/>
      </c>
      <c r="X43">
        <f>HYPERLINK("https://klasma.github.io/Logging_STROMSUND/tillsyn/A 25855-2019.docx")</f>
        <v/>
      </c>
      <c r="Y43">
        <f>HYPERLINK("https://klasma.github.io/Logging_STROMSUND/tillsynsmail/A 25855-2019.docx")</f>
        <v/>
      </c>
    </row>
    <row r="44" ht="15" customHeight="1">
      <c r="A44" t="inlineStr">
        <is>
          <t>A 39276-2019</t>
        </is>
      </c>
      <c r="B44" s="1" t="n">
        <v>43690</v>
      </c>
      <c r="C44" s="1" t="n">
        <v>45172</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f>
        <v/>
      </c>
      <c r="T44">
        <f>HYPERLINK("https://klasma.github.io/Logging_STROMSUND/kartor/A 39276-2019.png")</f>
        <v/>
      </c>
      <c r="V44">
        <f>HYPERLINK("https://klasma.github.io/Logging_STROMSUND/klagomål/A 39276-2019.docx")</f>
        <v/>
      </c>
      <c r="W44">
        <f>HYPERLINK("https://klasma.github.io/Logging_STROMSUND/klagomålsmail/A 39276-2019.docx")</f>
        <v/>
      </c>
      <c r="X44">
        <f>HYPERLINK("https://klasma.github.io/Logging_STROMSUND/tillsyn/A 39276-2019.docx")</f>
        <v/>
      </c>
      <c r="Y44">
        <f>HYPERLINK("https://klasma.github.io/Logging_STROMSUND/tillsynsmail/A 39276-2019.docx")</f>
        <v/>
      </c>
    </row>
    <row r="45" ht="15" customHeight="1">
      <c r="A45" t="inlineStr">
        <is>
          <t>A 66118-2020</t>
        </is>
      </c>
      <c r="B45" s="1" t="n">
        <v>44175</v>
      </c>
      <c r="C45" s="1" t="n">
        <v>45172</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f>
        <v/>
      </c>
      <c r="T45">
        <f>HYPERLINK("https://klasma.github.io/Logging_STROMSUND/kartor/A 66118-2020.png")</f>
        <v/>
      </c>
      <c r="V45">
        <f>HYPERLINK("https://klasma.github.io/Logging_STROMSUND/klagomål/A 66118-2020.docx")</f>
        <v/>
      </c>
      <c r="W45">
        <f>HYPERLINK("https://klasma.github.io/Logging_STROMSUND/klagomålsmail/A 66118-2020.docx")</f>
        <v/>
      </c>
      <c r="X45">
        <f>HYPERLINK("https://klasma.github.io/Logging_STROMSUND/tillsyn/A 66118-2020.docx")</f>
        <v/>
      </c>
      <c r="Y45">
        <f>HYPERLINK("https://klasma.github.io/Logging_STROMSUND/tillsynsmail/A 66118-2020.docx")</f>
        <v/>
      </c>
    </row>
    <row r="46" ht="15" customHeight="1">
      <c r="A46" t="inlineStr">
        <is>
          <t>A 26141-2022</t>
        </is>
      </c>
      <c r="B46" s="1" t="n">
        <v>44734</v>
      </c>
      <c r="C46" s="1" t="n">
        <v>45172</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f>
        <v/>
      </c>
      <c r="T46">
        <f>HYPERLINK("https://klasma.github.io/Logging_STROMSUND/kartor/A 26141-2022.png")</f>
        <v/>
      </c>
      <c r="V46">
        <f>HYPERLINK("https://klasma.github.io/Logging_STROMSUND/klagomål/A 26141-2022.docx")</f>
        <v/>
      </c>
      <c r="W46">
        <f>HYPERLINK("https://klasma.github.io/Logging_STROMSUND/klagomålsmail/A 26141-2022.docx")</f>
        <v/>
      </c>
      <c r="X46">
        <f>HYPERLINK("https://klasma.github.io/Logging_STROMSUND/tillsyn/A 26141-2022.docx")</f>
        <v/>
      </c>
      <c r="Y46">
        <f>HYPERLINK("https://klasma.github.io/Logging_STROMSUND/tillsynsmail/A 26141-2022.docx")</f>
        <v/>
      </c>
    </row>
    <row r="47" ht="15" customHeight="1">
      <c r="A47" t="inlineStr">
        <is>
          <t>A 54246-2022</t>
        </is>
      </c>
      <c r="B47" s="1" t="n">
        <v>44881</v>
      </c>
      <c r="C47" s="1" t="n">
        <v>45172</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f>
        <v/>
      </c>
      <c r="T47">
        <f>HYPERLINK("https://klasma.github.io/Logging_STROMSUND/kartor/A 54246-2022.png")</f>
        <v/>
      </c>
      <c r="V47">
        <f>HYPERLINK("https://klasma.github.io/Logging_STROMSUND/klagomål/A 54246-2022.docx")</f>
        <v/>
      </c>
      <c r="W47">
        <f>HYPERLINK("https://klasma.github.io/Logging_STROMSUND/klagomålsmail/A 54246-2022.docx")</f>
        <v/>
      </c>
      <c r="X47">
        <f>HYPERLINK("https://klasma.github.io/Logging_STROMSUND/tillsyn/A 54246-2022.docx")</f>
        <v/>
      </c>
      <c r="Y47">
        <f>HYPERLINK("https://klasma.github.io/Logging_STROMSUND/tillsynsmail/A 54246-2022.docx")</f>
        <v/>
      </c>
    </row>
    <row r="48" ht="15" customHeight="1">
      <c r="A48" t="inlineStr">
        <is>
          <t>A 54906-2022</t>
        </is>
      </c>
      <c r="B48" s="1" t="n">
        <v>44886</v>
      </c>
      <c r="C48" s="1" t="n">
        <v>45172</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f>
        <v/>
      </c>
      <c r="T48">
        <f>HYPERLINK("https://klasma.github.io/Logging_STROMSUND/kartor/A 54906-2022.png")</f>
        <v/>
      </c>
      <c r="V48">
        <f>HYPERLINK("https://klasma.github.io/Logging_STROMSUND/klagomål/A 54906-2022.docx")</f>
        <v/>
      </c>
      <c r="W48">
        <f>HYPERLINK("https://klasma.github.io/Logging_STROMSUND/klagomålsmail/A 54906-2022.docx")</f>
        <v/>
      </c>
      <c r="X48">
        <f>HYPERLINK("https://klasma.github.io/Logging_STROMSUND/tillsyn/A 54906-2022.docx")</f>
        <v/>
      </c>
      <c r="Y48">
        <f>HYPERLINK("https://klasma.github.io/Logging_STROMSUND/tillsynsmail/A 54906-2022.docx")</f>
        <v/>
      </c>
    </row>
    <row r="49" ht="15" customHeight="1">
      <c r="A49" t="inlineStr">
        <is>
          <t>A 1470-2023</t>
        </is>
      </c>
      <c r="B49" s="1" t="n">
        <v>44931</v>
      </c>
      <c r="C49" s="1" t="n">
        <v>45172</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f>
        <v/>
      </c>
      <c r="T49">
        <f>HYPERLINK("https://klasma.github.io/Logging_STROMSUND/kartor/A 1470-2023.png")</f>
        <v/>
      </c>
      <c r="V49">
        <f>HYPERLINK("https://klasma.github.io/Logging_STROMSUND/klagomål/A 1470-2023.docx")</f>
        <v/>
      </c>
      <c r="W49">
        <f>HYPERLINK("https://klasma.github.io/Logging_STROMSUND/klagomålsmail/A 1470-2023.docx")</f>
        <v/>
      </c>
      <c r="X49">
        <f>HYPERLINK("https://klasma.github.io/Logging_STROMSUND/tillsyn/A 1470-2023.docx")</f>
        <v/>
      </c>
      <c r="Y49">
        <f>HYPERLINK("https://klasma.github.io/Logging_STROMSUND/tillsynsmail/A 1470-2023.docx")</f>
        <v/>
      </c>
    </row>
    <row r="50" ht="15" customHeight="1">
      <c r="A50" t="inlineStr">
        <is>
          <t>A 59998-2018</t>
        </is>
      </c>
      <c r="B50" s="1" t="n">
        <v>43411</v>
      </c>
      <c r="C50" s="1" t="n">
        <v>45172</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f>
        <v/>
      </c>
      <c r="T50">
        <f>HYPERLINK("https://klasma.github.io/Logging_STROMSUND/kartor/A 59998-2018.png")</f>
        <v/>
      </c>
      <c r="V50">
        <f>HYPERLINK("https://klasma.github.io/Logging_STROMSUND/klagomål/A 59998-2018.docx")</f>
        <v/>
      </c>
      <c r="W50">
        <f>HYPERLINK("https://klasma.github.io/Logging_STROMSUND/klagomålsmail/A 59998-2018.docx")</f>
        <v/>
      </c>
      <c r="X50">
        <f>HYPERLINK("https://klasma.github.io/Logging_STROMSUND/tillsyn/A 59998-2018.docx")</f>
        <v/>
      </c>
      <c r="Y50">
        <f>HYPERLINK("https://klasma.github.io/Logging_STROMSUND/tillsynsmail/A 59998-2018.docx")</f>
        <v/>
      </c>
    </row>
    <row r="51" ht="15" customHeight="1">
      <c r="A51" t="inlineStr">
        <is>
          <t>A 62518-2018</t>
        </is>
      </c>
      <c r="B51" s="1" t="n">
        <v>43413</v>
      </c>
      <c r="C51" s="1" t="n">
        <v>45172</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f>
        <v/>
      </c>
      <c r="T51">
        <f>HYPERLINK("https://klasma.github.io/Logging_STROMSUND/kartor/A 62518-2018.png")</f>
        <v/>
      </c>
      <c r="V51">
        <f>HYPERLINK("https://klasma.github.io/Logging_STROMSUND/klagomål/A 62518-2018.docx")</f>
        <v/>
      </c>
      <c r="W51">
        <f>HYPERLINK("https://klasma.github.io/Logging_STROMSUND/klagomålsmail/A 62518-2018.docx")</f>
        <v/>
      </c>
      <c r="X51">
        <f>HYPERLINK("https://klasma.github.io/Logging_STROMSUND/tillsyn/A 62518-2018.docx")</f>
        <v/>
      </c>
      <c r="Y51">
        <f>HYPERLINK("https://klasma.github.io/Logging_STROMSUND/tillsynsmail/A 62518-2018.docx")</f>
        <v/>
      </c>
    </row>
    <row r="52" ht="15" customHeight="1">
      <c r="A52" t="inlineStr">
        <is>
          <t>A 6776-2020</t>
        </is>
      </c>
      <c r="B52" s="1" t="n">
        <v>43867</v>
      </c>
      <c r="C52" s="1" t="n">
        <v>45172</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f>
        <v/>
      </c>
      <c r="T52">
        <f>HYPERLINK("https://klasma.github.io/Logging_STROMSUND/kartor/A 6776-2020.png")</f>
        <v/>
      </c>
      <c r="V52">
        <f>HYPERLINK("https://klasma.github.io/Logging_STROMSUND/klagomål/A 6776-2020.docx")</f>
        <v/>
      </c>
      <c r="W52">
        <f>HYPERLINK("https://klasma.github.io/Logging_STROMSUND/klagomålsmail/A 6776-2020.docx")</f>
        <v/>
      </c>
      <c r="X52">
        <f>HYPERLINK("https://klasma.github.io/Logging_STROMSUND/tillsyn/A 6776-2020.docx")</f>
        <v/>
      </c>
      <c r="Y52">
        <f>HYPERLINK("https://klasma.github.io/Logging_STROMSUND/tillsynsmail/A 6776-2020.docx")</f>
        <v/>
      </c>
    </row>
    <row r="53" ht="15" customHeight="1">
      <c r="A53" t="inlineStr">
        <is>
          <t>A 36809-2020</t>
        </is>
      </c>
      <c r="B53" s="1" t="n">
        <v>44053</v>
      </c>
      <c r="C53" s="1" t="n">
        <v>45172</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f>
        <v/>
      </c>
      <c r="T53">
        <f>HYPERLINK("https://klasma.github.io/Logging_STROMSUND/kartor/A 36809-2020.png")</f>
        <v/>
      </c>
      <c r="V53">
        <f>HYPERLINK("https://klasma.github.io/Logging_STROMSUND/klagomål/A 36809-2020.docx")</f>
        <v/>
      </c>
      <c r="W53">
        <f>HYPERLINK("https://klasma.github.io/Logging_STROMSUND/klagomålsmail/A 36809-2020.docx")</f>
        <v/>
      </c>
      <c r="X53">
        <f>HYPERLINK("https://klasma.github.io/Logging_STROMSUND/tillsyn/A 36809-2020.docx")</f>
        <v/>
      </c>
      <c r="Y53">
        <f>HYPERLINK("https://klasma.github.io/Logging_STROMSUND/tillsynsmail/A 36809-2020.docx")</f>
        <v/>
      </c>
    </row>
    <row r="54" ht="15" customHeight="1">
      <c r="A54" t="inlineStr">
        <is>
          <t>A 44983-2020</t>
        </is>
      </c>
      <c r="B54" s="1" t="n">
        <v>44083</v>
      </c>
      <c r="C54" s="1" t="n">
        <v>45172</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f>
        <v/>
      </c>
      <c r="T54">
        <f>HYPERLINK("https://klasma.github.io/Logging_STROMSUND/kartor/A 44983-2020.png")</f>
        <v/>
      </c>
      <c r="V54">
        <f>HYPERLINK("https://klasma.github.io/Logging_STROMSUND/klagomål/A 44983-2020.docx")</f>
        <v/>
      </c>
      <c r="W54">
        <f>HYPERLINK("https://klasma.github.io/Logging_STROMSUND/klagomålsmail/A 44983-2020.docx")</f>
        <v/>
      </c>
      <c r="X54">
        <f>HYPERLINK("https://klasma.github.io/Logging_STROMSUND/tillsyn/A 44983-2020.docx")</f>
        <v/>
      </c>
      <c r="Y54">
        <f>HYPERLINK("https://klasma.github.io/Logging_STROMSUND/tillsynsmail/A 44983-2020.docx")</f>
        <v/>
      </c>
    </row>
    <row r="55" ht="15" customHeight="1">
      <c r="A55" t="inlineStr">
        <is>
          <t>A 718-2021</t>
        </is>
      </c>
      <c r="B55" s="1" t="n">
        <v>44204</v>
      </c>
      <c r="C55" s="1" t="n">
        <v>45172</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f>
        <v/>
      </c>
      <c r="T55">
        <f>HYPERLINK("https://klasma.github.io/Logging_STROMSUND/kartor/A 718-2021.png")</f>
        <v/>
      </c>
      <c r="V55">
        <f>HYPERLINK("https://klasma.github.io/Logging_STROMSUND/klagomål/A 718-2021.docx")</f>
        <v/>
      </c>
      <c r="W55">
        <f>HYPERLINK("https://klasma.github.io/Logging_STROMSUND/klagomålsmail/A 718-2021.docx")</f>
        <v/>
      </c>
      <c r="X55">
        <f>HYPERLINK("https://klasma.github.io/Logging_STROMSUND/tillsyn/A 718-2021.docx")</f>
        <v/>
      </c>
      <c r="Y55">
        <f>HYPERLINK("https://klasma.github.io/Logging_STROMSUND/tillsynsmail/A 718-2021.docx")</f>
        <v/>
      </c>
    </row>
    <row r="56" ht="15" customHeight="1">
      <c r="A56" t="inlineStr">
        <is>
          <t>A 69914-2021</t>
        </is>
      </c>
      <c r="B56" s="1" t="n">
        <v>44532</v>
      </c>
      <c r="C56" s="1" t="n">
        <v>45172</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f>
        <v/>
      </c>
      <c r="T56">
        <f>HYPERLINK("https://klasma.github.io/Logging_STROMSUND/kartor/A 69914-2021.png")</f>
        <v/>
      </c>
      <c r="U56">
        <f>HYPERLINK("https://klasma.github.io/Logging_STROMSUND/knärot/A 69914-2021.png")</f>
        <v/>
      </c>
      <c r="V56">
        <f>HYPERLINK("https://klasma.github.io/Logging_STROMSUND/klagomål/A 69914-2021.docx")</f>
        <v/>
      </c>
      <c r="W56">
        <f>HYPERLINK("https://klasma.github.io/Logging_STROMSUND/klagomålsmail/A 69914-2021.docx")</f>
        <v/>
      </c>
      <c r="X56">
        <f>HYPERLINK("https://klasma.github.io/Logging_STROMSUND/tillsyn/A 69914-2021.docx")</f>
        <v/>
      </c>
      <c r="Y56">
        <f>HYPERLINK("https://klasma.github.io/Logging_STROMSUND/tillsynsmail/A 69914-2021.docx")</f>
        <v/>
      </c>
    </row>
    <row r="57" ht="15" customHeight="1">
      <c r="A57" t="inlineStr">
        <is>
          <t>A 11485-2022</t>
        </is>
      </c>
      <c r="B57" s="1" t="n">
        <v>44630</v>
      </c>
      <c r="C57" s="1" t="n">
        <v>45172</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f>
        <v/>
      </c>
      <c r="T57">
        <f>HYPERLINK("https://klasma.github.io/Logging_STROMSUND/kartor/A 11485-2022.png")</f>
        <v/>
      </c>
      <c r="V57">
        <f>HYPERLINK("https://klasma.github.io/Logging_STROMSUND/klagomål/A 11485-2022.docx")</f>
        <v/>
      </c>
      <c r="W57">
        <f>HYPERLINK("https://klasma.github.io/Logging_STROMSUND/klagomålsmail/A 11485-2022.docx")</f>
        <v/>
      </c>
      <c r="X57">
        <f>HYPERLINK("https://klasma.github.io/Logging_STROMSUND/tillsyn/A 11485-2022.docx")</f>
        <v/>
      </c>
      <c r="Y57">
        <f>HYPERLINK("https://klasma.github.io/Logging_STROMSUND/tillsynsmail/A 11485-2022.docx")</f>
        <v/>
      </c>
    </row>
    <row r="58" ht="15" customHeight="1">
      <c r="A58" t="inlineStr">
        <is>
          <t>A 11604-2022</t>
        </is>
      </c>
      <c r="B58" s="1" t="n">
        <v>44631</v>
      </c>
      <c r="C58" s="1" t="n">
        <v>45172</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f>
        <v/>
      </c>
      <c r="T58">
        <f>HYPERLINK("https://klasma.github.io/Logging_STROMSUND/kartor/A 11604-2022.png")</f>
        <v/>
      </c>
      <c r="V58">
        <f>HYPERLINK("https://klasma.github.io/Logging_STROMSUND/klagomål/A 11604-2022.docx")</f>
        <v/>
      </c>
      <c r="W58">
        <f>HYPERLINK("https://klasma.github.io/Logging_STROMSUND/klagomålsmail/A 11604-2022.docx")</f>
        <v/>
      </c>
      <c r="X58">
        <f>HYPERLINK("https://klasma.github.io/Logging_STROMSUND/tillsyn/A 11604-2022.docx")</f>
        <v/>
      </c>
      <c r="Y58">
        <f>HYPERLINK("https://klasma.github.io/Logging_STROMSUND/tillsynsmail/A 11604-2022.docx")</f>
        <v/>
      </c>
    </row>
    <row r="59" ht="15" customHeight="1">
      <c r="A59" t="inlineStr">
        <is>
          <t>A 56894-2022</t>
        </is>
      </c>
      <c r="B59" s="1" t="n">
        <v>44894</v>
      </c>
      <c r="C59" s="1" t="n">
        <v>45172</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f>
        <v/>
      </c>
      <c r="T59">
        <f>HYPERLINK("https://klasma.github.io/Logging_STROMSUND/kartor/A 56894-2022.png")</f>
        <v/>
      </c>
      <c r="U59">
        <f>HYPERLINK("https://klasma.github.io/Logging_STROMSUND/knärot/A 56894-2022.png")</f>
        <v/>
      </c>
      <c r="V59">
        <f>HYPERLINK("https://klasma.github.io/Logging_STROMSUND/klagomål/A 56894-2022.docx")</f>
        <v/>
      </c>
      <c r="W59">
        <f>HYPERLINK("https://klasma.github.io/Logging_STROMSUND/klagomålsmail/A 56894-2022.docx")</f>
        <v/>
      </c>
      <c r="X59">
        <f>HYPERLINK("https://klasma.github.io/Logging_STROMSUND/tillsyn/A 56894-2022.docx")</f>
        <v/>
      </c>
      <c r="Y59">
        <f>HYPERLINK("https://klasma.github.io/Logging_STROMSUND/tillsynsmail/A 56894-2022.docx")</f>
        <v/>
      </c>
    </row>
    <row r="60" ht="15" customHeight="1">
      <c r="A60" t="inlineStr">
        <is>
          <t>A 35623-2019</t>
        </is>
      </c>
      <c r="B60" s="1" t="n">
        <v>43664</v>
      </c>
      <c r="C60" s="1" t="n">
        <v>45172</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f>
        <v/>
      </c>
      <c r="T60">
        <f>HYPERLINK("https://klasma.github.io/Logging_STROMSUND/kartor/A 35623-2019.png")</f>
        <v/>
      </c>
      <c r="V60">
        <f>HYPERLINK("https://klasma.github.io/Logging_STROMSUND/klagomål/A 35623-2019.docx")</f>
        <v/>
      </c>
      <c r="W60">
        <f>HYPERLINK("https://klasma.github.io/Logging_STROMSUND/klagomålsmail/A 35623-2019.docx")</f>
        <v/>
      </c>
      <c r="X60">
        <f>HYPERLINK("https://klasma.github.io/Logging_STROMSUND/tillsyn/A 35623-2019.docx")</f>
        <v/>
      </c>
      <c r="Y60">
        <f>HYPERLINK("https://klasma.github.io/Logging_STROMSUND/tillsynsmail/A 35623-2019.docx")</f>
        <v/>
      </c>
    </row>
    <row r="61" ht="15" customHeight="1">
      <c r="A61" t="inlineStr">
        <is>
          <t>A 42236-2021</t>
        </is>
      </c>
      <c r="B61" s="1" t="n">
        <v>44426</v>
      </c>
      <c r="C61" s="1" t="n">
        <v>45172</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f>
        <v/>
      </c>
      <c r="T61">
        <f>HYPERLINK("https://klasma.github.io/Logging_STROMSUND/kartor/A 42236-2021.png")</f>
        <v/>
      </c>
      <c r="V61">
        <f>HYPERLINK("https://klasma.github.io/Logging_STROMSUND/klagomål/A 42236-2021.docx")</f>
        <v/>
      </c>
      <c r="W61">
        <f>HYPERLINK("https://klasma.github.io/Logging_STROMSUND/klagomålsmail/A 42236-2021.docx")</f>
        <v/>
      </c>
      <c r="X61">
        <f>HYPERLINK("https://klasma.github.io/Logging_STROMSUND/tillsyn/A 42236-2021.docx")</f>
        <v/>
      </c>
      <c r="Y61">
        <f>HYPERLINK("https://klasma.github.io/Logging_STROMSUND/tillsynsmail/A 42236-2021.docx")</f>
        <v/>
      </c>
    </row>
    <row r="62" ht="15" customHeight="1">
      <c r="A62" t="inlineStr">
        <is>
          <t>A 34679-2022</t>
        </is>
      </c>
      <c r="B62" s="1" t="n">
        <v>44795</v>
      </c>
      <c r="C62" s="1" t="n">
        <v>45172</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f>
        <v/>
      </c>
      <c r="T62">
        <f>HYPERLINK("https://klasma.github.io/Logging_STROMSUND/kartor/A 34679-2022.png")</f>
        <v/>
      </c>
      <c r="V62">
        <f>HYPERLINK("https://klasma.github.io/Logging_STROMSUND/klagomål/A 34679-2022.docx")</f>
        <v/>
      </c>
      <c r="W62">
        <f>HYPERLINK("https://klasma.github.io/Logging_STROMSUND/klagomålsmail/A 34679-2022.docx")</f>
        <v/>
      </c>
      <c r="X62">
        <f>HYPERLINK("https://klasma.github.io/Logging_STROMSUND/tillsyn/A 34679-2022.docx")</f>
        <v/>
      </c>
      <c r="Y62">
        <f>HYPERLINK("https://klasma.github.io/Logging_STROMSUND/tillsynsmail/A 34679-2022.docx")</f>
        <v/>
      </c>
    </row>
    <row r="63" ht="15" customHeight="1">
      <c r="A63" t="inlineStr">
        <is>
          <t>A 14256-2023</t>
        </is>
      </c>
      <c r="B63" s="1" t="n">
        <v>45009</v>
      </c>
      <c r="C63" s="1" t="n">
        <v>45172</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f>
        <v/>
      </c>
      <c r="T63">
        <f>HYPERLINK("https://klasma.github.io/Logging_STROMSUND/kartor/A 14256-2023.png")</f>
        <v/>
      </c>
      <c r="V63">
        <f>HYPERLINK("https://klasma.github.io/Logging_STROMSUND/klagomål/A 14256-2023.docx")</f>
        <v/>
      </c>
      <c r="W63">
        <f>HYPERLINK("https://klasma.github.io/Logging_STROMSUND/klagomålsmail/A 14256-2023.docx")</f>
        <v/>
      </c>
      <c r="X63">
        <f>HYPERLINK("https://klasma.github.io/Logging_STROMSUND/tillsyn/A 14256-2023.docx")</f>
        <v/>
      </c>
      <c r="Y63">
        <f>HYPERLINK("https://klasma.github.io/Logging_STROMSUND/tillsynsmail/A 14256-2023.docx")</f>
        <v/>
      </c>
    </row>
    <row r="64" ht="15" customHeight="1">
      <c r="A64" t="inlineStr">
        <is>
          <t>A 6870-2020</t>
        </is>
      </c>
      <c r="B64" s="1" t="n">
        <v>43867</v>
      </c>
      <c r="C64" s="1" t="n">
        <v>45172</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f>
        <v/>
      </c>
      <c r="T64">
        <f>HYPERLINK("https://klasma.github.io/Logging_STROMSUND/kartor/A 6870-2020.png")</f>
        <v/>
      </c>
      <c r="V64">
        <f>HYPERLINK("https://klasma.github.io/Logging_STROMSUND/klagomål/A 6870-2020.docx")</f>
        <v/>
      </c>
      <c r="W64">
        <f>HYPERLINK("https://klasma.github.io/Logging_STROMSUND/klagomålsmail/A 6870-2020.docx")</f>
        <v/>
      </c>
      <c r="X64">
        <f>HYPERLINK("https://klasma.github.io/Logging_STROMSUND/tillsyn/A 6870-2020.docx")</f>
        <v/>
      </c>
      <c r="Y64">
        <f>HYPERLINK("https://klasma.github.io/Logging_STROMSUND/tillsynsmail/A 6870-2020.docx")</f>
        <v/>
      </c>
    </row>
    <row r="65" ht="15" customHeight="1">
      <c r="A65" t="inlineStr">
        <is>
          <t>A 32078-2020</t>
        </is>
      </c>
      <c r="B65" s="1" t="n">
        <v>44015</v>
      </c>
      <c r="C65" s="1" t="n">
        <v>45172</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f>
        <v/>
      </c>
      <c r="T65">
        <f>HYPERLINK("https://klasma.github.io/Logging_STROMSUND/kartor/A 32078-2020.png")</f>
        <v/>
      </c>
      <c r="U65">
        <f>HYPERLINK("https://klasma.github.io/Logging_STROMSUND/knärot/A 32078-2020.png")</f>
        <v/>
      </c>
      <c r="V65">
        <f>HYPERLINK("https://klasma.github.io/Logging_STROMSUND/klagomål/A 32078-2020.docx")</f>
        <v/>
      </c>
      <c r="W65">
        <f>HYPERLINK("https://klasma.github.io/Logging_STROMSUND/klagomålsmail/A 32078-2020.docx")</f>
        <v/>
      </c>
      <c r="X65">
        <f>HYPERLINK("https://klasma.github.io/Logging_STROMSUND/tillsyn/A 32078-2020.docx")</f>
        <v/>
      </c>
      <c r="Y65">
        <f>HYPERLINK("https://klasma.github.io/Logging_STROMSUND/tillsynsmail/A 32078-2020.docx")</f>
        <v/>
      </c>
    </row>
    <row r="66" ht="15" customHeight="1">
      <c r="A66" t="inlineStr">
        <is>
          <t>A 63509-2021</t>
        </is>
      </c>
      <c r="B66" s="1" t="n">
        <v>44504</v>
      </c>
      <c r="C66" s="1" t="n">
        <v>45172</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f>
        <v/>
      </c>
      <c r="T66">
        <f>HYPERLINK("https://klasma.github.io/Logging_STROMSUND/kartor/A 63509-2021.png")</f>
        <v/>
      </c>
      <c r="V66">
        <f>HYPERLINK("https://klasma.github.io/Logging_STROMSUND/klagomål/A 63509-2021.docx")</f>
        <v/>
      </c>
      <c r="W66">
        <f>HYPERLINK("https://klasma.github.io/Logging_STROMSUND/klagomålsmail/A 63509-2021.docx")</f>
        <v/>
      </c>
      <c r="X66">
        <f>HYPERLINK("https://klasma.github.io/Logging_STROMSUND/tillsyn/A 63509-2021.docx")</f>
        <v/>
      </c>
      <c r="Y66">
        <f>HYPERLINK("https://klasma.github.io/Logging_STROMSUND/tillsynsmail/A 63509-2021.docx")</f>
        <v/>
      </c>
    </row>
    <row r="67" ht="15" customHeight="1">
      <c r="A67" t="inlineStr">
        <is>
          <t>A 14293-2022</t>
        </is>
      </c>
      <c r="B67" s="1" t="n">
        <v>44651</v>
      </c>
      <c r="C67" s="1" t="n">
        <v>45172</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f>
        <v/>
      </c>
      <c r="T67">
        <f>HYPERLINK("https://klasma.github.io/Logging_STROMSUND/kartor/A 14293-2022.png")</f>
        <v/>
      </c>
      <c r="V67">
        <f>HYPERLINK("https://klasma.github.io/Logging_STROMSUND/klagomål/A 14293-2022.docx")</f>
        <v/>
      </c>
      <c r="W67">
        <f>HYPERLINK("https://klasma.github.io/Logging_STROMSUND/klagomålsmail/A 14293-2022.docx")</f>
        <v/>
      </c>
      <c r="X67">
        <f>HYPERLINK("https://klasma.github.io/Logging_STROMSUND/tillsyn/A 14293-2022.docx")</f>
        <v/>
      </c>
      <c r="Y67">
        <f>HYPERLINK("https://klasma.github.io/Logging_STROMSUND/tillsynsmail/A 14293-2022.docx")</f>
        <v/>
      </c>
    </row>
    <row r="68" ht="15" customHeight="1">
      <c r="A68" t="inlineStr">
        <is>
          <t>A 41493-2022</t>
        </is>
      </c>
      <c r="B68" s="1" t="n">
        <v>44826</v>
      </c>
      <c r="C68" s="1" t="n">
        <v>45172</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f>
        <v/>
      </c>
      <c r="T68">
        <f>HYPERLINK("https://klasma.github.io/Logging_STROMSUND/kartor/A 41493-2022.png")</f>
        <v/>
      </c>
      <c r="U68">
        <f>HYPERLINK("https://klasma.github.io/Logging_STROMSUND/knärot/A 41493-2022.png")</f>
        <v/>
      </c>
      <c r="V68">
        <f>HYPERLINK("https://klasma.github.io/Logging_STROMSUND/klagomål/A 41493-2022.docx")</f>
        <v/>
      </c>
      <c r="W68">
        <f>HYPERLINK("https://klasma.github.io/Logging_STROMSUND/klagomålsmail/A 41493-2022.docx")</f>
        <v/>
      </c>
      <c r="X68">
        <f>HYPERLINK("https://klasma.github.io/Logging_STROMSUND/tillsyn/A 41493-2022.docx")</f>
        <v/>
      </c>
      <c r="Y68">
        <f>HYPERLINK("https://klasma.github.io/Logging_STROMSUND/tillsynsmail/A 41493-2022.docx")</f>
        <v/>
      </c>
    </row>
    <row r="69" ht="15" customHeight="1">
      <c r="A69" t="inlineStr">
        <is>
          <t>A 3703-2023</t>
        </is>
      </c>
      <c r="B69" s="1" t="n">
        <v>44950</v>
      </c>
      <c r="C69" s="1" t="n">
        <v>45172</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f>
        <v/>
      </c>
      <c r="T69">
        <f>HYPERLINK("https://klasma.github.io/Logging_STROMSUND/kartor/A 3703-2023.png")</f>
        <v/>
      </c>
      <c r="V69">
        <f>HYPERLINK("https://klasma.github.io/Logging_STROMSUND/klagomål/A 3703-2023.docx")</f>
        <v/>
      </c>
      <c r="W69">
        <f>HYPERLINK("https://klasma.github.io/Logging_STROMSUND/klagomålsmail/A 3703-2023.docx")</f>
        <v/>
      </c>
      <c r="X69">
        <f>HYPERLINK("https://klasma.github.io/Logging_STROMSUND/tillsyn/A 3703-2023.docx")</f>
        <v/>
      </c>
      <c r="Y69">
        <f>HYPERLINK("https://klasma.github.io/Logging_STROMSUND/tillsynsmail/A 3703-2023.docx")</f>
        <v/>
      </c>
    </row>
    <row r="70" ht="15" customHeight="1">
      <c r="A70" t="inlineStr">
        <is>
          <t>A 22467-2023</t>
        </is>
      </c>
      <c r="B70" s="1" t="n">
        <v>45070</v>
      </c>
      <c r="C70" s="1" t="n">
        <v>45172</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f>
        <v/>
      </c>
      <c r="T70">
        <f>HYPERLINK("https://klasma.github.io/Logging_STROMSUND/kartor/A 22467-2023.png")</f>
        <v/>
      </c>
      <c r="V70">
        <f>HYPERLINK("https://klasma.github.io/Logging_STROMSUND/klagomål/A 22467-2023.docx")</f>
        <v/>
      </c>
      <c r="W70">
        <f>HYPERLINK("https://klasma.github.io/Logging_STROMSUND/klagomålsmail/A 22467-2023.docx")</f>
        <v/>
      </c>
      <c r="X70">
        <f>HYPERLINK("https://klasma.github.io/Logging_STROMSUND/tillsyn/A 22467-2023.docx")</f>
        <v/>
      </c>
      <c r="Y70">
        <f>HYPERLINK("https://klasma.github.io/Logging_STROMSUND/tillsynsmail/A 22467-2023.docx")</f>
        <v/>
      </c>
    </row>
    <row r="71" ht="15" customHeight="1">
      <c r="A71" t="inlineStr">
        <is>
          <t>A 42372-2018</t>
        </is>
      </c>
      <c r="B71" s="1" t="n">
        <v>43353</v>
      </c>
      <c r="C71" s="1" t="n">
        <v>45172</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f>
        <v/>
      </c>
      <c r="T71">
        <f>HYPERLINK("https://klasma.github.io/Logging_STROMSUND/kartor/A 42372-2018.png")</f>
        <v/>
      </c>
      <c r="V71">
        <f>HYPERLINK("https://klasma.github.io/Logging_STROMSUND/klagomål/A 42372-2018.docx")</f>
        <v/>
      </c>
      <c r="W71">
        <f>HYPERLINK("https://klasma.github.io/Logging_STROMSUND/klagomålsmail/A 42372-2018.docx")</f>
        <v/>
      </c>
      <c r="X71">
        <f>HYPERLINK("https://klasma.github.io/Logging_STROMSUND/tillsyn/A 42372-2018.docx")</f>
        <v/>
      </c>
      <c r="Y71">
        <f>HYPERLINK("https://klasma.github.io/Logging_STROMSUND/tillsynsmail/A 42372-2018.docx")</f>
        <v/>
      </c>
    </row>
    <row r="72" ht="15" customHeight="1">
      <c r="A72" t="inlineStr">
        <is>
          <t>A 65832-2020</t>
        </is>
      </c>
      <c r="B72" s="1" t="n">
        <v>44174</v>
      </c>
      <c r="C72" s="1" t="n">
        <v>45172</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f>
        <v/>
      </c>
      <c r="T72">
        <f>HYPERLINK("https://klasma.github.io/Logging_STROMSUND/kartor/A 65832-2020.png")</f>
        <v/>
      </c>
      <c r="V72">
        <f>HYPERLINK("https://klasma.github.io/Logging_STROMSUND/klagomål/A 65832-2020.docx")</f>
        <v/>
      </c>
      <c r="W72">
        <f>HYPERLINK("https://klasma.github.io/Logging_STROMSUND/klagomålsmail/A 65832-2020.docx")</f>
        <v/>
      </c>
      <c r="X72">
        <f>HYPERLINK("https://klasma.github.io/Logging_STROMSUND/tillsyn/A 65832-2020.docx")</f>
        <v/>
      </c>
      <c r="Y72">
        <f>HYPERLINK("https://klasma.github.io/Logging_STROMSUND/tillsynsmail/A 65832-2020.docx")</f>
        <v/>
      </c>
    </row>
    <row r="73" ht="15" customHeight="1">
      <c r="A73" t="inlineStr">
        <is>
          <t>A 32355-2021</t>
        </is>
      </c>
      <c r="B73" s="1" t="n">
        <v>44371</v>
      </c>
      <c r="C73" s="1" t="n">
        <v>45172</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f>
        <v/>
      </c>
      <c r="T73">
        <f>HYPERLINK("https://klasma.github.io/Logging_STROMSUND/kartor/A 32355-2021.png")</f>
        <v/>
      </c>
      <c r="V73">
        <f>HYPERLINK("https://klasma.github.io/Logging_STROMSUND/klagomål/A 32355-2021.docx")</f>
        <v/>
      </c>
      <c r="W73">
        <f>HYPERLINK("https://klasma.github.io/Logging_STROMSUND/klagomålsmail/A 32355-2021.docx")</f>
        <v/>
      </c>
      <c r="X73">
        <f>HYPERLINK("https://klasma.github.io/Logging_STROMSUND/tillsyn/A 32355-2021.docx")</f>
        <v/>
      </c>
      <c r="Y73">
        <f>HYPERLINK("https://klasma.github.io/Logging_STROMSUND/tillsynsmail/A 32355-2021.docx")</f>
        <v/>
      </c>
    </row>
    <row r="74" ht="15" customHeight="1">
      <c r="A74" t="inlineStr">
        <is>
          <t>A 42550-2021</t>
        </is>
      </c>
      <c r="B74" s="1" t="n">
        <v>44427</v>
      </c>
      <c r="C74" s="1" t="n">
        <v>45172</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f>
        <v/>
      </c>
      <c r="T74">
        <f>HYPERLINK("https://klasma.github.io/Logging_STROMSUND/kartor/A 42550-2021.png")</f>
        <v/>
      </c>
      <c r="V74">
        <f>HYPERLINK("https://klasma.github.io/Logging_STROMSUND/klagomål/A 42550-2021.docx")</f>
        <v/>
      </c>
      <c r="W74">
        <f>HYPERLINK("https://klasma.github.io/Logging_STROMSUND/klagomålsmail/A 42550-2021.docx")</f>
        <v/>
      </c>
      <c r="X74">
        <f>HYPERLINK("https://klasma.github.io/Logging_STROMSUND/tillsyn/A 42550-2021.docx")</f>
        <v/>
      </c>
      <c r="Y74">
        <f>HYPERLINK("https://klasma.github.io/Logging_STROMSUND/tillsynsmail/A 42550-2021.docx")</f>
        <v/>
      </c>
    </row>
    <row r="75" ht="15" customHeight="1">
      <c r="A75" t="inlineStr">
        <is>
          <t>A 54194-2021</t>
        </is>
      </c>
      <c r="B75" s="1" t="n">
        <v>44470</v>
      </c>
      <c r="C75" s="1" t="n">
        <v>45172</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f>
        <v/>
      </c>
      <c r="T75">
        <f>HYPERLINK("https://klasma.github.io/Logging_STROMSUND/kartor/A 54194-2021.png")</f>
        <v/>
      </c>
      <c r="V75">
        <f>HYPERLINK("https://klasma.github.io/Logging_STROMSUND/klagomål/A 54194-2021.docx")</f>
        <v/>
      </c>
      <c r="W75">
        <f>HYPERLINK("https://klasma.github.io/Logging_STROMSUND/klagomålsmail/A 54194-2021.docx")</f>
        <v/>
      </c>
      <c r="X75">
        <f>HYPERLINK("https://klasma.github.io/Logging_STROMSUND/tillsyn/A 54194-2021.docx")</f>
        <v/>
      </c>
      <c r="Y75">
        <f>HYPERLINK("https://klasma.github.io/Logging_STROMSUND/tillsynsmail/A 54194-2021.docx")</f>
        <v/>
      </c>
    </row>
    <row r="76" ht="15" customHeight="1">
      <c r="A76" t="inlineStr">
        <is>
          <t>A 22335-2022</t>
        </is>
      </c>
      <c r="B76" s="1" t="n">
        <v>44712</v>
      </c>
      <c r="C76" s="1" t="n">
        <v>45172</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f>
        <v/>
      </c>
      <c r="T76">
        <f>HYPERLINK("https://klasma.github.io/Logging_STROMSUND/kartor/A 22335-2022.png")</f>
        <v/>
      </c>
      <c r="V76">
        <f>HYPERLINK("https://klasma.github.io/Logging_STROMSUND/klagomål/A 22335-2022.docx")</f>
        <v/>
      </c>
      <c r="W76">
        <f>HYPERLINK("https://klasma.github.io/Logging_STROMSUND/klagomålsmail/A 22335-2022.docx")</f>
        <v/>
      </c>
      <c r="X76">
        <f>HYPERLINK("https://klasma.github.io/Logging_STROMSUND/tillsyn/A 22335-2022.docx")</f>
        <v/>
      </c>
      <c r="Y76">
        <f>HYPERLINK("https://klasma.github.io/Logging_STROMSUND/tillsynsmail/A 22335-2022.docx")</f>
        <v/>
      </c>
    </row>
    <row r="77" ht="15" customHeight="1">
      <c r="A77" t="inlineStr">
        <is>
          <t>A 33901-2022</t>
        </is>
      </c>
      <c r="B77" s="1" t="n">
        <v>44790</v>
      </c>
      <c r="C77" s="1" t="n">
        <v>45172</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f>
        <v/>
      </c>
      <c r="T77">
        <f>HYPERLINK("https://klasma.github.io/Logging_STROMSUND/kartor/A 33901-2022.png")</f>
        <v/>
      </c>
      <c r="V77">
        <f>HYPERLINK("https://klasma.github.io/Logging_STROMSUND/klagomål/A 33901-2022.docx")</f>
        <v/>
      </c>
      <c r="W77">
        <f>HYPERLINK("https://klasma.github.io/Logging_STROMSUND/klagomålsmail/A 33901-2022.docx")</f>
        <v/>
      </c>
      <c r="X77">
        <f>HYPERLINK("https://klasma.github.io/Logging_STROMSUND/tillsyn/A 33901-2022.docx")</f>
        <v/>
      </c>
      <c r="Y77">
        <f>HYPERLINK("https://klasma.github.io/Logging_STROMSUND/tillsynsmail/A 33901-2022.docx")</f>
        <v/>
      </c>
    </row>
    <row r="78" ht="15" customHeight="1">
      <c r="A78" t="inlineStr">
        <is>
          <t>A 36221-2022</t>
        </is>
      </c>
      <c r="B78" s="1" t="n">
        <v>44803</v>
      </c>
      <c r="C78" s="1" t="n">
        <v>45172</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f>
        <v/>
      </c>
      <c r="T78">
        <f>HYPERLINK("https://klasma.github.io/Logging_STROMSUND/kartor/A 36221-2022.png")</f>
        <v/>
      </c>
      <c r="U78">
        <f>HYPERLINK("https://klasma.github.io/Logging_STROMSUND/knärot/A 36221-2022.png")</f>
        <v/>
      </c>
      <c r="V78">
        <f>HYPERLINK("https://klasma.github.io/Logging_STROMSUND/klagomål/A 36221-2022.docx")</f>
        <v/>
      </c>
      <c r="W78">
        <f>HYPERLINK("https://klasma.github.io/Logging_STROMSUND/klagomålsmail/A 36221-2022.docx")</f>
        <v/>
      </c>
      <c r="X78">
        <f>HYPERLINK("https://klasma.github.io/Logging_STROMSUND/tillsyn/A 36221-2022.docx")</f>
        <v/>
      </c>
      <c r="Y78">
        <f>HYPERLINK("https://klasma.github.io/Logging_STROMSUND/tillsynsmail/A 36221-2022.docx")</f>
        <v/>
      </c>
    </row>
    <row r="79" ht="15" customHeight="1">
      <c r="A79" t="inlineStr">
        <is>
          <t>A 36365-2022</t>
        </is>
      </c>
      <c r="B79" s="1" t="n">
        <v>44803</v>
      </c>
      <c r="C79" s="1" t="n">
        <v>45172</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f>
        <v/>
      </c>
      <c r="T79">
        <f>HYPERLINK("https://klasma.github.io/Logging_STROMSUND/kartor/A 36365-2022.png")</f>
        <v/>
      </c>
      <c r="V79">
        <f>HYPERLINK("https://klasma.github.io/Logging_STROMSUND/klagomål/A 36365-2022.docx")</f>
        <v/>
      </c>
      <c r="W79">
        <f>HYPERLINK("https://klasma.github.io/Logging_STROMSUND/klagomålsmail/A 36365-2022.docx")</f>
        <v/>
      </c>
      <c r="X79">
        <f>HYPERLINK("https://klasma.github.io/Logging_STROMSUND/tillsyn/A 36365-2022.docx")</f>
        <v/>
      </c>
      <c r="Y79">
        <f>HYPERLINK("https://klasma.github.io/Logging_STROMSUND/tillsynsmail/A 36365-2022.docx")</f>
        <v/>
      </c>
    </row>
    <row r="80" ht="15" customHeight="1">
      <c r="A80" t="inlineStr">
        <is>
          <t>A 41492-2022</t>
        </is>
      </c>
      <c r="B80" s="1" t="n">
        <v>44826</v>
      </c>
      <c r="C80" s="1" t="n">
        <v>45172</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f>
        <v/>
      </c>
      <c r="T80">
        <f>HYPERLINK("https://klasma.github.io/Logging_STROMSUND/kartor/A 41492-2022.png")</f>
        <v/>
      </c>
      <c r="U80">
        <f>HYPERLINK("https://klasma.github.io/Logging_STROMSUND/knärot/A 41492-2022.png")</f>
        <v/>
      </c>
      <c r="V80">
        <f>HYPERLINK("https://klasma.github.io/Logging_STROMSUND/klagomål/A 41492-2022.docx")</f>
        <v/>
      </c>
      <c r="W80">
        <f>HYPERLINK("https://klasma.github.io/Logging_STROMSUND/klagomålsmail/A 41492-2022.docx")</f>
        <v/>
      </c>
      <c r="X80">
        <f>HYPERLINK("https://klasma.github.io/Logging_STROMSUND/tillsyn/A 41492-2022.docx")</f>
        <v/>
      </c>
      <c r="Y80">
        <f>HYPERLINK("https://klasma.github.io/Logging_STROMSUND/tillsynsmail/A 41492-2022.docx")</f>
        <v/>
      </c>
    </row>
    <row r="81" ht="15" customHeight="1">
      <c r="A81" t="inlineStr">
        <is>
          <t>A 538-2023</t>
        </is>
      </c>
      <c r="B81" s="1" t="n">
        <v>44930</v>
      </c>
      <c r="C81" s="1" t="n">
        <v>45172</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f>
        <v/>
      </c>
      <c r="T81">
        <f>HYPERLINK("https://klasma.github.io/Logging_STROMSUND/kartor/A 538-2023.png")</f>
        <v/>
      </c>
      <c r="V81">
        <f>HYPERLINK("https://klasma.github.io/Logging_STROMSUND/klagomål/A 538-2023.docx")</f>
        <v/>
      </c>
      <c r="W81">
        <f>HYPERLINK("https://klasma.github.io/Logging_STROMSUND/klagomålsmail/A 538-2023.docx")</f>
        <v/>
      </c>
      <c r="X81">
        <f>HYPERLINK("https://klasma.github.io/Logging_STROMSUND/tillsyn/A 538-2023.docx")</f>
        <v/>
      </c>
      <c r="Y81">
        <f>HYPERLINK("https://klasma.github.io/Logging_STROMSUND/tillsynsmail/A 538-2023.docx")</f>
        <v/>
      </c>
    </row>
    <row r="82" ht="15" customHeight="1">
      <c r="A82" t="inlineStr">
        <is>
          <t>A 3704-2023</t>
        </is>
      </c>
      <c r="B82" s="1" t="n">
        <v>44950</v>
      </c>
      <c r="C82" s="1" t="n">
        <v>45172</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f>
        <v/>
      </c>
      <c r="T82">
        <f>HYPERLINK("https://klasma.github.io/Logging_STROMSUND/kartor/A 3704-2023.png")</f>
        <v/>
      </c>
      <c r="V82">
        <f>HYPERLINK("https://klasma.github.io/Logging_STROMSUND/klagomål/A 3704-2023.docx")</f>
        <v/>
      </c>
      <c r="W82">
        <f>HYPERLINK("https://klasma.github.io/Logging_STROMSUND/klagomålsmail/A 3704-2023.docx")</f>
        <v/>
      </c>
      <c r="X82">
        <f>HYPERLINK("https://klasma.github.io/Logging_STROMSUND/tillsyn/A 3704-2023.docx")</f>
        <v/>
      </c>
      <c r="Y82">
        <f>HYPERLINK("https://klasma.github.io/Logging_STROMSUND/tillsynsmail/A 3704-2023.docx")</f>
        <v/>
      </c>
    </row>
    <row r="83" ht="15" customHeight="1">
      <c r="A83" t="inlineStr">
        <is>
          <t>A 27364-2023</t>
        </is>
      </c>
      <c r="B83" s="1" t="n">
        <v>45096</v>
      </c>
      <c r="C83" s="1" t="n">
        <v>45172</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f>
        <v/>
      </c>
      <c r="T83">
        <f>HYPERLINK("https://klasma.github.io/Logging_STROMSUND/kartor/A 27364-2023.png")</f>
        <v/>
      </c>
      <c r="V83">
        <f>HYPERLINK("https://klasma.github.io/Logging_STROMSUND/klagomål/A 27364-2023.docx")</f>
        <v/>
      </c>
      <c r="W83">
        <f>HYPERLINK("https://klasma.github.io/Logging_STROMSUND/klagomålsmail/A 27364-2023.docx")</f>
        <v/>
      </c>
      <c r="X83">
        <f>HYPERLINK("https://klasma.github.io/Logging_STROMSUND/tillsyn/A 27364-2023.docx")</f>
        <v/>
      </c>
      <c r="Y83">
        <f>HYPERLINK("https://klasma.github.io/Logging_STROMSUND/tillsynsmail/A 27364-2023.docx")</f>
        <v/>
      </c>
    </row>
    <row r="84" ht="15" customHeight="1">
      <c r="A84" t="inlineStr">
        <is>
          <t>A 29963-2023</t>
        </is>
      </c>
      <c r="B84" s="1" t="n">
        <v>45107</v>
      </c>
      <c r="C84" s="1" t="n">
        <v>45172</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f>
        <v/>
      </c>
      <c r="T84">
        <f>HYPERLINK("https://klasma.github.io/Logging_STROMSUND/kartor/A 29963-2023.png")</f>
        <v/>
      </c>
      <c r="V84">
        <f>HYPERLINK("https://klasma.github.io/Logging_STROMSUND/klagomål/A 29963-2023.docx")</f>
        <v/>
      </c>
      <c r="W84">
        <f>HYPERLINK("https://klasma.github.io/Logging_STROMSUND/klagomålsmail/A 29963-2023.docx")</f>
        <v/>
      </c>
      <c r="X84">
        <f>HYPERLINK("https://klasma.github.io/Logging_STROMSUND/tillsyn/A 29963-2023.docx")</f>
        <v/>
      </c>
      <c r="Y84">
        <f>HYPERLINK("https://klasma.github.io/Logging_STROMSUND/tillsynsmail/A 29963-2023.docx")</f>
        <v/>
      </c>
    </row>
    <row r="85" ht="15" customHeight="1">
      <c r="A85" t="inlineStr">
        <is>
          <t>A 54397-2019</t>
        </is>
      </c>
      <c r="B85" s="1" t="n">
        <v>43754</v>
      </c>
      <c r="C85" s="1" t="n">
        <v>45172</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f>
        <v/>
      </c>
      <c r="T85">
        <f>HYPERLINK("https://klasma.github.io/Logging_STROMSUND/kartor/A 54397-2019.png")</f>
        <v/>
      </c>
      <c r="V85">
        <f>HYPERLINK("https://klasma.github.io/Logging_STROMSUND/klagomål/A 54397-2019.docx")</f>
        <v/>
      </c>
      <c r="W85">
        <f>HYPERLINK("https://klasma.github.io/Logging_STROMSUND/klagomålsmail/A 54397-2019.docx")</f>
        <v/>
      </c>
      <c r="X85">
        <f>HYPERLINK("https://klasma.github.io/Logging_STROMSUND/tillsyn/A 54397-2019.docx")</f>
        <v/>
      </c>
      <c r="Y85">
        <f>HYPERLINK("https://klasma.github.io/Logging_STROMSUND/tillsynsmail/A 54397-2019.docx")</f>
        <v/>
      </c>
    </row>
    <row r="86" ht="15" customHeight="1">
      <c r="A86" t="inlineStr">
        <is>
          <t>A 59102-2019</t>
        </is>
      </c>
      <c r="B86" s="1" t="n">
        <v>43774</v>
      </c>
      <c r="C86" s="1" t="n">
        <v>45172</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f>
        <v/>
      </c>
      <c r="T86">
        <f>HYPERLINK("https://klasma.github.io/Logging_STROMSUND/kartor/A 59102-2019.png")</f>
        <v/>
      </c>
      <c r="V86">
        <f>HYPERLINK("https://klasma.github.io/Logging_STROMSUND/klagomål/A 59102-2019.docx")</f>
        <v/>
      </c>
      <c r="W86">
        <f>HYPERLINK("https://klasma.github.io/Logging_STROMSUND/klagomålsmail/A 59102-2019.docx")</f>
        <v/>
      </c>
      <c r="X86">
        <f>HYPERLINK("https://klasma.github.io/Logging_STROMSUND/tillsyn/A 59102-2019.docx")</f>
        <v/>
      </c>
      <c r="Y86">
        <f>HYPERLINK("https://klasma.github.io/Logging_STROMSUND/tillsynsmail/A 59102-2019.docx")</f>
        <v/>
      </c>
    </row>
    <row r="87" ht="15" customHeight="1">
      <c r="A87" t="inlineStr">
        <is>
          <t>A 10058-2020</t>
        </is>
      </c>
      <c r="B87" s="1" t="n">
        <v>43882</v>
      </c>
      <c r="C87" s="1" t="n">
        <v>45172</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f>
        <v/>
      </c>
      <c r="T87">
        <f>HYPERLINK("https://klasma.github.io/Logging_STROMSUND/kartor/A 10058-2020.png")</f>
        <v/>
      </c>
      <c r="V87">
        <f>HYPERLINK("https://klasma.github.io/Logging_STROMSUND/klagomål/A 10058-2020.docx")</f>
        <v/>
      </c>
      <c r="W87">
        <f>HYPERLINK("https://klasma.github.io/Logging_STROMSUND/klagomålsmail/A 10058-2020.docx")</f>
        <v/>
      </c>
      <c r="X87">
        <f>HYPERLINK("https://klasma.github.io/Logging_STROMSUND/tillsyn/A 10058-2020.docx")</f>
        <v/>
      </c>
      <c r="Y87">
        <f>HYPERLINK("https://klasma.github.io/Logging_STROMSUND/tillsynsmail/A 10058-2020.docx")</f>
        <v/>
      </c>
    </row>
    <row r="88" ht="15" customHeight="1">
      <c r="A88" t="inlineStr">
        <is>
          <t>A 34121-2020</t>
        </is>
      </c>
      <c r="B88" s="1" t="n">
        <v>44028</v>
      </c>
      <c r="C88" s="1" t="n">
        <v>45172</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f>
        <v/>
      </c>
      <c r="T88">
        <f>HYPERLINK("https://klasma.github.io/Logging_STROMSUND/kartor/A 34121-2020.png")</f>
        <v/>
      </c>
      <c r="V88">
        <f>HYPERLINK("https://klasma.github.io/Logging_STROMSUND/klagomål/A 34121-2020.docx")</f>
        <v/>
      </c>
      <c r="W88">
        <f>HYPERLINK("https://klasma.github.io/Logging_STROMSUND/klagomålsmail/A 34121-2020.docx")</f>
        <v/>
      </c>
      <c r="X88">
        <f>HYPERLINK("https://klasma.github.io/Logging_STROMSUND/tillsyn/A 34121-2020.docx")</f>
        <v/>
      </c>
      <c r="Y88">
        <f>HYPERLINK("https://klasma.github.io/Logging_STROMSUND/tillsynsmail/A 34121-2020.docx")</f>
        <v/>
      </c>
    </row>
    <row r="89" ht="15" customHeight="1">
      <c r="A89" t="inlineStr">
        <is>
          <t>A 35691-2020</t>
        </is>
      </c>
      <c r="B89" s="1" t="n">
        <v>44046</v>
      </c>
      <c r="C89" s="1" t="n">
        <v>45172</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f>
        <v/>
      </c>
      <c r="T89">
        <f>HYPERLINK("https://klasma.github.io/Logging_STROMSUND/kartor/A 35691-2020.png")</f>
        <v/>
      </c>
      <c r="V89">
        <f>HYPERLINK("https://klasma.github.io/Logging_STROMSUND/klagomål/A 35691-2020.docx")</f>
        <v/>
      </c>
      <c r="W89">
        <f>HYPERLINK("https://klasma.github.io/Logging_STROMSUND/klagomålsmail/A 35691-2020.docx")</f>
        <v/>
      </c>
      <c r="X89">
        <f>HYPERLINK("https://klasma.github.io/Logging_STROMSUND/tillsyn/A 35691-2020.docx")</f>
        <v/>
      </c>
      <c r="Y89">
        <f>HYPERLINK("https://klasma.github.io/Logging_STROMSUND/tillsynsmail/A 35691-2020.docx")</f>
        <v/>
      </c>
    </row>
    <row r="90" ht="15" customHeight="1">
      <c r="A90" t="inlineStr">
        <is>
          <t>A 47027-2020</t>
        </is>
      </c>
      <c r="B90" s="1" t="n">
        <v>44096</v>
      </c>
      <c r="C90" s="1" t="n">
        <v>45172</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f>
        <v/>
      </c>
      <c r="T90">
        <f>HYPERLINK("https://klasma.github.io/Logging_STROMSUND/kartor/A 47027-2020.png")</f>
        <v/>
      </c>
      <c r="V90">
        <f>HYPERLINK("https://klasma.github.io/Logging_STROMSUND/klagomål/A 47027-2020.docx")</f>
        <v/>
      </c>
      <c r="W90">
        <f>HYPERLINK("https://klasma.github.io/Logging_STROMSUND/klagomålsmail/A 47027-2020.docx")</f>
        <v/>
      </c>
      <c r="X90">
        <f>HYPERLINK("https://klasma.github.io/Logging_STROMSUND/tillsyn/A 47027-2020.docx")</f>
        <v/>
      </c>
      <c r="Y90">
        <f>HYPERLINK("https://klasma.github.io/Logging_STROMSUND/tillsynsmail/A 47027-2020.docx")</f>
        <v/>
      </c>
    </row>
    <row r="91" ht="15" customHeight="1">
      <c r="A91" t="inlineStr">
        <is>
          <t>A 50257-2020</t>
        </is>
      </c>
      <c r="B91" s="1" t="n">
        <v>44109</v>
      </c>
      <c r="C91" s="1" t="n">
        <v>45172</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f>
        <v/>
      </c>
      <c r="T91">
        <f>HYPERLINK("https://klasma.github.io/Logging_STROMSUND/kartor/A 50257-2020.png")</f>
        <v/>
      </c>
      <c r="V91">
        <f>HYPERLINK("https://klasma.github.io/Logging_STROMSUND/klagomål/A 50257-2020.docx")</f>
        <v/>
      </c>
      <c r="W91">
        <f>HYPERLINK("https://klasma.github.io/Logging_STROMSUND/klagomålsmail/A 50257-2020.docx")</f>
        <v/>
      </c>
      <c r="X91">
        <f>HYPERLINK("https://klasma.github.io/Logging_STROMSUND/tillsyn/A 50257-2020.docx")</f>
        <v/>
      </c>
      <c r="Y91">
        <f>HYPERLINK("https://klasma.github.io/Logging_STROMSUND/tillsynsmail/A 50257-2020.docx")</f>
        <v/>
      </c>
    </row>
    <row r="92" ht="15" customHeight="1">
      <c r="A92" t="inlineStr">
        <is>
          <t>A 58580-2020</t>
        </is>
      </c>
      <c r="B92" s="1" t="n">
        <v>44144</v>
      </c>
      <c r="C92" s="1" t="n">
        <v>45172</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f>
        <v/>
      </c>
      <c r="T92">
        <f>HYPERLINK("https://klasma.github.io/Logging_STROMSUND/kartor/A 58580-2020.png")</f>
        <v/>
      </c>
      <c r="V92">
        <f>HYPERLINK("https://klasma.github.io/Logging_STROMSUND/klagomål/A 58580-2020.docx")</f>
        <v/>
      </c>
      <c r="W92">
        <f>HYPERLINK("https://klasma.github.io/Logging_STROMSUND/klagomålsmail/A 58580-2020.docx")</f>
        <v/>
      </c>
      <c r="X92">
        <f>HYPERLINK("https://klasma.github.io/Logging_STROMSUND/tillsyn/A 58580-2020.docx")</f>
        <v/>
      </c>
      <c r="Y92">
        <f>HYPERLINK("https://klasma.github.io/Logging_STROMSUND/tillsynsmail/A 58580-2020.docx")</f>
        <v/>
      </c>
    </row>
    <row r="93" ht="15" customHeight="1">
      <c r="A93" t="inlineStr">
        <is>
          <t>A 22773-2021</t>
        </is>
      </c>
      <c r="B93" s="1" t="n">
        <v>44327</v>
      </c>
      <c r="C93" s="1" t="n">
        <v>45172</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f>
        <v/>
      </c>
      <c r="T93">
        <f>HYPERLINK("https://klasma.github.io/Logging_STROMSUND/kartor/A 22773-2021.png")</f>
        <v/>
      </c>
      <c r="V93">
        <f>HYPERLINK("https://klasma.github.io/Logging_STROMSUND/klagomål/A 22773-2021.docx")</f>
        <v/>
      </c>
      <c r="W93">
        <f>HYPERLINK("https://klasma.github.io/Logging_STROMSUND/klagomålsmail/A 22773-2021.docx")</f>
        <v/>
      </c>
      <c r="X93">
        <f>HYPERLINK("https://klasma.github.io/Logging_STROMSUND/tillsyn/A 22773-2021.docx")</f>
        <v/>
      </c>
      <c r="Y93">
        <f>HYPERLINK("https://klasma.github.io/Logging_STROMSUND/tillsynsmail/A 22773-2021.docx")</f>
        <v/>
      </c>
    </row>
    <row r="94" ht="15" customHeight="1">
      <c r="A94" t="inlineStr">
        <is>
          <t>A 23752-2021</t>
        </is>
      </c>
      <c r="B94" s="1" t="n">
        <v>44334</v>
      </c>
      <c r="C94" s="1" t="n">
        <v>45172</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f>
        <v/>
      </c>
      <c r="T94">
        <f>HYPERLINK("https://klasma.github.io/Logging_STROMSUND/kartor/A 23752-2021.png")</f>
        <v/>
      </c>
      <c r="V94">
        <f>HYPERLINK("https://klasma.github.io/Logging_STROMSUND/klagomål/A 23752-2021.docx")</f>
        <v/>
      </c>
      <c r="W94">
        <f>HYPERLINK("https://klasma.github.io/Logging_STROMSUND/klagomålsmail/A 23752-2021.docx")</f>
        <v/>
      </c>
      <c r="X94">
        <f>HYPERLINK("https://klasma.github.io/Logging_STROMSUND/tillsyn/A 23752-2021.docx")</f>
        <v/>
      </c>
      <c r="Y94">
        <f>HYPERLINK("https://klasma.github.io/Logging_STROMSUND/tillsynsmail/A 23752-2021.docx")</f>
        <v/>
      </c>
    </row>
    <row r="95" ht="15" customHeight="1">
      <c r="A95" t="inlineStr">
        <is>
          <t>A 26149-2021</t>
        </is>
      </c>
      <c r="B95" s="1" t="n">
        <v>44346</v>
      </c>
      <c r="C95" s="1" t="n">
        <v>45172</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f>
        <v/>
      </c>
      <c r="T95">
        <f>HYPERLINK("https://klasma.github.io/Logging_STROMSUND/kartor/A 26149-2021.png")</f>
        <v/>
      </c>
      <c r="V95">
        <f>HYPERLINK("https://klasma.github.io/Logging_STROMSUND/klagomål/A 26149-2021.docx")</f>
        <v/>
      </c>
      <c r="W95">
        <f>HYPERLINK("https://klasma.github.io/Logging_STROMSUND/klagomålsmail/A 26149-2021.docx")</f>
        <v/>
      </c>
      <c r="X95">
        <f>HYPERLINK("https://klasma.github.io/Logging_STROMSUND/tillsyn/A 26149-2021.docx")</f>
        <v/>
      </c>
      <c r="Y95">
        <f>HYPERLINK("https://klasma.github.io/Logging_STROMSUND/tillsynsmail/A 26149-2021.docx")</f>
        <v/>
      </c>
    </row>
    <row r="96" ht="15" customHeight="1">
      <c r="A96" t="inlineStr">
        <is>
          <t>A 33546-2021</t>
        </is>
      </c>
      <c r="B96" s="1" t="n">
        <v>44377</v>
      </c>
      <c r="C96" s="1" t="n">
        <v>45172</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f>
        <v/>
      </c>
      <c r="T96">
        <f>HYPERLINK("https://klasma.github.io/Logging_STROMSUND/kartor/A 33546-2021.png")</f>
        <v/>
      </c>
      <c r="V96">
        <f>HYPERLINK("https://klasma.github.io/Logging_STROMSUND/klagomål/A 33546-2021.docx")</f>
        <v/>
      </c>
      <c r="W96">
        <f>HYPERLINK("https://klasma.github.io/Logging_STROMSUND/klagomålsmail/A 33546-2021.docx")</f>
        <v/>
      </c>
      <c r="X96">
        <f>HYPERLINK("https://klasma.github.io/Logging_STROMSUND/tillsyn/A 33546-2021.docx")</f>
        <v/>
      </c>
      <c r="Y96">
        <f>HYPERLINK("https://klasma.github.io/Logging_STROMSUND/tillsynsmail/A 33546-2021.docx")</f>
        <v/>
      </c>
    </row>
    <row r="97" ht="15" customHeight="1">
      <c r="A97" t="inlineStr">
        <is>
          <t>A 38101-2022</t>
        </is>
      </c>
      <c r="B97" s="1" t="n">
        <v>44811</v>
      </c>
      <c r="C97" s="1" t="n">
        <v>45172</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f>
        <v/>
      </c>
      <c r="T97">
        <f>HYPERLINK("https://klasma.github.io/Logging_STROMSUND/kartor/A 38101-2022.png")</f>
        <v/>
      </c>
      <c r="V97">
        <f>HYPERLINK("https://klasma.github.io/Logging_STROMSUND/klagomål/A 38101-2022.docx")</f>
        <v/>
      </c>
      <c r="W97">
        <f>HYPERLINK("https://klasma.github.io/Logging_STROMSUND/klagomålsmail/A 38101-2022.docx")</f>
        <v/>
      </c>
      <c r="X97">
        <f>HYPERLINK("https://klasma.github.io/Logging_STROMSUND/tillsyn/A 38101-2022.docx")</f>
        <v/>
      </c>
      <c r="Y97">
        <f>HYPERLINK("https://klasma.github.io/Logging_STROMSUND/tillsynsmail/A 38101-2022.docx")</f>
        <v/>
      </c>
    </row>
    <row r="98" ht="15" customHeight="1">
      <c r="A98" t="inlineStr">
        <is>
          <t>A 39695-2022</t>
        </is>
      </c>
      <c r="B98" s="1" t="n">
        <v>44818</v>
      </c>
      <c r="C98" s="1" t="n">
        <v>45172</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f>
        <v/>
      </c>
      <c r="T98">
        <f>HYPERLINK("https://klasma.github.io/Logging_STROMSUND/kartor/A 39695-2022.png")</f>
        <v/>
      </c>
      <c r="V98">
        <f>HYPERLINK("https://klasma.github.io/Logging_STROMSUND/klagomål/A 39695-2022.docx")</f>
        <v/>
      </c>
      <c r="W98">
        <f>HYPERLINK("https://klasma.github.io/Logging_STROMSUND/klagomålsmail/A 39695-2022.docx")</f>
        <v/>
      </c>
      <c r="X98">
        <f>HYPERLINK("https://klasma.github.io/Logging_STROMSUND/tillsyn/A 39695-2022.docx")</f>
        <v/>
      </c>
      <c r="Y98">
        <f>HYPERLINK("https://klasma.github.io/Logging_STROMSUND/tillsynsmail/A 39695-2022.docx")</f>
        <v/>
      </c>
    </row>
    <row r="99" ht="15" customHeight="1">
      <c r="A99" t="inlineStr">
        <is>
          <t>A 50686-2022</t>
        </is>
      </c>
      <c r="B99" s="1" t="n">
        <v>44866</v>
      </c>
      <c r="C99" s="1" t="n">
        <v>45172</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f>
        <v/>
      </c>
      <c r="T99">
        <f>HYPERLINK("https://klasma.github.io/Logging_STROMSUND/kartor/A 50686-2022.png")</f>
        <v/>
      </c>
      <c r="V99">
        <f>HYPERLINK("https://klasma.github.io/Logging_STROMSUND/klagomål/A 50686-2022.docx")</f>
        <v/>
      </c>
      <c r="W99">
        <f>HYPERLINK("https://klasma.github.io/Logging_STROMSUND/klagomålsmail/A 50686-2022.docx")</f>
        <v/>
      </c>
      <c r="X99">
        <f>HYPERLINK("https://klasma.github.io/Logging_STROMSUND/tillsyn/A 50686-2022.docx")</f>
        <v/>
      </c>
      <c r="Y99">
        <f>HYPERLINK("https://klasma.github.io/Logging_STROMSUND/tillsynsmail/A 50686-2022.docx")</f>
        <v/>
      </c>
    </row>
    <row r="100" ht="15" customHeight="1">
      <c r="A100" t="inlineStr">
        <is>
          <t>A 57827-2022</t>
        </is>
      </c>
      <c r="B100" s="1" t="n">
        <v>44897</v>
      </c>
      <c r="C100" s="1" t="n">
        <v>45172</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f>
        <v/>
      </c>
      <c r="T100">
        <f>HYPERLINK("https://klasma.github.io/Logging_STROMSUND/kartor/A 57827-2022.png")</f>
        <v/>
      </c>
      <c r="V100">
        <f>HYPERLINK("https://klasma.github.io/Logging_STROMSUND/klagomål/A 57827-2022.docx")</f>
        <v/>
      </c>
      <c r="W100">
        <f>HYPERLINK("https://klasma.github.io/Logging_STROMSUND/klagomålsmail/A 57827-2022.docx")</f>
        <v/>
      </c>
      <c r="X100">
        <f>HYPERLINK("https://klasma.github.io/Logging_STROMSUND/tillsyn/A 57827-2022.docx")</f>
        <v/>
      </c>
      <c r="Y100">
        <f>HYPERLINK("https://klasma.github.io/Logging_STROMSUND/tillsynsmail/A 57827-2022.docx")</f>
        <v/>
      </c>
    </row>
    <row r="101" ht="15" customHeight="1">
      <c r="A101" t="inlineStr">
        <is>
          <t>A 23524-2023</t>
        </is>
      </c>
      <c r="B101" s="1" t="n">
        <v>45076</v>
      </c>
      <c r="C101" s="1" t="n">
        <v>45172</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f>
        <v/>
      </c>
      <c r="T101">
        <f>HYPERLINK("https://klasma.github.io/Logging_STROMSUND/kartor/A 23524-2023.png")</f>
        <v/>
      </c>
      <c r="V101">
        <f>HYPERLINK("https://klasma.github.io/Logging_STROMSUND/klagomål/A 23524-2023.docx")</f>
        <v/>
      </c>
      <c r="W101">
        <f>HYPERLINK("https://klasma.github.io/Logging_STROMSUND/klagomålsmail/A 23524-2023.docx")</f>
        <v/>
      </c>
      <c r="X101">
        <f>HYPERLINK("https://klasma.github.io/Logging_STROMSUND/tillsyn/A 23524-2023.docx")</f>
        <v/>
      </c>
      <c r="Y101">
        <f>HYPERLINK("https://klasma.github.io/Logging_STROMSUND/tillsynsmail/A 23524-2023.docx")</f>
        <v/>
      </c>
    </row>
    <row r="102" ht="15" customHeight="1">
      <c r="A102" t="inlineStr">
        <is>
          <t>A 26406-2023</t>
        </is>
      </c>
      <c r="B102" s="1" t="n">
        <v>45089</v>
      </c>
      <c r="C102" s="1" t="n">
        <v>45172</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f>
        <v/>
      </c>
      <c r="T102">
        <f>HYPERLINK("https://klasma.github.io/Logging_STROMSUND/kartor/A 26406-2023.png")</f>
        <v/>
      </c>
      <c r="U102">
        <f>HYPERLINK("https://klasma.github.io/Logging_STROMSUND/knärot/A 26406-2023.png")</f>
        <v/>
      </c>
      <c r="V102">
        <f>HYPERLINK("https://klasma.github.io/Logging_STROMSUND/klagomål/A 26406-2023.docx")</f>
        <v/>
      </c>
      <c r="W102">
        <f>HYPERLINK("https://klasma.github.io/Logging_STROMSUND/klagomålsmail/A 26406-2023.docx")</f>
        <v/>
      </c>
      <c r="X102">
        <f>HYPERLINK("https://klasma.github.io/Logging_STROMSUND/tillsyn/A 26406-2023.docx")</f>
        <v/>
      </c>
      <c r="Y102">
        <f>HYPERLINK("https://klasma.github.io/Logging_STROMSUND/tillsynsmail/A 26406-2023.docx")</f>
        <v/>
      </c>
    </row>
    <row r="103" ht="15" customHeight="1">
      <c r="A103" t="inlineStr">
        <is>
          <t>A 29061-2023</t>
        </is>
      </c>
      <c r="B103" s="1" t="n">
        <v>45104</v>
      </c>
      <c r="C103" s="1" t="n">
        <v>45172</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f>
        <v/>
      </c>
      <c r="T103">
        <f>HYPERLINK("https://klasma.github.io/Logging_STROMSUND/kartor/A 29061-2023.png")</f>
        <v/>
      </c>
      <c r="V103">
        <f>HYPERLINK("https://klasma.github.io/Logging_STROMSUND/klagomål/A 29061-2023.docx")</f>
        <v/>
      </c>
      <c r="W103">
        <f>HYPERLINK("https://klasma.github.io/Logging_STROMSUND/klagomålsmail/A 29061-2023.docx")</f>
        <v/>
      </c>
      <c r="X103">
        <f>HYPERLINK("https://klasma.github.io/Logging_STROMSUND/tillsyn/A 29061-2023.docx")</f>
        <v/>
      </c>
      <c r="Y103">
        <f>HYPERLINK("https://klasma.github.io/Logging_STROMSUND/tillsynsmail/A 29061-2023.docx")</f>
        <v/>
      </c>
    </row>
    <row r="104" ht="15" customHeight="1">
      <c r="A104" t="inlineStr">
        <is>
          <t>A 36207-2023</t>
        </is>
      </c>
      <c r="B104" s="1" t="n">
        <v>45149</v>
      </c>
      <c r="C104" s="1" t="n">
        <v>45172</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f>
        <v/>
      </c>
      <c r="T104">
        <f>HYPERLINK("https://klasma.github.io/Logging_STROMSUND/kartor/A 36207-2023.png")</f>
        <v/>
      </c>
      <c r="V104">
        <f>HYPERLINK("https://klasma.github.io/Logging_STROMSUND/klagomål/A 36207-2023.docx")</f>
        <v/>
      </c>
      <c r="W104">
        <f>HYPERLINK("https://klasma.github.io/Logging_STROMSUND/klagomålsmail/A 36207-2023.docx")</f>
        <v/>
      </c>
      <c r="X104">
        <f>HYPERLINK("https://klasma.github.io/Logging_STROMSUND/tillsyn/A 36207-2023.docx")</f>
        <v/>
      </c>
      <c r="Y104">
        <f>HYPERLINK("https://klasma.github.io/Logging_STROMSUND/tillsynsmail/A 36207-2023.docx")</f>
        <v/>
      </c>
    </row>
    <row r="105" ht="15" customHeight="1">
      <c r="A105" t="inlineStr">
        <is>
          <t>A 42426-2019</t>
        </is>
      </c>
      <c r="B105" s="1" t="n">
        <v>43703</v>
      </c>
      <c r="C105" s="1" t="n">
        <v>45172</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f>
        <v/>
      </c>
      <c r="T105">
        <f>HYPERLINK("https://klasma.github.io/Logging_STROMSUND/kartor/A 42426-2019.png")</f>
        <v/>
      </c>
      <c r="V105">
        <f>HYPERLINK("https://klasma.github.io/Logging_STROMSUND/klagomål/A 42426-2019.docx")</f>
        <v/>
      </c>
      <c r="W105">
        <f>HYPERLINK("https://klasma.github.io/Logging_STROMSUND/klagomålsmail/A 42426-2019.docx")</f>
        <v/>
      </c>
      <c r="X105">
        <f>HYPERLINK("https://klasma.github.io/Logging_STROMSUND/tillsyn/A 42426-2019.docx")</f>
        <v/>
      </c>
      <c r="Y105">
        <f>HYPERLINK("https://klasma.github.io/Logging_STROMSUND/tillsynsmail/A 42426-2019.docx")</f>
        <v/>
      </c>
    </row>
    <row r="106" ht="15" customHeight="1">
      <c r="A106" t="inlineStr">
        <is>
          <t>A 17948-2020</t>
        </is>
      </c>
      <c r="B106" s="1" t="n">
        <v>43924</v>
      </c>
      <c r="C106" s="1" t="n">
        <v>45172</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f>
        <v/>
      </c>
      <c r="T106">
        <f>HYPERLINK("https://klasma.github.io/Logging_STROMSUND/kartor/A 17948-2020.png")</f>
        <v/>
      </c>
      <c r="V106">
        <f>HYPERLINK("https://klasma.github.io/Logging_STROMSUND/klagomål/A 17948-2020.docx")</f>
        <v/>
      </c>
      <c r="W106">
        <f>HYPERLINK("https://klasma.github.io/Logging_STROMSUND/klagomålsmail/A 17948-2020.docx")</f>
        <v/>
      </c>
      <c r="X106">
        <f>HYPERLINK("https://klasma.github.io/Logging_STROMSUND/tillsyn/A 17948-2020.docx")</f>
        <v/>
      </c>
      <c r="Y106">
        <f>HYPERLINK("https://klasma.github.io/Logging_STROMSUND/tillsynsmail/A 17948-2020.docx")</f>
        <v/>
      </c>
    </row>
    <row r="107" ht="15" customHeight="1">
      <c r="A107" t="inlineStr">
        <is>
          <t>A 30021-2020</t>
        </is>
      </c>
      <c r="B107" s="1" t="n">
        <v>44006</v>
      </c>
      <c r="C107" s="1" t="n">
        <v>45172</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f>
        <v/>
      </c>
      <c r="T107">
        <f>HYPERLINK("https://klasma.github.io/Logging_STROMSUND/kartor/A 30021-2020.png")</f>
        <v/>
      </c>
      <c r="V107">
        <f>HYPERLINK("https://klasma.github.io/Logging_STROMSUND/klagomål/A 30021-2020.docx")</f>
        <v/>
      </c>
      <c r="W107">
        <f>HYPERLINK("https://klasma.github.io/Logging_STROMSUND/klagomålsmail/A 30021-2020.docx")</f>
        <v/>
      </c>
      <c r="X107">
        <f>HYPERLINK("https://klasma.github.io/Logging_STROMSUND/tillsyn/A 30021-2020.docx")</f>
        <v/>
      </c>
      <c r="Y107">
        <f>HYPERLINK("https://klasma.github.io/Logging_STROMSUND/tillsynsmail/A 30021-2020.docx")</f>
        <v/>
      </c>
    </row>
    <row r="108" ht="15" customHeight="1">
      <c r="A108" t="inlineStr">
        <is>
          <t>A 30406-2020</t>
        </is>
      </c>
      <c r="B108" s="1" t="n">
        <v>44007</v>
      </c>
      <c r="C108" s="1" t="n">
        <v>45172</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f>
        <v/>
      </c>
      <c r="T108">
        <f>HYPERLINK("https://klasma.github.io/Logging_STROMSUND/kartor/A 30406-2020.png")</f>
        <v/>
      </c>
      <c r="V108">
        <f>HYPERLINK("https://klasma.github.io/Logging_STROMSUND/klagomål/A 30406-2020.docx")</f>
        <v/>
      </c>
      <c r="W108">
        <f>HYPERLINK("https://klasma.github.io/Logging_STROMSUND/klagomålsmail/A 30406-2020.docx")</f>
        <v/>
      </c>
      <c r="X108">
        <f>HYPERLINK("https://klasma.github.io/Logging_STROMSUND/tillsyn/A 30406-2020.docx")</f>
        <v/>
      </c>
      <c r="Y108">
        <f>HYPERLINK("https://klasma.github.io/Logging_STROMSUND/tillsynsmail/A 30406-2020.docx")</f>
        <v/>
      </c>
    </row>
    <row r="109" ht="15" customHeight="1">
      <c r="A109" t="inlineStr">
        <is>
          <t>A 66729-2020</t>
        </is>
      </c>
      <c r="B109" s="1" t="n">
        <v>44179</v>
      </c>
      <c r="C109" s="1" t="n">
        <v>45172</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f>
        <v/>
      </c>
      <c r="T109">
        <f>HYPERLINK("https://klasma.github.io/Logging_STROMSUND/kartor/A 66729-2020.png")</f>
        <v/>
      </c>
      <c r="V109">
        <f>HYPERLINK("https://klasma.github.io/Logging_STROMSUND/klagomål/A 66729-2020.docx")</f>
        <v/>
      </c>
      <c r="W109">
        <f>HYPERLINK("https://klasma.github.io/Logging_STROMSUND/klagomålsmail/A 66729-2020.docx")</f>
        <v/>
      </c>
      <c r="X109">
        <f>HYPERLINK("https://klasma.github.io/Logging_STROMSUND/tillsyn/A 66729-2020.docx")</f>
        <v/>
      </c>
      <c r="Y109">
        <f>HYPERLINK("https://klasma.github.io/Logging_STROMSUND/tillsynsmail/A 66729-2020.docx")</f>
        <v/>
      </c>
    </row>
    <row r="110" ht="15" customHeight="1">
      <c r="A110" t="inlineStr">
        <is>
          <t>A 69641-2020</t>
        </is>
      </c>
      <c r="B110" s="1" t="n">
        <v>44195</v>
      </c>
      <c r="C110" s="1" t="n">
        <v>45172</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f>
        <v/>
      </c>
      <c r="T110">
        <f>HYPERLINK("https://klasma.github.io/Logging_STROMSUND/kartor/A 69641-2020.png")</f>
        <v/>
      </c>
      <c r="V110">
        <f>HYPERLINK("https://klasma.github.io/Logging_STROMSUND/klagomål/A 69641-2020.docx")</f>
        <v/>
      </c>
      <c r="W110">
        <f>HYPERLINK("https://klasma.github.io/Logging_STROMSUND/klagomålsmail/A 69641-2020.docx")</f>
        <v/>
      </c>
      <c r="X110">
        <f>HYPERLINK("https://klasma.github.io/Logging_STROMSUND/tillsyn/A 69641-2020.docx")</f>
        <v/>
      </c>
      <c r="Y110">
        <f>HYPERLINK("https://klasma.github.io/Logging_STROMSUND/tillsynsmail/A 69641-2020.docx")</f>
        <v/>
      </c>
    </row>
    <row r="111" ht="15" customHeight="1">
      <c r="A111" t="inlineStr">
        <is>
          <t>A 26126-2021</t>
        </is>
      </c>
      <c r="B111" s="1" t="n">
        <v>44345</v>
      </c>
      <c r="C111" s="1" t="n">
        <v>45172</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f>
        <v/>
      </c>
      <c r="T111">
        <f>HYPERLINK("https://klasma.github.io/Logging_STROMSUND/kartor/A 26126-2021.png")</f>
        <v/>
      </c>
      <c r="V111">
        <f>HYPERLINK("https://klasma.github.io/Logging_STROMSUND/klagomål/A 26126-2021.docx")</f>
        <v/>
      </c>
      <c r="W111">
        <f>HYPERLINK("https://klasma.github.io/Logging_STROMSUND/klagomålsmail/A 26126-2021.docx")</f>
        <v/>
      </c>
      <c r="X111">
        <f>HYPERLINK("https://klasma.github.io/Logging_STROMSUND/tillsyn/A 26126-2021.docx")</f>
        <v/>
      </c>
      <c r="Y111">
        <f>HYPERLINK("https://klasma.github.io/Logging_STROMSUND/tillsynsmail/A 26126-2021.docx")</f>
        <v/>
      </c>
    </row>
    <row r="112" ht="15" customHeight="1">
      <c r="A112" t="inlineStr">
        <is>
          <t>A 28544-2021</t>
        </is>
      </c>
      <c r="B112" s="1" t="n">
        <v>44356</v>
      </c>
      <c r="C112" s="1" t="n">
        <v>45172</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f>
        <v/>
      </c>
      <c r="T112">
        <f>HYPERLINK("https://klasma.github.io/Logging_STROMSUND/kartor/A 28544-2021.png")</f>
        <v/>
      </c>
      <c r="V112">
        <f>HYPERLINK("https://klasma.github.io/Logging_STROMSUND/klagomål/A 28544-2021.docx")</f>
        <v/>
      </c>
      <c r="W112">
        <f>HYPERLINK("https://klasma.github.io/Logging_STROMSUND/klagomålsmail/A 28544-2021.docx")</f>
        <v/>
      </c>
      <c r="X112">
        <f>HYPERLINK("https://klasma.github.io/Logging_STROMSUND/tillsyn/A 28544-2021.docx")</f>
        <v/>
      </c>
      <c r="Y112">
        <f>HYPERLINK("https://klasma.github.io/Logging_STROMSUND/tillsynsmail/A 28544-2021.docx")</f>
        <v/>
      </c>
    </row>
    <row r="113" ht="15" customHeight="1">
      <c r="A113" t="inlineStr">
        <is>
          <t>A 32277-2021</t>
        </is>
      </c>
      <c r="B113" s="1" t="n">
        <v>44371</v>
      </c>
      <c r="C113" s="1" t="n">
        <v>45172</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f>
        <v/>
      </c>
      <c r="T113">
        <f>HYPERLINK("https://klasma.github.io/Logging_STROMSUND/kartor/A 32277-2021.png")</f>
        <v/>
      </c>
      <c r="V113">
        <f>HYPERLINK("https://klasma.github.io/Logging_STROMSUND/klagomål/A 32277-2021.docx")</f>
        <v/>
      </c>
      <c r="W113">
        <f>HYPERLINK("https://klasma.github.io/Logging_STROMSUND/klagomålsmail/A 32277-2021.docx")</f>
        <v/>
      </c>
      <c r="X113">
        <f>HYPERLINK("https://klasma.github.io/Logging_STROMSUND/tillsyn/A 32277-2021.docx")</f>
        <v/>
      </c>
      <c r="Y113">
        <f>HYPERLINK("https://klasma.github.io/Logging_STROMSUND/tillsynsmail/A 32277-2021.docx")</f>
        <v/>
      </c>
    </row>
    <row r="114" ht="15" customHeight="1">
      <c r="A114" t="inlineStr">
        <is>
          <t>A 32968-2021</t>
        </is>
      </c>
      <c r="B114" s="1" t="n">
        <v>44376</v>
      </c>
      <c r="C114" s="1" t="n">
        <v>45172</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f>
        <v/>
      </c>
      <c r="T114">
        <f>HYPERLINK("https://klasma.github.io/Logging_STROMSUND/kartor/A 32968-2021.png")</f>
        <v/>
      </c>
      <c r="V114">
        <f>HYPERLINK("https://klasma.github.io/Logging_STROMSUND/klagomål/A 32968-2021.docx")</f>
        <v/>
      </c>
      <c r="W114">
        <f>HYPERLINK("https://klasma.github.io/Logging_STROMSUND/klagomålsmail/A 32968-2021.docx")</f>
        <v/>
      </c>
      <c r="X114">
        <f>HYPERLINK("https://klasma.github.io/Logging_STROMSUND/tillsyn/A 32968-2021.docx")</f>
        <v/>
      </c>
      <c r="Y114">
        <f>HYPERLINK("https://klasma.github.io/Logging_STROMSUND/tillsynsmail/A 32968-2021.docx")</f>
        <v/>
      </c>
    </row>
    <row r="115" ht="15" customHeight="1">
      <c r="A115" t="inlineStr">
        <is>
          <t>A 38588-2021</t>
        </is>
      </c>
      <c r="B115" s="1" t="n">
        <v>44407</v>
      </c>
      <c r="C115" s="1" t="n">
        <v>45172</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f>
        <v/>
      </c>
      <c r="T115">
        <f>HYPERLINK("https://klasma.github.io/Logging_STROMSUND/kartor/A 38588-2021.png")</f>
        <v/>
      </c>
      <c r="V115">
        <f>HYPERLINK("https://klasma.github.io/Logging_STROMSUND/klagomål/A 38588-2021.docx")</f>
        <v/>
      </c>
      <c r="W115">
        <f>HYPERLINK("https://klasma.github.io/Logging_STROMSUND/klagomålsmail/A 38588-2021.docx")</f>
        <v/>
      </c>
      <c r="X115">
        <f>HYPERLINK("https://klasma.github.io/Logging_STROMSUND/tillsyn/A 38588-2021.docx")</f>
        <v/>
      </c>
      <c r="Y115">
        <f>HYPERLINK("https://klasma.github.io/Logging_STROMSUND/tillsynsmail/A 38588-2021.docx")</f>
        <v/>
      </c>
    </row>
    <row r="116" ht="15" customHeight="1">
      <c r="A116" t="inlineStr">
        <is>
          <t>A 44601-2021</t>
        </is>
      </c>
      <c r="B116" s="1" t="n">
        <v>44435</v>
      </c>
      <c r="C116" s="1" t="n">
        <v>45172</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f>
        <v/>
      </c>
      <c r="T116">
        <f>HYPERLINK("https://klasma.github.io/Logging_STROMSUND/kartor/A 44601-2021.png")</f>
        <v/>
      </c>
      <c r="V116">
        <f>HYPERLINK("https://klasma.github.io/Logging_STROMSUND/klagomål/A 44601-2021.docx")</f>
        <v/>
      </c>
      <c r="W116">
        <f>HYPERLINK("https://klasma.github.io/Logging_STROMSUND/klagomålsmail/A 44601-2021.docx")</f>
        <v/>
      </c>
      <c r="X116">
        <f>HYPERLINK("https://klasma.github.io/Logging_STROMSUND/tillsyn/A 44601-2021.docx")</f>
        <v/>
      </c>
      <c r="Y116">
        <f>HYPERLINK("https://klasma.github.io/Logging_STROMSUND/tillsynsmail/A 44601-2021.docx")</f>
        <v/>
      </c>
    </row>
    <row r="117" ht="15" customHeight="1">
      <c r="A117" t="inlineStr">
        <is>
          <t>A 3540-2022</t>
        </is>
      </c>
      <c r="B117" s="1" t="n">
        <v>44585</v>
      </c>
      <c r="C117" s="1" t="n">
        <v>45172</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f>
        <v/>
      </c>
      <c r="T117">
        <f>HYPERLINK("https://klasma.github.io/Logging_STROMSUND/kartor/A 3540-2022.png")</f>
        <v/>
      </c>
      <c r="V117">
        <f>HYPERLINK("https://klasma.github.io/Logging_STROMSUND/klagomål/A 3540-2022.docx")</f>
        <v/>
      </c>
      <c r="W117">
        <f>HYPERLINK("https://klasma.github.io/Logging_STROMSUND/klagomålsmail/A 3540-2022.docx")</f>
        <v/>
      </c>
      <c r="X117">
        <f>HYPERLINK("https://klasma.github.io/Logging_STROMSUND/tillsyn/A 3540-2022.docx")</f>
        <v/>
      </c>
      <c r="Y117">
        <f>HYPERLINK("https://klasma.github.io/Logging_STROMSUND/tillsynsmail/A 3540-2022.docx")</f>
        <v/>
      </c>
    </row>
    <row r="118" ht="15" customHeight="1">
      <c r="A118" t="inlineStr">
        <is>
          <t>A 21091-2022</t>
        </is>
      </c>
      <c r="B118" s="1" t="n">
        <v>44699</v>
      </c>
      <c r="C118" s="1" t="n">
        <v>45172</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f>
        <v/>
      </c>
      <c r="T118">
        <f>HYPERLINK("https://klasma.github.io/Logging_STROMSUND/kartor/A 21091-2022.png")</f>
        <v/>
      </c>
      <c r="V118">
        <f>HYPERLINK("https://klasma.github.io/Logging_STROMSUND/klagomål/A 21091-2022.docx")</f>
        <v/>
      </c>
      <c r="W118">
        <f>HYPERLINK("https://klasma.github.io/Logging_STROMSUND/klagomålsmail/A 21091-2022.docx")</f>
        <v/>
      </c>
      <c r="X118">
        <f>HYPERLINK("https://klasma.github.io/Logging_STROMSUND/tillsyn/A 21091-2022.docx")</f>
        <v/>
      </c>
      <c r="Y118">
        <f>HYPERLINK("https://klasma.github.io/Logging_STROMSUND/tillsynsmail/A 21091-2022.docx")</f>
        <v/>
      </c>
    </row>
    <row r="119" ht="15" customHeight="1">
      <c r="A119" t="inlineStr">
        <is>
          <t>A 23207-2022</t>
        </is>
      </c>
      <c r="B119" s="1" t="n">
        <v>44719</v>
      </c>
      <c r="C119" s="1" t="n">
        <v>45172</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f>
        <v/>
      </c>
      <c r="T119">
        <f>HYPERLINK("https://klasma.github.io/Logging_STROMSUND/kartor/A 23207-2022.png")</f>
        <v/>
      </c>
      <c r="V119">
        <f>HYPERLINK("https://klasma.github.io/Logging_STROMSUND/klagomål/A 23207-2022.docx")</f>
        <v/>
      </c>
      <c r="W119">
        <f>HYPERLINK("https://klasma.github.io/Logging_STROMSUND/klagomålsmail/A 23207-2022.docx")</f>
        <v/>
      </c>
      <c r="X119">
        <f>HYPERLINK("https://klasma.github.io/Logging_STROMSUND/tillsyn/A 23207-2022.docx")</f>
        <v/>
      </c>
      <c r="Y119">
        <f>HYPERLINK("https://klasma.github.io/Logging_STROMSUND/tillsynsmail/A 23207-2022.docx")</f>
        <v/>
      </c>
    </row>
    <row r="120" ht="15" customHeight="1">
      <c r="A120" t="inlineStr">
        <is>
          <t>A 27569-2022</t>
        </is>
      </c>
      <c r="B120" s="1" t="n">
        <v>44742</v>
      </c>
      <c r="C120" s="1" t="n">
        <v>45172</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f>
        <v/>
      </c>
      <c r="T120">
        <f>HYPERLINK("https://klasma.github.io/Logging_STROMSUND/kartor/A 27569-2022.png")</f>
        <v/>
      </c>
      <c r="V120">
        <f>HYPERLINK("https://klasma.github.io/Logging_STROMSUND/klagomål/A 27569-2022.docx")</f>
        <v/>
      </c>
      <c r="W120">
        <f>HYPERLINK("https://klasma.github.io/Logging_STROMSUND/klagomålsmail/A 27569-2022.docx")</f>
        <v/>
      </c>
      <c r="X120">
        <f>HYPERLINK("https://klasma.github.io/Logging_STROMSUND/tillsyn/A 27569-2022.docx")</f>
        <v/>
      </c>
      <c r="Y120">
        <f>HYPERLINK("https://klasma.github.io/Logging_STROMSUND/tillsynsmail/A 27569-2022.docx")</f>
        <v/>
      </c>
    </row>
    <row r="121" ht="15" customHeight="1">
      <c r="A121" t="inlineStr">
        <is>
          <t>A 30035-2022</t>
        </is>
      </c>
      <c r="B121" s="1" t="n">
        <v>44756</v>
      </c>
      <c r="C121" s="1" t="n">
        <v>45172</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f>
        <v/>
      </c>
      <c r="T121">
        <f>HYPERLINK("https://klasma.github.io/Logging_STROMSUND/kartor/A 30035-2022.png")</f>
        <v/>
      </c>
      <c r="V121">
        <f>HYPERLINK("https://klasma.github.io/Logging_STROMSUND/klagomål/A 30035-2022.docx")</f>
        <v/>
      </c>
      <c r="W121">
        <f>HYPERLINK("https://klasma.github.io/Logging_STROMSUND/klagomålsmail/A 30035-2022.docx")</f>
        <v/>
      </c>
      <c r="X121">
        <f>HYPERLINK("https://klasma.github.io/Logging_STROMSUND/tillsyn/A 30035-2022.docx")</f>
        <v/>
      </c>
      <c r="Y121">
        <f>HYPERLINK("https://klasma.github.io/Logging_STROMSUND/tillsynsmail/A 30035-2022.docx")</f>
        <v/>
      </c>
    </row>
    <row r="122" ht="15" customHeight="1">
      <c r="A122" t="inlineStr">
        <is>
          <t>A 30228-2022</t>
        </is>
      </c>
      <c r="B122" s="1" t="n">
        <v>44757</v>
      </c>
      <c r="C122" s="1" t="n">
        <v>45172</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f>
        <v/>
      </c>
      <c r="T122">
        <f>HYPERLINK("https://klasma.github.io/Logging_STROMSUND/kartor/A 30228-2022.png")</f>
        <v/>
      </c>
      <c r="V122">
        <f>HYPERLINK("https://klasma.github.io/Logging_STROMSUND/klagomål/A 30228-2022.docx")</f>
        <v/>
      </c>
      <c r="W122">
        <f>HYPERLINK("https://klasma.github.io/Logging_STROMSUND/klagomålsmail/A 30228-2022.docx")</f>
        <v/>
      </c>
      <c r="X122">
        <f>HYPERLINK("https://klasma.github.io/Logging_STROMSUND/tillsyn/A 30228-2022.docx")</f>
        <v/>
      </c>
      <c r="Y122">
        <f>HYPERLINK("https://klasma.github.io/Logging_STROMSUND/tillsynsmail/A 30228-2022.docx")</f>
        <v/>
      </c>
    </row>
    <row r="123" ht="15" customHeight="1">
      <c r="A123" t="inlineStr">
        <is>
          <t>A 36791-2022</t>
        </is>
      </c>
      <c r="B123" s="1" t="n">
        <v>44805</v>
      </c>
      <c r="C123" s="1" t="n">
        <v>45172</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f>
        <v/>
      </c>
      <c r="T123">
        <f>HYPERLINK("https://klasma.github.io/Logging_STROMSUND/kartor/A 36791-2022.png")</f>
        <v/>
      </c>
      <c r="V123">
        <f>HYPERLINK("https://klasma.github.io/Logging_STROMSUND/klagomål/A 36791-2022.docx")</f>
        <v/>
      </c>
      <c r="W123">
        <f>HYPERLINK("https://klasma.github.io/Logging_STROMSUND/klagomålsmail/A 36791-2022.docx")</f>
        <v/>
      </c>
      <c r="X123">
        <f>HYPERLINK("https://klasma.github.io/Logging_STROMSUND/tillsyn/A 36791-2022.docx")</f>
        <v/>
      </c>
      <c r="Y123">
        <f>HYPERLINK("https://klasma.github.io/Logging_STROMSUND/tillsynsmail/A 36791-2022.docx")</f>
        <v/>
      </c>
    </row>
    <row r="124" ht="15" customHeight="1">
      <c r="A124" t="inlineStr">
        <is>
          <t>A 57279-2022</t>
        </is>
      </c>
      <c r="B124" s="1" t="n">
        <v>44895</v>
      </c>
      <c r="C124" s="1" t="n">
        <v>45172</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f>
        <v/>
      </c>
      <c r="T124">
        <f>HYPERLINK("https://klasma.github.io/Logging_STROMSUND/kartor/A 57279-2022.png")</f>
        <v/>
      </c>
      <c r="V124">
        <f>HYPERLINK("https://klasma.github.io/Logging_STROMSUND/klagomål/A 57279-2022.docx")</f>
        <v/>
      </c>
      <c r="W124">
        <f>HYPERLINK("https://klasma.github.io/Logging_STROMSUND/klagomålsmail/A 57279-2022.docx")</f>
        <v/>
      </c>
      <c r="X124">
        <f>HYPERLINK("https://klasma.github.io/Logging_STROMSUND/tillsyn/A 57279-2022.docx")</f>
        <v/>
      </c>
      <c r="Y124">
        <f>HYPERLINK("https://klasma.github.io/Logging_STROMSUND/tillsynsmail/A 57279-2022.docx")</f>
        <v/>
      </c>
    </row>
    <row r="125" ht="15" customHeight="1">
      <c r="A125" t="inlineStr">
        <is>
          <t>A 20877-2023</t>
        </is>
      </c>
      <c r="B125" s="1" t="n">
        <v>45058</v>
      </c>
      <c r="C125" s="1" t="n">
        <v>45172</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f>
        <v/>
      </c>
      <c r="T125">
        <f>HYPERLINK("https://klasma.github.io/Logging_STROMSUND/kartor/A 20877-2023.png")</f>
        <v/>
      </c>
      <c r="V125">
        <f>HYPERLINK("https://klasma.github.io/Logging_STROMSUND/klagomål/A 20877-2023.docx")</f>
        <v/>
      </c>
      <c r="W125">
        <f>HYPERLINK("https://klasma.github.io/Logging_STROMSUND/klagomålsmail/A 20877-2023.docx")</f>
        <v/>
      </c>
      <c r="X125">
        <f>HYPERLINK("https://klasma.github.io/Logging_STROMSUND/tillsyn/A 20877-2023.docx")</f>
        <v/>
      </c>
      <c r="Y125">
        <f>HYPERLINK("https://klasma.github.io/Logging_STROMSUND/tillsynsmail/A 20877-2023.docx")</f>
        <v/>
      </c>
    </row>
    <row r="126" ht="15" customHeight="1">
      <c r="A126" t="inlineStr">
        <is>
          <t>A 20886-2023</t>
        </is>
      </c>
      <c r="B126" s="1" t="n">
        <v>45058</v>
      </c>
      <c r="C126" s="1" t="n">
        <v>45172</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f>
        <v/>
      </c>
      <c r="T126">
        <f>HYPERLINK("https://klasma.github.io/Logging_STROMSUND/kartor/A 20886-2023.png")</f>
        <v/>
      </c>
      <c r="V126">
        <f>HYPERLINK("https://klasma.github.io/Logging_STROMSUND/klagomål/A 20886-2023.docx")</f>
        <v/>
      </c>
      <c r="W126">
        <f>HYPERLINK("https://klasma.github.io/Logging_STROMSUND/klagomålsmail/A 20886-2023.docx")</f>
        <v/>
      </c>
      <c r="X126">
        <f>HYPERLINK("https://klasma.github.io/Logging_STROMSUND/tillsyn/A 20886-2023.docx")</f>
        <v/>
      </c>
      <c r="Y126">
        <f>HYPERLINK("https://klasma.github.io/Logging_STROMSUND/tillsynsmail/A 20886-2023.docx")</f>
        <v/>
      </c>
    </row>
    <row r="127" ht="15" customHeight="1">
      <c r="A127" t="inlineStr">
        <is>
          <t>A 36208-2023</t>
        </is>
      </c>
      <c r="B127" s="1" t="n">
        <v>45149</v>
      </c>
      <c r="C127" s="1" t="n">
        <v>45172</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f>
        <v/>
      </c>
      <c r="T127">
        <f>HYPERLINK("https://klasma.github.io/Logging_STROMSUND/kartor/A 36208-2023.png")</f>
        <v/>
      </c>
      <c r="U127">
        <f>HYPERLINK("https://klasma.github.io/Logging_STROMSUND/knärot/A 36208-2023.png")</f>
        <v/>
      </c>
      <c r="V127">
        <f>HYPERLINK("https://klasma.github.io/Logging_STROMSUND/klagomål/A 36208-2023.docx")</f>
        <v/>
      </c>
      <c r="W127">
        <f>HYPERLINK("https://klasma.github.io/Logging_STROMSUND/klagomålsmail/A 36208-2023.docx")</f>
        <v/>
      </c>
      <c r="X127">
        <f>HYPERLINK("https://klasma.github.io/Logging_STROMSUND/tillsyn/A 36208-2023.docx")</f>
        <v/>
      </c>
      <c r="Y127">
        <f>HYPERLINK("https://klasma.github.io/Logging_STROMSUND/tillsynsmail/A 36208-2023.docx")</f>
        <v/>
      </c>
    </row>
    <row r="128" ht="15" customHeight="1">
      <c r="A128" t="inlineStr">
        <is>
          <t>A 71012-2018</t>
        </is>
      </c>
      <c r="B128" s="1" t="n">
        <v>43452</v>
      </c>
      <c r="C128" s="1" t="n">
        <v>45172</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f>
        <v/>
      </c>
      <c r="T128">
        <f>HYPERLINK("https://klasma.github.io/Logging_STROMSUND/kartor/A 71012-2018.png")</f>
        <v/>
      </c>
      <c r="V128">
        <f>HYPERLINK("https://klasma.github.io/Logging_STROMSUND/klagomål/A 71012-2018.docx")</f>
        <v/>
      </c>
      <c r="W128">
        <f>HYPERLINK("https://klasma.github.io/Logging_STROMSUND/klagomålsmail/A 71012-2018.docx")</f>
        <v/>
      </c>
      <c r="X128">
        <f>HYPERLINK("https://klasma.github.io/Logging_STROMSUND/tillsyn/A 71012-2018.docx")</f>
        <v/>
      </c>
      <c r="Y128">
        <f>HYPERLINK("https://klasma.github.io/Logging_STROMSUND/tillsynsmail/A 71012-2018.docx")</f>
        <v/>
      </c>
    </row>
    <row r="129" ht="15" customHeight="1">
      <c r="A129" t="inlineStr">
        <is>
          <t>A 8268-2019</t>
        </is>
      </c>
      <c r="B129" s="1" t="n">
        <v>43501</v>
      </c>
      <c r="C129" s="1" t="n">
        <v>45172</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f>
        <v/>
      </c>
      <c r="T129">
        <f>HYPERLINK("https://klasma.github.io/Logging_STROMSUND/kartor/A 8268-2019.png")</f>
        <v/>
      </c>
      <c r="V129">
        <f>HYPERLINK("https://klasma.github.io/Logging_STROMSUND/klagomål/A 8268-2019.docx")</f>
        <v/>
      </c>
      <c r="W129">
        <f>HYPERLINK("https://klasma.github.io/Logging_STROMSUND/klagomålsmail/A 8268-2019.docx")</f>
        <v/>
      </c>
      <c r="X129">
        <f>HYPERLINK("https://klasma.github.io/Logging_STROMSUND/tillsyn/A 8268-2019.docx")</f>
        <v/>
      </c>
      <c r="Y129">
        <f>HYPERLINK("https://klasma.github.io/Logging_STROMSUND/tillsynsmail/A 8268-2019.docx")</f>
        <v/>
      </c>
    </row>
    <row r="130" ht="15" customHeight="1">
      <c r="A130" t="inlineStr">
        <is>
          <t>A 30381-2019</t>
        </is>
      </c>
      <c r="B130" s="1" t="n">
        <v>43634</v>
      </c>
      <c r="C130" s="1" t="n">
        <v>45172</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f>
        <v/>
      </c>
      <c r="T130">
        <f>HYPERLINK("https://klasma.github.io/Logging_STROMSUND/kartor/A 30381-2019.png")</f>
        <v/>
      </c>
      <c r="U130">
        <f>HYPERLINK("https://klasma.github.io/Logging_STROMSUND/knärot/A 30381-2019.png")</f>
        <v/>
      </c>
      <c r="V130">
        <f>HYPERLINK("https://klasma.github.io/Logging_STROMSUND/klagomål/A 30381-2019.docx")</f>
        <v/>
      </c>
      <c r="W130">
        <f>HYPERLINK("https://klasma.github.io/Logging_STROMSUND/klagomålsmail/A 30381-2019.docx")</f>
        <v/>
      </c>
      <c r="X130">
        <f>HYPERLINK("https://klasma.github.io/Logging_STROMSUND/tillsyn/A 30381-2019.docx")</f>
        <v/>
      </c>
      <c r="Y130">
        <f>HYPERLINK("https://klasma.github.io/Logging_STROMSUND/tillsynsmail/A 30381-2019.docx")</f>
        <v/>
      </c>
    </row>
    <row r="131" ht="15" customHeight="1">
      <c r="A131" t="inlineStr">
        <is>
          <t>A 33687-2019</t>
        </is>
      </c>
      <c r="B131" s="1" t="n">
        <v>43651</v>
      </c>
      <c r="C131" s="1" t="n">
        <v>45172</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f>
        <v/>
      </c>
      <c r="T131">
        <f>HYPERLINK("https://klasma.github.io/Logging_STROMSUND/kartor/A 33687-2019.png")</f>
        <v/>
      </c>
      <c r="V131">
        <f>HYPERLINK("https://klasma.github.io/Logging_STROMSUND/klagomål/A 33687-2019.docx")</f>
        <v/>
      </c>
      <c r="W131">
        <f>HYPERLINK("https://klasma.github.io/Logging_STROMSUND/klagomålsmail/A 33687-2019.docx")</f>
        <v/>
      </c>
      <c r="X131">
        <f>HYPERLINK("https://klasma.github.io/Logging_STROMSUND/tillsyn/A 33687-2019.docx")</f>
        <v/>
      </c>
      <c r="Y131">
        <f>HYPERLINK("https://klasma.github.io/Logging_STROMSUND/tillsynsmail/A 33687-2019.docx")</f>
        <v/>
      </c>
    </row>
    <row r="132" ht="15" customHeight="1">
      <c r="A132" t="inlineStr">
        <is>
          <t>A 35778-2019</t>
        </is>
      </c>
      <c r="B132" s="1" t="n">
        <v>43665</v>
      </c>
      <c r="C132" s="1" t="n">
        <v>45172</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f>
        <v/>
      </c>
      <c r="T132">
        <f>HYPERLINK("https://klasma.github.io/Logging_STROMSUND/kartor/A 35778-2019.png")</f>
        <v/>
      </c>
      <c r="V132">
        <f>HYPERLINK("https://klasma.github.io/Logging_STROMSUND/klagomål/A 35778-2019.docx")</f>
        <v/>
      </c>
      <c r="W132">
        <f>HYPERLINK("https://klasma.github.io/Logging_STROMSUND/klagomålsmail/A 35778-2019.docx")</f>
        <v/>
      </c>
      <c r="X132">
        <f>HYPERLINK("https://klasma.github.io/Logging_STROMSUND/tillsyn/A 35778-2019.docx")</f>
        <v/>
      </c>
      <c r="Y132">
        <f>HYPERLINK("https://klasma.github.io/Logging_STROMSUND/tillsynsmail/A 35778-2019.docx")</f>
        <v/>
      </c>
    </row>
    <row r="133" ht="15" customHeight="1">
      <c r="A133" t="inlineStr">
        <is>
          <t>A 39265-2019</t>
        </is>
      </c>
      <c r="B133" s="1" t="n">
        <v>43690</v>
      </c>
      <c r="C133" s="1" t="n">
        <v>45172</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f>
        <v/>
      </c>
      <c r="T133">
        <f>HYPERLINK("https://klasma.github.io/Logging_STROMSUND/kartor/A 39265-2019.png")</f>
        <v/>
      </c>
      <c r="V133">
        <f>HYPERLINK("https://klasma.github.io/Logging_STROMSUND/klagomål/A 39265-2019.docx")</f>
        <v/>
      </c>
      <c r="W133">
        <f>HYPERLINK("https://klasma.github.io/Logging_STROMSUND/klagomålsmail/A 39265-2019.docx")</f>
        <v/>
      </c>
      <c r="X133">
        <f>HYPERLINK("https://klasma.github.io/Logging_STROMSUND/tillsyn/A 39265-2019.docx")</f>
        <v/>
      </c>
      <c r="Y133">
        <f>HYPERLINK("https://klasma.github.io/Logging_STROMSUND/tillsynsmail/A 39265-2019.docx")</f>
        <v/>
      </c>
    </row>
    <row r="134" ht="15" customHeight="1">
      <c r="A134" t="inlineStr">
        <is>
          <t>A 6887-2020</t>
        </is>
      </c>
      <c r="B134" s="1" t="n">
        <v>43867</v>
      </c>
      <c r="C134" s="1" t="n">
        <v>45172</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f>
        <v/>
      </c>
      <c r="T134">
        <f>HYPERLINK("https://klasma.github.io/Logging_STROMSUND/kartor/A 6887-2020.png")</f>
        <v/>
      </c>
      <c r="V134">
        <f>HYPERLINK("https://klasma.github.io/Logging_STROMSUND/klagomål/A 6887-2020.docx")</f>
        <v/>
      </c>
      <c r="W134">
        <f>HYPERLINK("https://klasma.github.io/Logging_STROMSUND/klagomålsmail/A 6887-2020.docx")</f>
        <v/>
      </c>
      <c r="X134">
        <f>HYPERLINK("https://klasma.github.io/Logging_STROMSUND/tillsyn/A 6887-2020.docx")</f>
        <v/>
      </c>
      <c r="Y134">
        <f>HYPERLINK("https://klasma.github.io/Logging_STROMSUND/tillsynsmail/A 6887-2020.docx")</f>
        <v/>
      </c>
    </row>
    <row r="135" ht="15" customHeight="1">
      <c r="A135" t="inlineStr">
        <is>
          <t>A 14936-2020</t>
        </is>
      </c>
      <c r="B135" s="1" t="n">
        <v>43906</v>
      </c>
      <c r="C135" s="1" t="n">
        <v>45172</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f>
        <v/>
      </c>
      <c r="T135">
        <f>HYPERLINK("https://klasma.github.io/Logging_STROMSUND/kartor/A 14936-2020.png")</f>
        <v/>
      </c>
      <c r="V135">
        <f>HYPERLINK("https://klasma.github.io/Logging_STROMSUND/klagomål/A 14936-2020.docx")</f>
        <v/>
      </c>
      <c r="W135">
        <f>HYPERLINK("https://klasma.github.io/Logging_STROMSUND/klagomålsmail/A 14936-2020.docx")</f>
        <v/>
      </c>
      <c r="X135">
        <f>HYPERLINK("https://klasma.github.io/Logging_STROMSUND/tillsyn/A 14936-2020.docx")</f>
        <v/>
      </c>
      <c r="Y135">
        <f>HYPERLINK("https://klasma.github.io/Logging_STROMSUND/tillsynsmail/A 14936-2020.docx")</f>
        <v/>
      </c>
    </row>
    <row r="136" ht="15" customHeight="1">
      <c r="A136" t="inlineStr">
        <is>
          <t>A 17685-2020</t>
        </is>
      </c>
      <c r="B136" s="1" t="n">
        <v>43923</v>
      </c>
      <c r="C136" s="1" t="n">
        <v>45172</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f>
        <v/>
      </c>
      <c r="T136">
        <f>HYPERLINK("https://klasma.github.io/Logging_STROMSUND/kartor/A 17685-2020.png")</f>
        <v/>
      </c>
      <c r="V136">
        <f>HYPERLINK("https://klasma.github.io/Logging_STROMSUND/klagomål/A 17685-2020.docx")</f>
        <v/>
      </c>
      <c r="W136">
        <f>HYPERLINK("https://klasma.github.io/Logging_STROMSUND/klagomålsmail/A 17685-2020.docx")</f>
        <v/>
      </c>
      <c r="X136">
        <f>HYPERLINK("https://klasma.github.io/Logging_STROMSUND/tillsyn/A 17685-2020.docx")</f>
        <v/>
      </c>
      <c r="Y136">
        <f>HYPERLINK("https://klasma.github.io/Logging_STROMSUND/tillsynsmail/A 17685-2020.docx")</f>
        <v/>
      </c>
    </row>
    <row r="137" ht="15" customHeight="1">
      <c r="A137" t="inlineStr">
        <is>
          <t>A 24145-2020</t>
        </is>
      </c>
      <c r="B137" s="1" t="n">
        <v>43973</v>
      </c>
      <c r="C137" s="1" t="n">
        <v>45172</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f>
        <v/>
      </c>
      <c r="T137">
        <f>HYPERLINK("https://klasma.github.io/Logging_STROMSUND/kartor/A 24145-2020.png")</f>
        <v/>
      </c>
      <c r="V137">
        <f>HYPERLINK("https://klasma.github.io/Logging_STROMSUND/klagomål/A 24145-2020.docx")</f>
        <v/>
      </c>
      <c r="W137">
        <f>HYPERLINK("https://klasma.github.io/Logging_STROMSUND/klagomålsmail/A 24145-2020.docx")</f>
        <v/>
      </c>
      <c r="X137">
        <f>HYPERLINK("https://klasma.github.io/Logging_STROMSUND/tillsyn/A 24145-2020.docx")</f>
        <v/>
      </c>
      <c r="Y137">
        <f>HYPERLINK("https://klasma.github.io/Logging_STROMSUND/tillsynsmail/A 24145-2020.docx")</f>
        <v/>
      </c>
    </row>
    <row r="138" ht="15" customHeight="1">
      <c r="A138" t="inlineStr">
        <is>
          <t>A 30763-2020</t>
        </is>
      </c>
      <c r="B138" s="1" t="n">
        <v>44008</v>
      </c>
      <c r="C138" s="1" t="n">
        <v>45172</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f>
        <v/>
      </c>
      <c r="T138">
        <f>HYPERLINK("https://klasma.github.io/Logging_STROMSUND/kartor/A 30763-2020.png")</f>
        <v/>
      </c>
      <c r="V138">
        <f>HYPERLINK("https://klasma.github.io/Logging_STROMSUND/klagomål/A 30763-2020.docx")</f>
        <v/>
      </c>
      <c r="W138">
        <f>HYPERLINK("https://klasma.github.io/Logging_STROMSUND/klagomålsmail/A 30763-2020.docx")</f>
        <v/>
      </c>
      <c r="X138">
        <f>HYPERLINK("https://klasma.github.io/Logging_STROMSUND/tillsyn/A 30763-2020.docx")</f>
        <v/>
      </c>
      <c r="Y138">
        <f>HYPERLINK("https://klasma.github.io/Logging_STROMSUND/tillsynsmail/A 30763-2020.docx")</f>
        <v/>
      </c>
    </row>
    <row r="139" ht="15" customHeight="1">
      <c r="A139" t="inlineStr">
        <is>
          <t>A 44946-2020</t>
        </is>
      </c>
      <c r="B139" s="1" t="n">
        <v>44083</v>
      </c>
      <c r="C139" s="1" t="n">
        <v>45172</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f>
        <v/>
      </c>
      <c r="T139">
        <f>HYPERLINK("https://klasma.github.io/Logging_STROMSUND/kartor/A 44946-2020.png")</f>
        <v/>
      </c>
      <c r="V139">
        <f>HYPERLINK("https://klasma.github.io/Logging_STROMSUND/klagomål/A 44946-2020.docx")</f>
        <v/>
      </c>
      <c r="W139">
        <f>HYPERLINK("https://klasma.github.io/Logging_STROMSUND/klagomålsmail/A 44946-2020.docx")</f>
        <v/>
      </c>
      <c r="X139">
        <f>HYPERLINK("https://klasma.github.io/Logging_STROMSUND/tillsyn/A 44946-2020.docx")</f>
        <v/>
      </c>
      <c r="Y139">
        <f>HYPERLINK("https://klasma.github.io/Logging_STROMSUND/tillsynsmail/A 44946-2020.docx")</f>
        <v/>
      </c>
    </row>
    <row r="140" ht="15" customHeight="1">
      <c r="A140" t="inlineStr">
        <is>
          <t>A 55612-2020</t>
        </is>
      </c>
      <c r="B140" s="1" t="n">
        <v>44131</v>
      </c>
      <c r="C140" s="1" t="n">
        <v>45172</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f>
        <v/>
      </c>
      <c r="T140">
        <f>HYPERLINK("https://klasma.github.io/Logging_STROMSUND/kartor/A 55612-2020.png")</f>
        <v/>
      </c>
      <c r="V140">
        <f>HYPERLINK("https://klasma.github.io/Logging_STROMSUND/klagomål/A 55612-2020.docx")</f>
        <v/>
      </c>
      <c r="W140">
        <f>HYPERLINK("https://klasma.github.io/Logging_STROMSUND/klagomålsmail/A 55612-2020.docx")</f>
        <v/>
      </c>
      <c r="X140">
        <f>HYPERLINK("https://klasma.github.io/Logging_STROMSUND/tillsyn/A 55612-2020.docx")</f>
        <v/>
      </c>
      <c r="Y140">
        <f>HYPERLINK("https://klasma.github.io/Logging_STROMSUND/tillsynsmail/A 55612-2020.docx")</f>
        <v/>
      </c>
    </row>
    <row r="141" ht="15" customHeight="1">
      <c r="A141" t="inlineStr">
        <is>
          <t>A 66555-2020</t>
        </is>
      </c>
      <c r="B141" s="1" t="n">
        <v>44179</v>
      </c>
      <c r="C141" s="1" t="n">
        <v>45172</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f>
        <v/>
      </c>
      <c r="T141">
        <f>HYPERLINK("https://klasma.github.io/Logging_STROMSUND/kartor/A 66555-2020.png")</f>
        <v/>
      </c>
      <c r="V141">
        <f>HYPERLINK("https://klasma.github.io/Logging_STROMSUND/klagomål/A 66555-2020.docx")</f>
        <v/>
      </c>
      <c r="W141">
        <f>HYPERLINK("https://klasma.github.io/Logging_STROMSUND/klagomålsmail/A 66555-2020.docx")</f>
        <v/>
      </c>
      <c r="X141">
        <f>HYPERLINK("https://klasma.github.io/Logging_STROMSUND/tillsyn/A 66555-2020.docx")</f>
        <v/>
      </c>
      <c r="Y141">
        <f>HYPERLINK("https://klasma.github.io/Logging_STROMSUND/tillsynsmail/A 66555-2020.docx")</f>
        <v/>
      </c>
    </row>
    <row r="142" ht="15" customHeight="1">
      <c r="A142" t="inlineStr">
        <is>
          <t>A 630-2021</t>
        </is>
      </c>
      <c r="B142" s="1" t="n">
        <v>44203</v>
      </c>
      <c r="C142" s="1" t="n">
        <v>45172</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f>
        <v/>
      </c>
      <c r="T142">
        <f>HYPERLINK("https://klasma.github.io/Logging_STROMSUND/kartor/A 630-2021.png")</f>
        <v/>
      </c>
      <c r="V142">
        <f>HYPERLINK("https://klasma.github.io/Logging_STROMSUND/klagomål/A 630-2021.docx")</f>
        <v/>
      </c>
      <c r="W142">
        <f>HYPERLINK("https://klasma.github.io/Logging_STROMSUND/klagomålsmail/A 630-2021.docx")</f>
        <v/>
      </c>
      <c r="X142">
        <f>HYPERLINK("https://klasma.github.io/Logging_STROMSUND/tillsyn/A 630-2021.docx")</f>
        <v/>
      </c>
      <c r="Y142">
        <f>HYPERLINK("https://klasma.github.io/Logging_STROMSUND/tillsynsmail/A 630-2021.docx")</f>
        <v/>
      </c>
    </row>
    <row r="143" ht="15" customHeight="1">
      <c r="A143" t="inlineStr">
        <is>
          <t>A 33577-2021</t>
        </is>
      </c>
      <c r="B143" s="1" t="n">
        <v>44377</v>
      </c>
      <c r="C143" s="1" t="n">
        <v>45172</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f>
        <v/>
      </c>
      <c r="T143">
        <f>HYPERLINK("https://klasma.github.io/Logging_STROMSUND/kartor/A 33577-2021.png")</f>
        <v/>
      </c>
      <c r="U143">
        <f>HYPERLINK("https://klasma.github.io/Logging_STROMSUND/knärot/A 33577-2021.png")</f>
        <v/>
      </c>
      <c r="V143">
        <f>HYPERLINK("https://klasma.github.io/Logging_STROMSUND/klagomål/A 33577-2021.docx")</f>
        <v/>
      </c>
      <c r="W143">
        <f>HYPERLINK("https://klasma.github.io/Logging_STROMSUND/klagomålsmail/A 33577-2021.docx")</f>
        <v/>
      </c>
      <c r="X143">
        <f>HYPERLINK("https://klasma.github.io/Logging_STROMSUND/tillsyn/A 33577-2021.docx")</f>
        <v/>
      </c>
      <c r="Y143">
        <f>HYPERLINK("https://klasma.github.io/Logging_STROMSUND/tillsynsmail/A 33577-2021.docx")</f>
        <v/>
      </c>
    </row>
    <row r="144" ht="15" customHeight="1">
      <c r="A144" t="inlineStr">
        <is>
          <t>A 61417-2021</t>
        </is>
      </c>
      <c r="B144" s="1" t="n">
        <v>44500</v>
      </c>
      <c r="C144" s="1" t="n">
        <v>45172</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f>
        <v/>
      </c>
      <c r="T144">
        <f>HYPERLINK("https://klasma.github.io/Logging_STROMSUND/kartor/A 61417-2021.png")</f>
        <v/>
      </c>
      <c r="V144">
        <f>HYPERLINK("https://klasma.github.io/Logging_STROMSUND/klagomål/A 61417-2021.docx")</f>
        <v/>
      </c>
      <c r="W144">
        <f>HYPERLINK("https://klasma.github.io/Logging_STROMSUND/klagomålsmail/A 61417-2021.docx")</f>
        <v/>
      </c>
      <c r="X144">
        <f>HYPERLINK("https://klasma.github.io/Logging_STROMSUND/tillsyn/A 61417-2021.docx")</f>
        <v/>
      </c>
      <c r="Y144">
        <f>HYPERLINK("https://klasma.github.io/Logging_STROMSUND/tillsynsmail/A 61417-2021.docx")</f>
        <v/>
      </c>
    </row>
    <row r="145" ht="15" customHeight="1">
      <c r="A145" t="inlineStr">
        <is>
          <t>A 69109-2021</t>
        </is>
      </c>
      <c r="B145" s="1" t="n">
        <v>44530</v>
      </c>
      <c r="C145" s="1" t="n">
        <v>45172</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f>
        <v/>
      </c>
      <c r="T145">
        <f>HYPERLINK("https://klasma.github.io/Logging_STROMSUND/kartor/A 69109-2021.png")</f>
        <v/>
      </c>
      <c r="V145">
        <f>HYPERLINK("https://klasma.github.io/Logging_STROMSUND/klagomål/A 69109-2021.docx")</f>
        <v/>
      </c>
      <c r="W145">
        <f>HYPERLINK("https://klasma.github.io/Logging_STROMSUND/klagomålsmail/A 69109-2021.docx")</f>
        <v/>
      </c>
      <c r="X145">
        <f>HYPERLINK("https://klasma.github.io/Logging_STROMSUND/tillsyn/A 69109-2021.docx")</f>
        <v/>
      </c>
      <c r="Y145">
        <f>HYPERLINK("https://klasma.github.io/Logging_STROMSUND/tillsynsmail/A 69109-2021.docx")</f>
        <v/>
      </c>
    </row>
    <row r="146" ht="15" customHeight="1">
      <c r="A146" t="inlineStr">
        <is>
          <t>A 73514-2021</t>
        </is>
      </c>
      <c r="B146" s="1" t="n">
        <v>44551</v>
      </c>
      <c r="C146" s="1" t="n">
        <v>45172</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f>
        <v/>
      </c>
      <c r="T146">
        <f>HYPERLINK("https://klasma.github.io/Logging_STROMSUND/kartor/A 73514-2021.png")</f>
        <v/>
      </c>
      <c r="V146">
        <f>HYPERLINK("https://klasma.github.io/Logging_STROMSUND/klagomål/A 73514-2021.docx")</f>
        <v/>
      </c>
      <c r="W146">
        <f>HYPERLINK("https://klasma.github.io/Logging_STROMSUND/klagomålsmail/A 73514-2021.docx")</f>
        <v/>
      </c>
      <c r="X146">
        <f>HYPERLINK("https://klasma.github.io/Logging_STROMSUND/tillsyn/A 73514-2021.docx")</f>
        <v/>
      </c>
      <c r="Y146">
        <f>HYPERLINK("https://klasma.github.io/Logging_STROMSUND/tillsynsmail/A 73514-2021.docx")</f>
        <v/>
      </c>
    </row>
    <row r="147" ht="15" customHeight="1">
      <c r="A147" t="inlineStr">
        <is>
          <t>A 12019-2022</t>
        </is>
      </c>
      <c r="B147" s="1" t="n">
        <v>44635</v>
      </c>
      <c r="C147" s="1" t="n">
        <v>45172</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f>
        <v/>
      </c>
      <c r="T147">
        <f>HYPERLINK("https://klasma.github.io/Logging_STROMSUND/kartor/A 12019-2022.png")</f>
        <v/>
      </c>
      <c r="V147">
        <f>HYPERLINK("https://klasma.github.io/Logging_STROMSUND/klagomål/A 12019-2022.docx")</f>
        <v/>
      </c>
      <c r="W147">
        <f>HYPERLINK("https://klasma.github.io/Logging_STROMSUND/klagomålsmail/A 12019-2022.docx")</f>
        <v/>
      </c>
      <c r="X147">
        <f>HYPERLINK("https://klasma.github.io/Logging_STROMSUND/tillsyn/A 12019-2022.docx")</f>
        <v/>
      </c>
      <c r="Y147">
        <f>HYPERLINK("https://klasma.github.io/Logging_STROMSUND/tillsynsmail/A 12019-2022.docx")</f>
        <v/>
      </c>
    </row>
    <row r="148" ht="15" customHeight="1">
      <c r="A148" t="inlineStr">
        <is>
          <t>A 28288-2022</t>
        </is>
      </c>
      <c r="B148" s="1" t="n">
        <v>44746</v>
      </c>
      <c r="C148" s="1" t="n">
        <v>45172</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f>
        <v/>
      </c>
      <c r="T148">
        <f>HYPERLINK("https://klasma.github.io/Logging_STROMSUND/kartor/A 28288-2022.png")</f>
        <v/>
      </c>
      <c r="V148">
        <f>HYPERLINK("https://klasma.github.io/Logging_STROMSUND/klagomål/A 28288-2022.docx")</f>
        <v/>
      </c>
      <c r="W148">
        <f>HYPERLINK("https://klasma.github.io/Logging_STROMSUND/klagomålsmail/A 28288-2022.docx")</f>
        <v/>
      </c>
      <c r="X148">
        <f>HYPERLINK("https://klasma.github.io/Logging_STROMSUND/tillsyn/A 28288-2022.docx")</f>
        <v/>
      </c>
      <c r="Y148">
        <f>HYPERLINK("https://klasma.github.io/Logging_STROMSUND/tillsynsmail/A 28288-2022.docx")</f>
        <v/>
      </c>
    </row>
    <row r="149" ht="15" customHeight="1">
      <c r="A149" t="inlineStr">
        <is>
          <t>A 28492-2022</t>
        </is>
      </c>
      <c r="B149" s="1" t="n">
        <v>44747</v>
      </c>
      <c r="C149" s="1" t="n">
        <v>45172</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f>
        <v/>
      </c>
      <c r="T149">
        <f>HYPERLINK("https://klasma.github.io/Logging_STROMSUND/kartor/A 28492-2022.png")</f>
        <v/>
      </c>
      <c r="V149">
        <f>HYPERLINK("https://klasma.github.io/Logging_STROMSUND/klagomål/A 28492-2022.docx")</f>
        <v/>
      </c>
      <c r="W149">
        <f>HYPERLINK("https://klasma.github.io/Logging_STROMSUND/klagomålsmail/A 28492-2022.docx")</f>
        <v/>
      </c>
      <c r="X149">
        <f>HYPERLINK("https://klasma.github.io/Logging_STROMSUND/tillsyn/A 28492-2022.docx")</f>
        <v/>
      </c>
      <c r="Y149">
        <f>HYPERLINK("https://klasma.github.io/Logging_STROMSUND/tillsynsmail/A 28492-2022.docx")</f>
        <v/>
      </c>
    </row>
    <row r="150" ht="15" customHeight="1">
      <c r="A150" t="inlineStr">
        <is>
          <t>A 29945-2022</t>
        </is>
      </c>
      <c r="B150" s="1" t="n">
        <v>44756</v>
      </c>
      <c r="C150" s="1" t="n">
        <v>45172</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f>
        <v/>
      </c>
      <c r="T150">
        <f>HYPERLINK("https://klasma.github.io/Logging_STROMSUND/kartor/A 29945-2022.png")</f>
        <v/>
      </c>
      <c r="V150">
        <f>HYPERLINK("https://klasma.github.io/Logging_STROMSUND/klagomål/A 29945-2022.docx")</f>
        <v/>
      </c>
      <c r="W150">
        <f>HYPERLINK("https://klasma.github.io/Logging_STROMSUND/klagomålsmail/A 29945-2022.docx")</f>
        <v/>
      </c>
      <c r="X150">
        <f>HYPERLINK("https://klasma.github.io/Logging_STROMSUND/tillsyn/A 29945-2022.docx")</f>
        <v/>
      </c>
      <c r="Y150">
        <f>HYPERLINK("https://klasma.github.io/Logging_STROMSUND/tillsynsmail/A 29945-2022.docx")</f>
        <v/>
      </c>
    </row>
    <row r="151" ht="15" customHeight="1">
      <c r="A151" t="inlineStr">
        <is>
          <t>A 43161-2022</t>
        </is>
      </c>
      <c r="B151" s="1" t="n">
        <v>44833</v>
      </c>
      <c r="C151" s="1" t="n">
        <v>45172</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f>
        <v/>
      </c>
      <c r="T151">
        <f>HYPERLINK("https://klasma.github.io/Logging_STROMSUND/kartor/A 43161-2022.png")</f>
        <v/>
      </c>
      <c r="V151">
        <f>HYPERLINK("https://klasma.github.io/Logging_STROMSUND/klagomål/A 43161-2022.docx")</f>
        <v/>
      </c>
      <c r="W151">
        <f>HYPERLINK("https://klasma.github.io/Logging_STROMSUND/klagomålsmail/A 43161-2022.docx")</f>
        <v/>
      </c>
      <c r="X151">
        <f>HYPERLINK("https://klasma.github.io/Logging_STROMSUND/tillsyn/A 43161-2022.docx")</f>
        <v/>
      </c>
      <c r="Y151">
        <f>HYPERLINK("https://klasma.github.io/Logging_STROMSUND/tillsynsmail/A 43161-2022.docx")</f>
        <v/>
      </c>
    </row>
    <row r="152" ht="15" customHeight="1">
      <c r="A152" t="inlineStr">
        <is>
          <t>A 43412-2022</t>
        </is>
      </c>
      <c r="B152" s="1" t="n">
        <v>44834</v>
      </c>
      <c r="C152" s="1" t="n">
        <v>45172</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f>
        <v/>
      </c>
      <c r="T152">
        <f>HYPERLINK("https://klasma.github.io/Logging_STROMSUND/kartor/A 43412-2022.png")</f>
        <v/>
      </c>
      <c r="V152">
        <f>HYPERLINK("https://klasma.github.io/Logging_STROMSUND/klagomål/A 43412-2022.docx")</f>
        <v/>
      </c>
      <c r="W152">
        <f>HYPERLINK("https://klasma.github.io/Logging_STROMSUND/klagomålsmail/A 43412-2022.docx")</f>
        <v/>
      </c>
      <c r="X152">
        <f>HYPERLINK("https://klasma.github.io/Logging_STROMSUND/tillsyn/A 43412-2022.docx")</f>
        <v/>
      </c>
      <c r="Y152">
        <f>HYPERLINK("https://klasma.github.io/Logging_STROMSUND/tillsynsmail/A 43412-2022.docx")</f>
        <v/>
      </c>
    </row>
    <row r="153" ht="15" customHeight="1">
      <c r="A153" t="inlineStr">
        <is>
          <t>A 46988-2022</t>
        </is>
      </c>
      <c r="B153" s="1" t="n">
        <v>44851</v>
      </c>
      <c r="C153" s="1" t="n">
        <v>45172</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f>
        <v/>
      </c>
      <c r="T153">
        <f>HYPERLINK("https://klasma.github.io/Logging_STROMSUND/kartor/A 46988-2022.png")</f>
        <v/>
      </c>
      <c r="V153">
        <f>HYPERLINK("https://klasma.github.io/Logging_STROMSUND/klagomål/A 46988-2022.docx")</f>
        <v/>
      </c>
      <c r="W153">
        <f>HYPERLINK("https://klasma.github.io/Logging_STROMSUND/klagomålsmail/A 46988-2022.docx")</f>
        <v/>
      </c>
      <c r="X153">
        <f>HYPERLINK("https://klasma.github.io/Logging_STROMSUND/tillsyn/A 46988-2022.docx")</f>
        <v/>
      </c>
      <c r="Y153">
        <f>HYPERLINK("https://klasma.github.io/Logging_STROMSUND/tillsynsmail/A 46988-2022.docx")</f>
        <v/>
      </c>
    </row>
    <row r="154" ht="15" customHeight="1">
      <c r="A154" t="inlineStr">
        <is>
          <t>A 10065-2023</t>
        </is>
      </c>
      <c r="B154" s="1" t="n">
        <v>44985</v>
      </c>
      <c r="C154" s="1" t="n">
        <v>45172</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f>
        <v/>
      </c>
      <c r="T154">
        <f>HYPERLINK("https://klasma.github.io/Logging_STROMSUND/kartor/A 10065-2023.png")</f>
        <v/>
      </c>
      <c r="V154">
        <f>HYPERLINK("https://klasma.github.io/Logging_STROMSUND/klagomål/A 10065-2023.docx")</f>
        <v/>
      </c>
      <c r="W154">
        <f>HYPERLINK("https://klasma.github.io/Logging_STROMSUND/klagomålsmail/A 10065-2023.docx")</f>
        <v/>
      </c>
      <c r="X154">
        <f>HYPERLINK("https://klasma.github.io/Logging_STROMSUND/tillsyn/A 10065-2023.docx")</f>
        <v/>
      </c>
      <c r="Y154">
        <f>HYPERLINK("https://klasma.github.io/Logging_STROMSUND/tillsynsmail/A 10065-2023.docx")</f>
        <v/>
      </c>
    </row>
    <row r="155" ht="15" customHeight="1">
      <c r="A155" t="inlineStr">
        <is>
          <t>A 24836-2023</t>
        </is>
      </c>
      <c r="B155" s="1" t="n">
        <v>45084</v>
      </c>
      <c r="C155" s="1" t="n">
        <v>45172</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f>
        <v/>
      </c>
      <c r="T155">
        <f>HYPERLINK("https://klasma.github.io/Logging_STROMSUND/kartor/A 24836-2023.png")</f>
        <v/>
      </c>
      <c r="V155">
        <f>HYPERLINK("https://klasma.github.io/Logging_STROMSUND/klagomål/A 24836-2023.docx")</f>
        <v/>
      </c>
      <c r="W155">
        <f>HYPERLINK("https://klasma.github.io/Logging_STROMSUND/klagomålsmail/A 24836-2023.docx")</f>
        <v/>
      </c>
      <c r="X155">
        <f>HYPERLINK("https://klasma.github.io/Logging_STROMSUND/tillsyn/A 24836-2023.docx")</f>
        <v/>
      </c>
      <c r="Y155">
        <f>HYPERLINK("https://klasma.github.io/Logging_STROMSUND/tillsynsmail/A 24836-2023.docx")</f>
        <v/>
      </c>
    </row>
    <row r="156" ht="15" customHeight="1">
      <c r="A156" t="inlineStr">
        <is>
          <t>A 26651-2023</t>
        </is>
      </c>
      <c r="B156" s="1" t="n">
        <v>45092</v>
      </c>
      <c r="C156" s="1" t="n">
        <v>45172</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f>
        <v/>
      </c>
      <c r="T156">
        <f>HYPERLINK("https://klasma.github.io/Logging_STROMSUND/kartor/A 26651-2023.png")</f>
        <v/>
      </c>
      <c r="V156">
        <f>HYPERLINK("https://klasma.github.io/Logging_STROMSUND/klagomål/A 26651-2023.docx")</f>
        <v/>
      </c>
      <c r="W156">
        <f>HYPERLINK("https://klasma.github.io/Logging_STROMSUND/klagomålsmail/A 26651-2023.docx")</f>
        <v/>
      </c>
      <c r="X156">
        <f>HYPERLINK("https://klasma.github.io/Logging_STROMSUND/tillsyn/A 26651-2023.docx")</f>
        <v/>
      </c>
      <c r="Y156">
        <f>HYPERLINK("https://klasma.github.io/Logging_STROMSUND/tillsynsmail/A 26651-2023.docx")</f>
        <v/>
      </c>
    </row>
    <row r="157" ht="15" customHeight="1">
      <c r="A157" t="inlineStr">
        <is>
          <t>A 27686-2023</t>
        </is>
      </c>
      <c r="B157" s="1" t="n">
        <v>45097</v>
      </c>
      <c r="C157" s="1" t="n">
        <v>45172</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f>
        <v/>
      </c>
      <c r="T157">
        <f>HYPERLINK("https://klasma.github.io/Logging_STROMSUND/kartor/A 27686-2023.png")</f>
        <v/>
      </c>
      <c r="V157">
        <f>HYPERLINK("https://klasma.github.io/Logging_STROMSUND/klagomål/A 27686-2023.docx")</f>
        <v/>
      </c>
      <c r="W157">
        <f>HYPERLINK("https://klasma.github.io/Logging_STROMSUND/klagomålsmail/A 27686-2023.docx")</f>
        <v/>
      </c>
      <c r="X157">
        <f>HYPERLINK("https://klasma.github.io/Logging_STROMSUND/tillsyn/A 27686-2023.docx")</f>
        <v/>
      </c>
      <c r="Y157">
        <f>HYPERLINK("https://klasma.github.io/Logging_STROMSUND/tillsynsmail/A 27686-2023.docx")</f>
        <v/>
      </c>
    </row>
    <row r="158" ht="15" customHeight="1">
      <c r="A158" t="inlineStr">
        <is>
          <t>A 29072-2023</t>
        </is>
      </c>
      <c r="B158" s="1" t="n">
        <v>45104</v>
      </c>
      <c r="C158" s="1" t="n">
        <v>45172</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f>
        <v/>
      </c>
      <c r="T158">
        <f>HYPERLINK("https://klasma.github.io/Logging_STROMSUND/kartor/A 29072-2023.png")</f>
        <v/>
      </c>
      <c r="V158">
        <f>HYPERLINK("https://klasma.github.io/Logging_STROMSUND/klagomål/A 29072-2023.docx")</f>
        <v/>
      </c>
      <c r="W158">
        <f>HYPERLINK("https://klasma.github.io/Logging_STROMSUND/klagomålsmail/A 29072-2023.docx")</f>
        <v/>
      </c>
      <c r="X158">
        <f>HYPERLINK("https://klasma.github.io/Logging_STROMSUND/tillsyn/A 29072-2023.docx")</f>
        <v/>
      </c>
      <c r="Y158">
        <f>HYPERLINK("https://klasma.github.io/Logging_STROMSUND/tillsynsmail/A 29072-2023.docx")</f>
        <v/>
      </c>
    </row>
    <row r="159" ht="15" customHeight="1">
      <c r="A159" t="inlineStr">
        <is>
          <t>A 29606-2023</t>
        </is>
      </c>
      <c r="B159" s="1" t="n">
        <v>45106</v>
      </c>
      <c r="C159" s="1" t="n">
        <v>45172</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f>
        <v/>
      </c>
      <c r="T159">
        <f>HYPERLINK("https://klasma.github.io/Logging_STROMSUND/kartor/A 29606-2023.png")</f>
        <v/>
      </c>
      <c r="V159">
        <f>HYPERLINK("https://klasma.github.io/Logging_STROMSUND/klagomål/A 29606-2023.docx")</f>
        <v/>
      </c>
      <c r="W159">
        <f>HYPERLINK("https://klasma.github.io/Logging_STROMSUND/klagomålsmail/A 29606-2023.docx")</f>
        <v/>
      </c>
      <c r="X159">
        <f>HYPERLINK("https://klasma.github.io/Logging_STROMSUND/tillsyn/A 29606-2023.docx")</f>
        <v/>
      </c>
      <c r="Y159">
        <f>HYPERLINK("https://klasma.github.io/Logging_STROMSUND/tillsynsmail/A 29606-2023.docx")</f>
        <v/>
      </c>
    </row>
    <row r="160" ht="15" customHeight="1">
      <c r="A160" t="inlineStr">
        <is>
          <t>A 33329-2023</t>
        </is>
      </c>
      <c r="B160" s="1" t="n">
        <v>45127</v>
      </c>
      <c r="C160" s="1" t="n">
        <v>45172</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f>
        <v/>
      </c>
      <c r="T160">
        <f>HYPERLINK("https://klasma.github.io/Logging_STROMSUND/kartor/A 33329-2023.png")</f>
        <v/>
      </c>
      <c r="V160">
        <f>HYPERLINK("https://klasma.github.io/Logging_STROMSUND/klagomål/A 33329-2023.docx")</f>
        <v/>
      </c>
      <c r="W160">
        <f>HYPERLINK("https://klasma.github.io/Logging_STROMSUND/klagomålsmail/A 33329-2023.docx")</f>
        <v/>
      </c>
      <c r="X160">
        <f>HYPERLINK("https://klasma.github.io/Logging_STROMSUND/tillsyn/A 33329-2023.docx")</f>
        <v/>
      </c>
      <c r="Y160">
        <f>HYPERLINK("https://klasma.github.io/Logging_STROMSUND/tillsynsmail/A 33329-2023.docx")</f>
        <v/>
      </c>
    </row>
    <row r="161" ht="15" customHeight="1">
      <c r="A161" t="inlineStr">
        <is>
          <t>A 40107-2023</t>
        </is>
      </c>
      <c r="B161" s="1" t="n">
        <v>45168</v>
      </c>
      <c r="C161" s="1" t="n">
        <v>45172</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f>
        <v/>
      </c>
      <c r="T161">
        <f>HYPERLINK("https://klasma.github.io/Logging_STROMSUND/kartor/A 40107-2023.png")</f>
        <v/>
      </c>
      <c r="V161">
        <f>HYPERLINK("https://klasma.github.io/Logging_STROMSUND/klagomål/A 40107-2023.docx")</f>
        <v/>
      </c>
      <c r="W161">
        <f>HYPERLINK("https://klasma.github.io/Logging_STROMSUND/klagomålsmail/A 40107-2023.docx")</f>
        <v/>
      </c>
      <c r="X161">
        <f>HYPERLINK("https://klasma.github.io/Logging_STROMSUND/tillsyn/A 40107-2023.docx")</f>
        <v/>
      </c>
      <c r="Y161">
        <f>HYPERLINK("https://klasma.github.io/Logging_STROMSUND/tillsynsmail/A 40107-2023.docx")</f>
        <v/>
      </c>
    </row>
    <row r="162" ht="15" customHeight="1">
      <c r="A162" t="inlineStr">
        <is>
          <t>A 46950-2018</t>
        </is>
      </c>
      <c r="B162" s="1" t="n">
        <v>43369</v>
      </c>
      <c r="C162" s="1" t="n">
        <v>45172</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f>
        <v/>
      </c>
      <c r="T162">
        <f>HYPERLINK("https://klasma.github.io/Logging_STROMSUND/kartor/A 46950-2018.png")</f>
        <v/>
      </c>
      <c r="V162">
        <f>HYPERLINK("https://klasma.github.io/Logging_STROMSUND/klagomål/A 46950-2018.docx")</f>
        <v/>
      </c>
      <c r="W162">
        <f>HYPERLINK("https://klasma.github.io/Logging_STROMSUND/klagomålsmail/A 46950-2018.docx")</f>
        <v/>
      </c>
      <c r="X162">
        <f>HYPERLINK("https://klasma.github.io/Logging_STROMSUND/tillsyn/A 46950-2018.docx")</f>
        <v/>
      </c>
      <c r="Y162">
        <f>HYPERLINK("https://klasma.github.io/Logging_STROMSUND/tillsynsmail/A 46950-2018.docx")</f>
        <v/>
      </c>
    </row>
    <row r="163" ht="15" customHeight="1">
      <c r="A163" t="inlineStr">
        <is>
          <t>A 8266-2019</t>
        </is>
      </c>
      <c r="B163" s="1" t="n">
        <v>43501</v>
      </c>
      <c r="C163" s="1" t="n">
        <v>45172</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f>
        <v/>
      </c>
      <c r="T163">
        <f>HYPERLINK("https://klasma.github.io/Logging_STROMSUND/kartor/A 8266-2019.png")</f>
        <v/>
      </c>
      <c r="V163">
        <f>HYPERLINK("https://klasma.github.io/Logging_STROMSUND/klagomål/A 8266-2019.docx")</f>
        <v/>
      </c>
      <c r="W163">
        <f>HYPERLINK("https://klasma.github.io/Logging_STROMSUND/klagomålsmail/A 8266-2019.docx")</f>
        <v/>
      </c>
      <c r="X163">
        <f>HYPERLINK("https://klasma.github.io/Logging_STROMSUND/tillsyn/A 8266-2019.docx")</f>
        <v/>
      </c>
      <c r="Y163">
        <f>HYPERLINK("https://klasma.github.io/Logging_STROMSUND/tillsynsmail/A 8266-2019.docx")</f>
        <v/>
      </c>
    </row>
    <row r="164" ht="15" customHeight="1">
      <c r="A164" t="inlineStr">
        <is>
          <t>A 41041-2019</t>
        </is>
      </c>
      <c r="B164" s="1" t="n">
        <v>43697</v>
      </c>
      <c r="C164" s="1" t="n">
        <v>45172</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f>
        <v/>
      </c>
      <c r="T164">
        <f>HYPERLINK("https://klasma.github.io/Logging_STROMSUND/kartor/A 41041-2019.png")</f>
        <v/>
      </c>
      <c r="V164">
        <f>HYPERLINK("https://klasma.github.io/Logging_STROMSUND/klagomål/A 41041-2019.docx")</f>
        <v/>
      </c>
      <c r="W164">
        <f>HYPERLINK("https://klasma.github.io/Logging_STROMSUND/klagomålsmail/A 41041-2019.docx")</f>
        <v/>
      </c>
      <c r="X164">
        <f>HYPERLINK("https://klasma.github.io/Logging_STROMSUND/tillsyn/A 41041-2019.docx")</f>
        <v/>
      </c>
      <c r="Y164">
        <f>HYPERLINK("https://klasma.github.io/Logging_STROMSUND/tillsynsmail/A 41041-2019.docx")</f>
        <v/>
      </c>
    </row>
    <row r="165" ht="15" customHeight="1">
      <c r="A165" t="inlineStr">
        <is>
          <t>A 42067-2019</t>
        </is>
      </c>
      <c r="B165" s="1" t="n">
        <v>43700</v>
      </c>
      <c r="C165" s="1" t="n">
        <v>45172</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f>
        <v/>
      </c>
      <c r="T165">
        <f>HYPERLINK("https://klasma.github.io/Logging_STROMSUND/kartor/A 42067-2019.png")</f>
        <v/>
      </c>
      <c r="V165">
        <f>HYPERLINK("https://klasma.github.io/Logging_STROMSUND/klagomål/A 42067-2019.docx")</f>
        <v/>
      </c>
      <c r="W165">
        <f>HYPERLINK("https://klasma.github.io/Logging_STROMSUND/klagomålsmail/A 42067-2019.docx")</f>
        <v/>
      </c>
      <c r="X165">
        <f>HYPERLINK("https://klasma.github.io/Logging_STROMSUND/tillsyn/A 42067-2019.docx")</f>
        <v/>
      </c>
      <c r="Y165">
        <f>HYPERLINK("https://klasma.github.io/Logging_STROMSUND/tillsynsmail/A 42067-2019.docx")</f>
        <v/>
      </c>
    </row>
    <row r="166" ht="15" customHeight="1">
      <c r="A166" t="inlineStr">
        <is>
          <t>A 44014-2019</t>
        </is>
      </c>
      <c r="B166" s="1" t="n">
        <v>43709</v>
      </c>
      <c r="C166" s="1" t="n">
        <v>45172</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f>
        <v/>
      </c>
      <c r="T166">
        <f>HYPERLINK("https://klasma.github.io/Logging_STROMSUND/kartor/A 44014-2019.png")</f>
        <v/>
      </c>
      <c r="V166">
        <f>HYPERLINK("https://klasma.github.io/Logging_STROMSUND/klagomål/A 44014-2019.docx")</f>
        <v/>
      </c>
      <c r="W166">
        <f>HYPERLINK("https://klasma.github.io/Logging_STROMSUND/klagomålsmail/A 44014-2019.docx")</f>
        <v/>
      </c>
      <c r="X166">
        <f>HYPERLINK("https://klasma.github.io/Logging_STROMSUND/tillsyn/A 44014-2019.docx")</f>
        <v/>
      </c>
      <c r="Y166">
        <f>HYPERLINK("https://klasma.github.io/Logging_STROMSUND/tillsynsmail/A 44014-2019.docx")</f>
        <v/>
      </c>
    </row>
    <row r="167" ht="15" customHeight="1">
      <c r="A167" t="inlineStr">
        <is>
          <t>A 6884-2020</t>
        </is>
      </c>
      <c r="B167" s="1" t="n">
        <v>43867</v>
      </c>
      <c r="C167" s="1" t="n">
        <v>45172</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f>
        <v/>
      </c>
      <c r="T167">
        <f>HYPERLINK("https://klasma.github.io/Logging_STROMSUND/kartor/A 6884-2020.png")</f>
        <v/>
      </c>
      <c r="V167">
        <f>HYPERLINK("https://klasma.github.io/Logging_STROMSUND/klagomål/A 6884-2020.docx")</f>
        <v/>
      </c>
      <c r="W167">
        <f>HYPERLINK("https://klasma.github.io/Logging_STROMSUND/klagomålsmail/A 6884-2020.docx")</f>
        <v/>
      </c>
      <c r="X167">
        <f>HYPERLINK("https://klasma.github.io/Logging_STROMSUND/tillsyn/A 6884-2020.docx")</f>
        <v/>
      </c>
      <c r="Y167">
        <f>HYPERLINK("https://klasma.github.io/Logging_STROMSUND/tillsynsmail/A 6884-2020.docx")</f>
        <v/>
      </c>
    </row>
    <row r="168" ht="15" customHeight="1">
      <c r="A168" t="inlineStr">
        <is>
          <t>A 32091-2020</t>
        </is>
      </c>
      <c r="B168" s="1" t="n">
        <v>44015</v>
      </c>
      <c r="C168" s="1" t="n">
        <v>45172</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f>
        <v/>
      </c>
      <c r="T168">
        <f>HYPERLINK("https://klasma.github.io/Logging_STROMSUND/kartor/A 32091-2020.png")</f>
        <v/>
      </c>
      <c r="V168">
        <f>HYPERLINK("https://klasma.github.io/Logging_STROMSUND/klagomål/A 32091-2020.docx")</f>
        <v/>
      </c>
      <c r="W168">
        <f>HYPERLINK("https://klasma.github.io/Logging_STROMSUND/klagomålsmail/A 32091-2020.docx")</f>
        <v/>
      </c>
      <c r="X168">
        <f>HYPERLINK("https://klasma.github.io/Logging_STROMSUND/tillsyn/A 32091-2020.docx")</f>
        <v/>
      </c>
      <c r="Y168">
        <f>HYPERLINK("https://klasma.github.io/Logging_STROMSUND/tillsynsmail/A 32091-2020.docx")</f>
        <v/>
      </c>
    </row>
    <row r="169" ht="15" customHeight="1">
      <c r="A169" t="inlineStr">
        <is>
          <t>A 36883-2020</t>
        </is>
      </c>
      <c r="B169" s="1" t="n">
        <v>44053</v>
      </c>
      <c r="C169" s="1" t="n">
        <v>45172</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f>
        <v/>
      </c>
      <c r="T169">
        <f>HYPERLINK("https://klasma.github.io/Logging_STROMSUND/kartor/A 36883-2020.png")</f>
        <v/>
      </c>
      <c r="V169">
        <f>HYPERLINK("https://klasma.github.io/Logging_STROMSUND/klagomål/A 36883-2020.docx")</f>
        <v/>
      </c>
      <c r="W169">
        <f>HYPERLINK("https://klasma.github.io/Logging_STROMSUND/klagomålsmail/A 36883-2020.docx")</f>
        <v/>
      </c>
      <c r="X169">
        <f>HYPERLINK("https://klasma.github.io/Logging_STROMSUND/tillsyn/A 36883-2020.docx")</f>
        <v/>
      </c>
      <c r="Y169">
        <f>HYPERLINK("https://klasma.github.io/Logging_STROMSUND/tillsynsmail/A 36883-2020.docx")</f>
        <v/>
      </c>
    </row>
    <row r="170" ht="15" customHeight="1">
      <c r="A170" t="inlineStr">
        <is>
          <t>A 39356-2020</t>
        </is>
      </c>
      <c r="B170" s="1" t="n">
        <v>44063</v>
      </c>
      <c r="C170" s="1" t="n">
        <v>45172</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f>
        <v/>
      </c>
      <c r="T170">
        <f>HYPERLINK("https://klasma.github.io/Logging_STROMSUND/kartor/A 39356-2020.png")</f>
        <v/>
      </c>
      <c r="V170">
        <f>HYPERLINK("https://klasma.github.io/Logging_STROMSUND/klagomål/A 39356-2020.docx")</f>
        <v/>
      </c>
      <c r="W170">
        <f>HYPERLINK("https://klasma.github.io/Logging_STROMSUND/klagomålsmail/A 39356-2020.docx")</f>
        <v/>
      </c>
      <c r="X170">
        <f>HYPERLINK("https://klasma.github.io/Logging_STROMSUND/tillsyn/A 39356-2020.docx")</f>
        <v/>
      </c>
      <c r="Y170">
        <f>HYPERLINK("https://klasma.github.io/Logging_STROMSUND/tillsynsmail/A 39356-2020.docx")</f>
        <v/>
      </c>
    </row>
    <row r="171" ht="15" customHeight="1">
      <c r="A171" t="inlineStr">
        <is>
          <t>A 55641-2020</t>
        </is>
      </c>
      <c r="B171" s="1" t="n">
        <v>44131</v>
      </c>
      <c r="C171" s="1" t="n">
        <v>45172</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f>
        <v/>
      </c>
      <c r="T171">
        <f>HYPERLINK("https://klasma.github.io/Logging_STROMSUND/kartor/A 55641-2020.png")</f>
        <v/>
      </c>
      <c r="V171">
        <f>HYPERLINK("https://klasma.github.io/Logging_STROMSUND/klagomål/A 55641-2020.docx")</f>
        <v/>
      </c>
      <c r="W171">
        <f>HYPERLINK("https://klasma.github.io/Logging_STROMSUND/klagomålsmail/A 55641-2020.docx")</f>
        <v/>
      </c>
      <c r="X171">
        <f>HYPERLINK("https://klasma.github.io/Logging_STROMSUND/tillsyn/A 55641-2020.docx")</f>
        <v/>
      </c>
      <c r="Y171">
        <f>HYPERLINK("https://klasma.github.io/Logging_STROMSUND/tillsynsmail/A 55641-2020.docx")</f>
        <v/>
      </c>
    </row>
    <row r="172" ht="15" customHeight="1">
      <c r="A172" t="inlineStr">
        <is>
          <t>A 58228-2020</t>
        </is>
      </c>
      <c r="B172" s="1" t="n">
        <v>44144</v>
      </c>
      <c r="C172" s="1" t="n">
        <v>45172</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f>
        <v/>
      </c>
      <c r="T172">
        <f>HYPERLINK("https://klasma.github.io/Logging_STROMSUND/kartor/A 58228-2020.png")</f>
        <v/>
      </c>
      <c r="V172">
        <f>HYPERLINK("https://klasma.github.io/Logging_STROMSUND/klagomål/A 58228-2020.docx")</f>
        <v/>
      </c>
      <c r="W172">
        <f>HYPERLINK("https://klasma.github.io/Logging_STROMSUND/klagomålsmail/A 58228-2020.docx")</f>
        <v/>
      </c>
      <c r="X172">
        <f>HYPERLINK("https://klasma.github.io/Logging_STROMSUND/tillsyn/A 58228-2020.docx")</f>
        <v/>
      </c>
      <c r="Y172">
        <f>HYPERLINK("https://klasma.github.io/Logging_STROMSUND/tillsynsmail/A 58228-2020.docx")</f>
        <v/>
      </c>
    </row>
    <row r="173" ht="15" customHeight="1">
      <c r="A173" t="inlineStr">
        <is>
          <t>A 60116-2020</t>
        </is>
      </c>
      <c r="B173" s="1" t="n">
        <v>44151</v>
      </c>
      <c r="C173" s="1" t="n">
        <v>45172</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f>
        <v/>
      </c>
      <c r="T173">
        <f>HYPERLINK("https://klasma.github.io/Logging_STROMSUND/kartor/A 60116-2020.png")</f>
        <v/>
      </c>
      <c r="V173">
        <f>HYPERLINK("https://klasma.github.io/Logging_STROMSUND/klagomål/A 60116-2020.docx")</f>
        <v/>
      </c>
      <c r="W173">
        <f>HYPERLINK("https://klasma.github.io/Logging_STROMSUND/klagomålsmail/A 60116-2020.docx")</f>
        <v/>
      </c>
      <c r="X173">
        <f>HYPERLINK("https://klasma.github.io/Logging_STROMSUND/tillsyn/A 60116-2020.docx")</f>
        <v/>
      </c>
      <c r="Y173">
        <f>HYPERLINK("https://klasma.github.io/Logging_STROMSUND/tillsynsmail/A 60116-2020.docx")</f>
        <v/>
      </c>
    </row>
    <row r="174" ht="15" customHeight="1">
      <c r="A174" t="inlineStr">
        <is>
          <t>A 66707-2020</t>
        </is>
      </c>
      <c r="B174" s="1" t="n">
        <v>44179</v>
      </c>
      <c r="C174" s="1" t="n">
        <v>45172</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f>
        <v/>
      </c>
      <c r="T174">
        <f>HYPERLINK("https://klasma.github.io/Logging_STROMSUND/kartor/A 66707-2020.png")</f>
        <v/>
      </c>
      <c r="V174">
        <f>HYPERLINK("https://klasma.github.io/Logging_STROMSUND/klagomål/A 66707-2020.docx")</f>
        <v/>
      </c>
      <c r="W174">
        <f>HYPERLINK("https://klasma.github.io/Logging_STROMSUND/klagomålsmail/A 66707-2020.docx")</f>
        <v/>
      </c>
      <c r="X174">
        <f>HYPERLINK("https://klasma.github.io/Logging_STROMSUND/tillsyn/A 66707-2020.docx")</f>
        <v/>
      </c>
      <c r="Y174">
        <f>HYPERLINK("https://klasma.github.io/Logging_STROMSUND/tillsynsmail/A 66707-2020.docx")</f>
        <v/>
      </c>
    </row>
    <row r="175" ht="15" customHeight="1">
      <c r="A175" t="inlineStr">
        <is>
          <t>A 68530-2020</t>
        </is>
      </c>
      <c r="B175" s="1" t="n">
        <v>44186</v>
      </c>
      <c r="C175" s="1" t="n">
        <v>45172</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f>
        <v/>
      </c>
      <c r="T175">
        <f>HYPERLINK("https://klasma.github.io/Logging_STROMSUND/kartor/A 68530-2020.png")</f>
        <v/>
      </c>
      <c r="V175">
        <f>HYPERLINK("https://klasma.github.io/Logging_STROMSUND/klagomål/A 68530-2020.docx")</f>
        <v/>
      </c>
      <c r="W175">
        <f>HYPERLINK("https://klasma.github.io/Logging_STROMSUND/klagomålsmail/A 68530-2020.docx")</f>
        <v/>
      </c>
      <c r="X175">
        <f>HYPERLINK("https://klasma.github.io/Logging_STROMSUND/tillsyn/A 68530-2020.docx")</f>
        <v/>
      </c>
      <c r="Y175">
        <f>HYPERLINK("https://klasma.github.io/Logging_STROMSUND/tillsynsmail/A 68530-2020.docx")</f>
        <v/>
      </c>
    </row>
    <row r="176" ht="15" customHeight="1">
      <c r="A176" t="inlineStr">
        <is>
          <t>A 22526-2021</t>
        </is>
      </c>
      <c r="B176" s="1" t="n">
        <v>44326</v>
      </c>
      <c r="C176" s="1" t="n">
        <v>45172</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f>
        <v/>
      </c>
      <c r="T176">
        <f>HYPERLINK("https://klasma.github.io/Logging_STROMSUND/kartor/A 22526-2021.png")</f>
        <v/>
      </c>
      <c r="V176">
        <f>HYPERLINK("https://klasma.github.io/Logging_STROMSUND/klagomål/A 22526-2021.docx")</f>
        <v/>
      </c>
      <c r="W176">
        <f>HYPERLINK("https://klasma.github.io/Logging_STROMSUND/klagomålsmail/A 22526-2021.docx")</f>
        <v/>
      </c>
      <c r="X176">
        <f>HYPERLINK("https://klasma.github.io/Logging_STROMSUND/tillsyn/A 22526-2021.docx")</f>
        <v/>
      </c>
      <c r="Y176">
        <f>HYPERLINK("https://klasma.github.io/Logging_STROMSUND/tillsynsmail/A 22526-2021.docx")</f>
        <v/>
      </c>
    </row>
    <row r="177" ht="15" customHeight="1">
      <c r="A177" t="inlineStr">
        <is>
          <t>A 26152-2021</t>
        </is>
      </c>
      <c r="B177" s="1" t="n">
        <v>44346</v>
      </c>
      <c r="C177" s="1" t="n">
        <v>45172</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f>
        <v/>
      </c>
      <c r="T177">
        <f>HYPERLINK("https://klasma.github.io/Logging_STROMSUND/kartor/A 26152-2021.png")</f>
        <v/>
      </c>
      <c r="V177">
        <f>HYPERLINK("https://klasma.github.io/Logging_STROMSUND/klagomål/A 26152-2021.docx")</f>
        <v/>
      </c>
      <c r="W177">
        <f>HYPERLINK("https://klasma.github.io/Logging_STROMSUND/klagomålsmail/A 26152-2021.docx")</f>
        <v/>
      </c>
      <c r="X177">
        <f>HYPERLINK("https://klasma.github.io/Logging_STROMSUND/tillsyn/A 26152-2021.docx")</f>
        <v/>
      </c>
      <c r="Y177">
        <f>HYPERLINK("https://klasma.github.io/Logging_STROMSUND/tillsynsmail/A 26152-2021.docx")</f>
        <v/>
      </c>
    </row>
    <row r="178" ht="15" customHeight="1">
      <c r="A178" t="inlineStr">
        <is>
          <t>A 33544-2021</t>
        </is>
      </c>
      <c r="B178" s="1" t="n">
        <v>44377</v>
      </c>
      <c r="C178" s="1" t="n">
        <v>45172</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f>
        <v/>
      </c>
      <c r="T178">
        <f>HYPERLINK("https://klasma.github.io/Logging_STROMSUND/kartor/A 33544-2021.png")</f>
        <v/>
      </c>
      <c r="V178">
        <f>HYPERLINK("https://klasma.github.io/Logging_STROMSUND/klagomål/A 33544-2021.docx")</f>
        <v/>
      </c>
      <c r="W178">
        <f>HYPERLINK("https://klasma.github.io/Logging_STROMSUND/klagomålsmail/A 33544-2021.docx")</f>
        <v/>
      </c>
      <c r="X178">
        <f>HYPERLINK("https://klasma.github.io/Logging_STROMSUND/tillsyn/A 33544-2021.docx")</f>
        <v/>
      </c>
      <c r="Y178">
        <f>HYPERLINK("https://klasma.github.io/Logging_STROMSUND/tillsynsmail/A 33544-2021.docx")</f>
        <v/>
      </c>
    </row>
    <row r="179" ht="15" customHeight="1">
      <c r="A179" t="inlineStr">
        <is>
          <t>A 42239-2021</t>
        </is>
      </c>
      <c r="B179" s="1" t="n">
        <v>44426</v>
      </c>
      <c r="C179" s="1" t="n">
        <v>45172</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f>
        <v/>
      </c>
      <c r="T179">
        <f>HYPERLINK("https://klasma.github.io/Logging_STROMSUND/kartor/A 42239-2021.png")</f>
        <v/>
      </c>
      <c r="V179">
        <f>HYPERLINK("https://klasma.github.io/Logging_STROMSUND/klagomål/A 42239-2021.docx")</f>
        <v/>
      </c>
      <c r="W179">
        <f>HYPERLINK("https://klasma.github.io/Logging_STROMSUND/klagomålsmail/A 42239-2021.docx")</f>
        <v/>
      </c>
      <c r="X179">
        <f>HYPERLINK("https://klasma.github.io/Logging_STROMSUND/tillsyn/A 42239-2021.docx")</f>
        <v/>
      </c>
      <c r="Y179">
        <f>HYPERLINK("https://klasma.github.io/Logging_STROMSUND/tillsynsmail/A 42239-2021.docx")</f>
        <v/>
      </c>
    </row>
    <row r="180" ht="15" customHeight="1">
      <c r="A180" t="inlineStr">
        <is>
          <t>A 43845-2021</t>
        </is>
      </c>
      <c r="B180" s="1" t="n">
        <v>44433</v>
      </c>
      <c r="C180" s="1" t="n">
        <v>45172</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f>
        <v/>
      </c>
      <c r="T180">
        <f>HYPERLINK("https://klasma.github.io/Logging_STROMSUND/kartor/A 43845-2021.png")</f>
        <v/>
      </c>
      <c r="V180">
        <f>HYPERLINK("https://klasma.github.io/Logging_STROMSUND/klagomål/A 43845-2021.docx")</f>
        <v/>
      </c>
      <c r="W180">
        <f>HYPERLINK("https://klasma.github.io/Logging_STROMSUND/klagomålsmail/A 43845-2021.docx")</f>
        <v/>
      </c>
      <c r="X180">
        <f>HYPERLINK("https://klasma.github.io/Logging_STROMSUND/tillsyn/A 43845-2021.docx")</f>
        <v/>
      </c>
      <c r="Y180">
        <f>HYPERLINK("https://klasma.github.io/Logging_STROMSUND/tillsynsmail/A 43845-2021.docx")</f>
        <v/>
      </c>
    </row>
    <row r="181" ht="15" customHeight="1">
      <c r="A181" t="inlineStr">
        <is>
          <t>A 44604-2021</t>
        </is>
      </c>
      <c r="B181" s="1" t="n">
        <v>44435</v>
      </c>
      <c r="C181" s="1" t="n">
        <v>45172</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f>
        <v/>
      </c>
      <c r="T181">
        <f>HYPERLINK("https://klasma.github.io/Logging_STROMSUND/kartor/A 44604-2021.png")</f>
        <v/>
      </c>
      <c r="V181">
        <f>HYPERLINK("https://klasma.github.io/Logging_STROMSUND/klagomål/A 44604-2021.docx")</f>
        <v/>
      </c>
      <c r="W181">
        <f>HYPERLINK("https://klasma.github.io/Logging_STROMSUND/klagomålsmail/A 44604-2021.docx")</f>
        <v/>
      </c>
      <c r="X181">
        <f>HYPERLINK("https://klasma.github.io/Logging_STROMSUND/tillsyn/A 44604-2021.docx")</f>
        <v/>
      </c>
      <c r="Y181">
        <f>HYPERLINK("https://klasma.github.io/Logging_STROMSUND/tillsynsmail/A 44604-2021.docx")</f>
        <v/>
      </c>
    </row>
    <row r="182" ht="15" customHeight="1">
      <c r="A182" t="inlineStr">
        <is>
          <t>A 44773-2021</t>
        </is>
      </c>
      <c r="B182" s="1" t="n">
        <v>44438</v>
      </c>
      <c r="C182" s="1" t="n">
        <v>45172</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f>
        <v/>
      </c>
      <c r="T182">
        <f>HYPERLINK("https://klasma.github.io/Logging_STROMSUND/kartor/A 44773-2021.png")</f>
        <v/>
      </c>
      <c r="V182">
        <f>HYPERLINK("https://klasma.github.io/Logging_STROMSUND/klagomål/A 44773-2021.docx")</f>
        <v/>
      </c>
      <c r="W182">
        <f>HYPERLINK("https://klasma.github.io/Logging_STROMSUND/klagomålsmail/A 44773-2021.docx")</f>
        <v/>
      </c>
      <c r="X182">
        <f>HYPERLINK("https://klasma.github.io/Logging_STROMSUND/tillsyn/A 44773-2021.docx")</f>
        <v/>
      </c>
      <c r="Y182">
        <f>HYPERLINK("https://klasma.github.io/Logging_STROMSUND/tillsynsmail/A 44773-2021.docx")</f>
        <v/>
      </c>
    </row>
    <row r="183" ht="15" customHeight="1">
      <c r="A183" t="inlineStr">
        <is>
          <t>A 45633-2021</t>
        </is>
      </c>
      <c r="B183" s="1" t="n">
        <v>44440</v>
      </c>
      <c r="C183" s="1" t="n">
        <v>45172</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f>
        <v/>
      </c>
      <c r="T183">
        <f>HYPERLINK("https://klasma.github.io/Logging_STROMSUND/kartor/A 45633-2021.png")</f>
        <v/>
      </c>
      <c r="V183">
        <f>HYPERLINK("https://klasma.github.io/Logging_STROMSUND/klagomål/A 45633-2021.docx")</f>
        <v/>
      </c>
      <c r="W183">
        <f>HYPERLINK("https://klasma.github.io/Logging_STROMSUND/klagomålsmail/A 45633-2021.docx")</f>
        <v/>
      </c>
      <c r="X183">
        <f>HYPERLINK("https://klasma.github.io/Logging_STROMSUND/tillsyn/A 45633-2021.docx")</f>
        <v/>
      </c>
      <c r="Y183">
        <f>HYPERLINK("https://klasma.github.io/Logging_STROMSUND/tillsynsmail/A 45633-2021.docx")</f>
        <v/>
      </c>
    </row>
    <row r="184" ht="15" customHeight="1">
      <c r="A184" t="inlineStr">
        <is>
          <t>A 47937-2021</t>
        </is>
      </c>
      <c r="B184" s="1" t="n">
        <v>44448</v>
      </c>
      <c r="C184" s="1" t="n">
        <v>45172</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f>
        <v/>
      </c>
      <c r="T184">
        <f>HYPERLINK("https://klasma.github.io/Logging_STROMSUND/kartor/A 47937-2021.png")</f>
        <v/>
      </c>
      <c r="U184">
        <f>HYPERLINK("https://klasma.github.io/Logging_STROMSUND/knärot/A 47937-2021.png")</f>
        <v/>
      </c>
      <c r="V184">
        <f>HYPERLINK("https://klasma.github.io/Logging_STROMSUND/klagomål/A 47937-2021.docx")</f>
        <v/>
      </c>
      <c r="W184">
        <f>HYPERLINK("https://klasma.github.io/Logging_STROMSUND/klagomålsmail/A 47937-2021.docx")</f>
        <v/>
      </c>
      <c r="X184">
        <f>HYPERLINK("https://klasma.github.io/Logging_STROMSUND/tillsyn/A 47937-2021.docx")</f>
        <v/>
      </c>
      <c r="Y184">
        <f>HYPERLINK("https://klasma.github.io/Logging_STROMSUND/tillsynsmail/A 47937-2021.docx")</f>
        <v/>
      </c>
    </row>
    <row r="185" ht="15" customHeight="1">
      <c r="A185" t="inlineStr">
        <is>
          <t>A 61440-2021</t>
        </is>
      </c>
      <c r="B185" s="1" t="n">
        <v>44500</v>
      </c>
      <c r="C185" s="1" t="n">
        <v>45172</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f>
        <v/>
      </c>
      <c r="T185">
        <f>HYPERLINK("https://klasma.github.io/Logging_STROMSUND/kartor/A 61440-2021.png")</f>
        <v/>
      </c>
      <c r="V185">
        <f>HYPERLINK("https://klasma.github.io/Logging_STROMSUND/klagomål/A 61440-2021.docx")</f>
        <v/>
      </c>
      <c r="W185">
        <f>HYPERLINK("https://klasma.github.io/Logging_STROMSUND/klagomålsmail/A 61440-2021.docx")</f>
        <v/>
      </c>
      <c r="X185">
        <f>HYPERLINK("https://klasma.github.io/Logging_STROMSUND/tillsyn/A 61440-2021.docx")</f>
        <v/>
      </c>
      <c r="Y185">
        <f>HYPERLINK("https://klasma.github.io/Logging_STROMSUND/tillsynsmail/A 61440-2021.docx")</f>
        <v/>
      </c>
    </row>
    <row r="186" ht="15" customHeight="1">
      <c r="A186" t="inlineStr">
        <is>
          <t>A 63532-2021</t>
        </is>
      </c>
      <c r="B186" s="1" t="n">
        <v>44504</v>
      </c>
      <c r="C186" s="1" t="n">
        <v>45172</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f>
        <v/>
      </c>
      <c r="T186">
        <f>HYPERLINK("https://klasma.github.io/Logging_STROMSUND/kartor/A 63532-2021.png")</f>
        <v/>
      </c>
      <c r="V186">
        <f>HYPERLINK("https://klasma.github.io/Logging_STROMSUND/klagomål/A 63532-2021.docx")</f>
        <v/>
      </c>
      <c r="W186">
        <f>HYPERLINK("https://klasma.github.io/Logging_STROMSUND/klagomålsmail/A 63532-2021.docx")</f>
        <v/>
      </c>
      <c r="X186">
        <f>HYPERLINK("https://klasma.github.io/Logging_STROMSUND/tillsyn/A 63532-2021.docx")</f>
        <v/>
      </c>
      <c r="Y186">
        <f>HYPERLINK("https://klasma.github.io/Logging_STROMSUND/tillsynsmail/A 63532-2021.docx")</f>
        <v/>
      </c>
    </row>
    <row r="187" ht="15" customHeight="1">
      <c r="A187" t="inlineStr">
        <is>
          <t>A 69811-2021</t>
        </is>
      </c>
      <c r="B187" s="1" t="n">
        <v>44532</v>
      </c>
      <c r="C187" s="1" t="n">
        <v>45172</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f>
        <v/>
      </c>
      <c r="T187">
        <f>HYPERLINK("https://klasma.github.io/Logging_STROMSUND/kartor/A 69811-2021.png")</f>
        <v/>
      </c>
      <c r="V187">
        <f>HYPERLINK("https://klasma.github.io/Logging_STROMSUND/klagomål/A 69811-2021.docx")</f>
        <v/>
      </c>
      <c r="W187">
        <f>HYPERLINK("https://klasma.github.io/Logging_STROMSUND/klagomålsmail/A 69811-2021.docx")</f>
        <v/>
      </c>
      <c r="X187">
        <f>HYPERLINK("https://klasma.github.io/Logging_STROMSUND/tillsyn/A 69811-2021.docx")</f>
        <v/>
      </c>
      <c r="Y187">
        <f>HYPERLINK("https://klasma.github.io/Logging_STROMSUND/tillsynsmail/A 69811-2021.docx")</f>
        <v/>
      </c>
    </row>
    <row r="188" ht="15" customHeight="1">
      <c r="A188" t="inlineStr">
        <is>
          <t>A 6334-2022</t>
        </is>
      </c>
      <c r="B188" s="1" t="n">
        <v>44600</v>
      </c>
      <c r="C188" s="1" t="n">
        <v>45172</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f>
        <v/>
      </c>
      <c r="T188">
        <f>HYPERLINK("https://klasma.github.io/Logging_STROMSUND/kartor/A 6334-2022.png")</f>
        <v/>
      </c>
      <c r="V188">
        <f>HYPERLINK("https://klasma.github.io/Logging_STROMSUND/klagomål/A 6334-2022.docx")</f>
        <v/>
      </c>
      <c r="W188">
        <f>HYPERLINK("https://klasma.github.io/Logging_STROMSUND/klagomålsmail/A 6334-2022.docx")</f>
        <v/>
      </c>
      <c r="X188">
        <f>HYPERLINK("https://klasma.github.io/Logging_STROMSUND/tillsyn/A 6334-2022.docx")</f>
        <v/>
      </c>
      <c r="Y188">
        <f>HYPERLINK("https://klasma.github.io/Logging_STROMSUND/tillsynsmail/A 6334-2022.docx")</f>
        <v/>
      </c>
    </row>
    <row r="189" ht="15" customHeight="1">
      <c r="A189" t="inlineStr">
        <is>
          <t>A 9363-2022</t>
        </is>
      </c>
      <c r="B189" s="1" t="n">
        <v>44616</v>
      </c>
      <c r="C189" s="1" t="n">
        <v>45172</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f>
        <v/>
      </c>
      <c r="T189">
        <f>HYPERLINK("https://klasma.github.io/Logging_STROMSUND/kartor/A 9363-2022.png")</f>
        <v/>
      </c>
      <c r="V189">
        <f>HYPERLINK("https://klasma.github.io/Logging_STROMSUND/klagomål/A 9363-2022.docx")</f>
        <v/>
      </c>
      <c r="W189">
        <f>HYPERLINK("https://klasma.github.io/Logging_STROMSUND/klagomålsmail/A 9363-2022.docx")</f>
        <v/>
      </c>
      <c r="X189">
        <f>HYPERLINK("https://klasma.github.io/Logging_STROMSUND/tillsyn/A 9363-2022.docx")</f>
        <v/>
      </c>
      <c r="Y189">
        <f>HYPERLINK("https://klasma.github.io/Logging_STROMSUND/tillsynsmail/A 9363-2022.docx")</f>
        <v/>
      </c>
    </row>
    <row r="190" ht="15" customHeight="1">
      <c r="A190" t="inlineStr">
        <is>
          <t>A 25014-2022</t>
        </is>
      </c>
      <c r="B190" s="1" t="n">
        <v>44728</v>
      </c>
      <c r="C190" s="1" t="n">
        <v>45172</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f>
        <v/>
      </c>
      <c r="T190">
        <f>HYPERLINK("https://klasma.github.io/Logging_STROMSUND/kartor/A 25014-2022.png")</f>
        <v/>
      </c>
      <c r="V190">
        <f>HYPERLINK("https://klasma.github.io/Logging_STROMSUND/klagomål/A 25014-2022.docx")</f>
        <v/>
      </c>
      <c r="W190">
        <f>HYPERLINK("https://klasma.github.io/Logging_STROMSUND/klagomålsmail/A 25014-2022.docx")</f>
        <v/>
      </c>
      <c r="X190">
        <f>HYPERLINK("https://klasma.github.io/Logging_STROMSUND/tillsyn/A 25014-2022.docx")</f>
        <v/>
      </c>
      <c r="Y190">
        <f>HYPERLINK("https://klasma.github.io/Logging_STROMSUND/tillsynsmail/A 25014-2022.docx")</f>
        <v/>
      </c>
    </row>
    <row r="191" ht="15" customHeight="1">
      <c r="A191" t="inlineStr">
        <is>
          <t>A 29301-2022</t>
        </is>
      </c>
      <c r="B191" s="1" t="n">
        <v>44750</v>
      </c>
      <c r="C191" s="1" t="n">
        <v>45172</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f>
        <v/>
      </c>
      <c r="T191">
        <f>HYPERLINK("https://klasma.github.io/Logging_STROMSUND/kartor/A 29301-2022.png")</f>
        <v/>
      </c>
      <c r="V191">
        <f>HYPERLINK("https://klasma.github.io/Logging_STROMSUND/klagomål/A 29301-2022.docx")</f>
        <v/>
      </c>
      <c r="W191">
        <f>HYPERLINK("https://klasma.github.io/Logging_STROMSUND/klagomålsmail/A 29301-2022.docx")</f>
        <v/>
      </c>
      <c r="X191">
        <f>HYPERLINK("https://klasma.github.io/Logging_STROMSUND/tillsyn/A 29301-2022.docx")</f>
        <v/>
      </c>
      <c r="Y191">
        <f>HYPERLINK("https://klasma.github.io/Logging_STROMSUND/tillsynsmail/A 29301-2022.docx")</f>
        <v/>
      </c>
    </row>
    <row r="192" ht="15" customHeight="1">
      <c r="A192" t="inlineStr">
        <is>
          <t>A 29302-2022</t>
        </is>
      </c>
      <c r="B192" s="1" t="n">
        <v>44750</v>
      </c>
      <c r="C192" s="1" t="n">
        <v>45172</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f>
        <v/>
      </c>
      <c r="T192">
        <f>HYPERLINK("https://klasma.github.io/Logging_STROMSUND/kartor/A 29302-2022.png")</f>
        <v/>
      </c>
      <c r="V192">
        <f>HYPERLINK("https://klasma.github.io/Logging_STROMSUND/klagomål/A 29302-2022.docx")</f>
        <v/>
      </c>
      <c r="W192">
        <f>HYPERLINK("https://klasma.github.io/Logging_STROMSUND/klagomålsmail/A 29302-2022.docx")</f>
        <v/>
      </c>
      <c r="X192">
        <f>HYPERLINK("https://klasma.github.io/Logging_STROMSUND/tillsyn/A 29302-2022.docx")</f>
        <v/>
      </c>
      <c r="Y192">
        <f>HYPERLINK("https://klasma.github.io/Logging_STROMSUND/tillsynsmail/A 29302-2022.docx")</f>
        <v/>
      </c>
    </row>
    <row r="193" ht="15" customHeight="1">
      <c r="A193" t="inlineStr">
        <is>
          <t>A 35994-2022</t>
        </is>
      </c>
      <c r="B193" s="1" t="n">
        <v>44802</v>
      </c>
      <c r="C193" s="1" t="n">
        <v>45172</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f>
        <v/>
      </c>
      <c r="T193">
        <f>HYPERLINK("https://klasma.github.io/Logging_STROMSUND/kartor/A 35994-2022.png")</f>
        <v/>
      </c>
      <c r="V193">
        <f>HYPERLINK("https://klasma.github.io/Logging_STROMSUND/klagomål/A 35994-2022.docx")</f>
        <v/>
      </c>
      <c r="W193">
        <f>HYPERLINK("https://klasma.github.io/Logging_STROMSUND/klagomålsmail/A 35994-2022.docx")</f>
        <v/>
      </c>
      <c r="X193">
        <f>HYPERLINK("https://klasma.github.io/Logging_STROMSUND/tillsyn/A 35994-2022.docx")</f>
        <v/>
      </c>
      <c r="Y193">
        <f>HYPERLINK("https://klasma.github.io/Logging_STROMSUND/tillsynsmail/A 35994-2022.docx")</f>
        <v/>
      </c>
    </row>
    <row r="194" ht="15" customHeight="1">
      <c r="A194" t="inlineStr">
        <is>
          <t>A 36376-2022</t>
        </is>
      </c>
      <c r="B194" s="1" t="n">
        <v>44803</v>
      </c>
      <c r="C194" s="1" t="n">
        <v>45172</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f>
        <v/>
      </c>
      <c r="T194">
        <f>HYPERLINK("https://klasma.github.io/Logging_STROMSUND/kartor/A 36376-2022.png")</f>
        <v/>
      </c>
      <c r="V194">
        <f>HYPERLINK("https://klasma.github.io/Logging_STROMSUND/klagomål/A 36376-2022.docx")</f>
        <v/>
      </c>
      <c r="W194">
        <f>HYPERLINK("https://klasma.github.io/Logging_STROMSUND/klagomålsmail/A 36376-2022.docx")</f>
        <v/>
      </c>
      <c r="X194">
        <f>HYPERLINK("https://klasma.github.io/Logging_STROMSUND/tillsyn/A 36376-2022.docx")</f>
        <v/>
      </c>
      <c r="Y194">
        <f>HYPERLINK("https://klasma.github.io/Logging_STROMSUND/tillsynsmail/A 36376-2022.docx")</f>
        <v/>
      </c>
    </row>
    <row r="195" ht="15" customHeight="1">
      <c r="A195" t="inlineStr">
        <is>
          <t>A 37786-2022</t>
        </is>
      </c>
      <c r="B195" s="1" t="n">
        <v>44810</v>
      </c>
      <c r="C195" s="1" t="n">
        <v>45172</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f>
        <v/>
      </c>
      <c r="T195">
        <f>HYPERLINK("https://klasma.github.io/Logging_STROMSUND/kartor/A 37786-2022.png")</f>
        <v/>
      </c>
      <c r="V195">
        <f>HYPERLINK("https://klasma.github.io/Logging_STROMSUND/klagomål/A 37786-2022.docx")</f>
        <v/>
      </c>
      <c r="W195">
        <f>HYPERLINK("https://klasma.github.io/Logging_STROMSUND/klagomålsmail/A 37786-2022.docx")</f>
        <v/>
      </c>
      <c r="X195">
        <f>HYPERLINK("https://klasma.github.io/Logging_STROMSUND/tillsyn/A 37786-2022.docx")</f>
        <v/>
      </c>
      <c r="Y195">
        <f>HYPERLINK("https://klasma.github.io/Logging_STROMSUND/tillsynsmail/A 37786-2022.docx")</f>
        <v/>
      </c>
    </row>
    <row r="196" ht="15" customHeight="1">
      <c r="A196" t="inlineStr">
        <is>
          <t>A 39686-2022</t>
        </is>
      </c>
      <c r="B196" s="1" t="n">
        <v>44818</v>
      </c>
      <c r="C196" s="1" t="n">
        <v>45172</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f>
        <v/>
      </c>
      <c r="T196">
        <f>HYPERLINK("https://klasma.github.io/Logging_STROMSUND/kartor/A 39686-2022.png")</f>
        <v/>
      </c>
      <c r="V196">
        <f>HYPERLINK("https://klasma.github.io/Logging_STROMSUND/klagomål/A 39686-2022.docx")</f>
        <v/>
      </c>
      <c r="W196">
        <f>HYPERLINK("https://klasma.github.io/Logging_STROMSUND/klagomålsmail/A 39686-2022.docx")</f>
        <v/>
      </c>
      <c r="X196">
        <f>HYPERLINK("https://klasma.github.io/Logging_STROMSUND/tillsyn/A 39686-2022.docx")</f>
        <v/>
      </c>
      <c r="Y196">
        <f>HYPERLINK("https://klasma.github.io/Logging_STROMSUND/tillsynsmail/A 39686-2022.docx")</f>
        <v/>
      </c>
    </row>
    <row r="197" ht="15" customHeight="1">
      <c r="A197" t="inlineStr">
        <is>
          <t>A 46341-2022</t>
        </is>
      </c>
      <c r="B197" s="1" t="n">
        <v>44847</v>
      </c>
      <c r="C197" s="1" t="n">
        <v>45172</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f>
        <v/>
      </c>
      <c r="T197">
        <f>HYPERLINK("https://klasma.github.io/Logging_STROMSUND/kartor/A 46341-2022.png")</f>
        <v/>
      </c>
      <c r="U197">
        <f>HYPERLINK("https://klasma.github.io/Logging_STROMSUND/knärot/A 46341-2022.png")</f>
        <v/>
      </c>
      <c r="V197">
        <f>HYPERLINK("https://klasma.github.io/Logging_STROMSUND/klagomål/A 46341-2022.docx")</f>
        <v/>
      </c>
      <c r="W197">
        <f>HYPERLINK("https://klasma.github.io/Logging_STROMSUND/klagomålsmail/A 46341-2022.docx")</f>
        <v/>
      </c>
      <c r="X197">
        <f>HYPERLINK("https://klasma.github.io/Logging_STROMSUND/tillsyn/A 46341-2022.docx")</f>
        <v/>
      </c>
      <c r="Y197">
        <f>HYPERLINK("https://klasma.github.io/Logging_STROMSUND/tillsynsmail/A 46341-2022.docx")</f>
        <v/>
      </c>
    </row>
    <row r="198" ht="15" customHeight="1">
      <c r="A198" t="inlineStr">
        <is>
          <t>A 46621-2022</t>
        </is>
      </c>
      <c r="B198" s="1" t="n">
        <v>44848</v>
      </c>
      <c r="C198" s="1" t="n">
        <v>45172</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f>
        <v/>
      </c>
      <c r="T198">
        <f>HYPERLINK("https://klasma.github.io/Logging_STROMSUND/kartor/A 46621-2022.png")</f>
        <v/>
      </c>
      <c r="V198">
        <f>HYPERLINK("https://klasma.github.io/Logging_STROMSUND/klagomål/A 46621-2022.docx")</f>
        <v/>
      </c>
      <c r="W198">
        <f>HYPERLINK("https://klasma.github.io/Logging_STROMSUND/klagomålsmail/A 46621-2022.docx")</f>
        <v/>
      </c>
      <c r="X198">
        <f>HYPERLINK("https://klasma.github.io/Logging_STROMSUND/tillsyn/A 46621-2022.docx")</f>
        <v/>
      </c>
      <c r="Y198">
        <f>HYPERLINK("https://klasma.github.io/Logging_STROMSUND/tillsynsmail/A 46621-2022.docx")</f>
        <v/>
      </c>
    </row>
    <row r="199" ht="15" customHeight="1">
      <c r="A199" t="inlineStr">
        <is>
          <t>A 55533-2022</t>
        </is>
      </c>
      <c r="B199" s="1" t="n">
        <v>44887</v>
      </c>
      <c r="C199" s="1" t="n">
        <v>45172</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f>
        <v/>
      </c>
      <c r="T199">
        <f>HYPERLINK("https://klasma.github.io/Logging_STROMSUND/kartor/A 55533-2022.png")</f>
        <v/>
      </c>
      <c r="V199">
        <f>HYPERLINK("https://klasma.github.io/Logging_STROMSUND/klagomål/A 55533-2022.docx")</f>
        <v/>
      </c>
      <c r="W199">
        <f>HYPERLINK("https://klasma.github.io/Logging_STROMSUND/klagomålsmail/A 55533-2022.docx")</f>
        <v/>
      </c>
      <c r="X199">
        <f>HYPERLINK("https://klasma.github.io/Logging_STROMSUND/tillsyn/A 55533-2022.docx")</f>
        <v/>
      </c>
      <c r="Y199">
        <f>HYPERLINK("https://klasma.github.io/Logging_STROMSUND/tillsynsmail/A 55533-2022.docx")</f>
        <v/>
      </c>
    </row>
    <row r="200" ht="15" customHeight="1">
      <c r="A200" t="inlineStr">
        <is>
          <t>A 57587-2022</t>
        </is>
      </c>
      <c r="B200" s="1" t="n">
        <v>44896</v>
      </c>
      <c r="C200" s="1" t="n">
        <v>45172</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f>
        <v/>
      </c>
      <c r="T200">
        <f>HYPERLINK("https://klasma.github.io/Logging_STROMSUND/kartor/A 57587-2022.png")</f>
        <v/>
      </c>
      <c r="V200">
        <f>HYPERLINK("https://klasma.github.io/Logging_STROMSUND/klagomål/A 57587-2022.docx")</f>
        <v/>
      </c>
      <c r="W200">
        <f>HYPERLINK("https://klasma.github.io/Logging_STROMSUND/klagomålsmail/A 57587-2022.docx")</f>
        <v/>
      </c>
      <c r="X200">
        <f>HYPERLINK("https://klasma.github.io/Logging_STROMSUND/tillsyn/A 57587-2022.docx")</f>
        <v/>
      </c>
      <c r="Y200">
        <f>HYPERLINK("https://klasma.github.io/Logging_STROMSUND/tillsynsmail/A 57587-2022.docx")</f>
        <v/>
      </c>
    </row>
    <row r="201" ht="15" customHeight="1">
      <c r="A201" t="inlineStr">
        <is>
          <t>A 61385-2022</t>
        </is>
      </c>
      <c r="B201" s="1" t="n">
        <v>44915</v>
      </c>
      <c r="C201" s="1" t="n">
        <v>45172</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f>
        <v/>
      </c>
      <c r="T201">
        <f>HYPERLINK("https://klasma.github.io/Logging_STROMSUND/kartor/A 61385-2022.png")</f>
        <v/>
      </c>
      <c r="V201">
        <f>HYPERLINK("https://klasma.github.io/Logging_STROMSUND/klagomål/A 61385-2022.docx")</f>
        <v/>
      </c>
      <c r="W201">
        <f>HYPERLINK("https://klasma.github.io/Logging_STROMSUND/klagomålsmail/A 61385-2022.docx")</f>
        <v/>
      </c>
      <c r="X201">
        <f>HYPERLINK("https://klasma.github.io/Logging_STROMSUND/tillsyn/A 61385-2022.docx")</f>
        <v/>
      </c>
      <c r="Y201">
        <f>HYPERLINK("https://klasma.github.io/Logging_STROMSUND/tillsynsmail/A 61385-2022.docx")</f>
        <v/>
      </c>
    </row>
    <row r="202" ht="15" customHeight="1">
      <c r="A202" t="inlineStr">
        <is>
          <t>A 13189-2023</t>
        </is>
      </c>
      <c r="B202" s="1" t="n">
        <v>45002</v>
      </c>
      <c r="C202" s="1" t="n">
        <v>45172</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f>
        <v/>
      </c>
      <c r="T202">
        <f>HYPERLINK("https://klasma.github.io/Logging_STROMSUND/kartor/A 13189-2023.png")</f>
        <v/>
      </c>
      <c r="V202">
        <f>HYPERLINK("https://klasma.github.io/Logging_STROMSUND/klagomål/A 13189-2023.docx")</f>
        <v/>
      </c>
      <c r="W202">
        <f>HYPERLINK("https://klasma.github.io/Logging_STROMSUND/klagomålsmail/A 13189-2023.docx")</f>
        <v/>
      </c>
      <c r="X202">
        <f>HYPERLINK("https://klasma.github.io/Logging_STROMSUND/tillsyn/A 13189-2023.docx")</f>
        <v/>
      </c>
      <c r="Y202">
        <f>HYPERLINK("https://klasma.github.io/Logging_STROMSUND/tillsynsmail/A 13189-2023.docx")</f>
        <v/>
      </c>
    </row>
    <row r="203" ht="15" customHeight="1">
      <c r="A203" t="inlineStr">
        <is>
          <t>A 16761-2023</t>
        </is>
      </c>
      <c r="B203" s="1" t="n">
        <v>45030</v>
      </c>
      <c r="C203" s="1" t="n">
        <v>45172</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f>
        <v/>
      </c>
      <c r="T203">
        <f>HYPERLINK("https://klasma.github.io/Logging_STROMSUND/kartor/A 16761-2023.png")</f>
        <v/>
      </c>
      <c r="V203">
        <f>HYPERLINK("https://klasma.github.io/Logging_STROMSUND/klagomål/A 16761-2023.docx")</f>
        <v/>
      </c>
      <c r="W203">
        <f>HYPERLINK("https://klasma.github.io/Logging_STROMSUND/klagomålsmail/A 16761-2023.docx")</f>
        <v/>
      </c>
      <c r="X203">
        <f>HYPERLINK("https://klasma.github.io/Logging_STROMSUND/tillsyn/A 16761-2023.docx")</f>
        <v/>
      </c>
      <c r="Y203">
        <f>HYPERLINK("https://klasma.github.io/Logging_STROMSUND/tillsynsmail/A 16761-2023.docx")</f>
        <v/>
      </c>
    </row>
    <row r="204" ht="15" customHeight="1">
      <c r="A204" t="inlineStr">
        <is>
          <t>A 17956-2023</t>
        </is>
      </c>
      <c r="B204" s="1" t="n">
        <v>45037</v>
      </c>
      <c r="C204" s="1" t="n">
        <v>45172</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f>
        <v/>
      </c>
      <c r="T204">
        <f>HYPERLINK("https://klasma.github.io/Logging_STROMSUND/kartor/A 17956-2023.png")</f>
        <v/>
      </c>
      <c r="V204">
        <f>HYPERLINK("https://klasma.github.io/Logging_STROMSUND/klagomål/A 17956-2023.docx")</f>
        <v/>
      </c>
      <c r="W204">
        <f>HYPERLINK("https://klasma.github.io/Logging_STROMSUND/klagomålsmail/A 17956-2023.docx")</f>
        <v/>
      </c>
      <c r="X204">
        <f>HYPERLINK("https://klasma.github.io/Logging_STROMSUND/tillsyn/A 17956-2023.docx")</f>
        <v/>
      </c>
      <c r="Y204">
        <f>HYPERLINK("https://klasma.github.io/Logging_STROMSUND/tillsynsmail/A 17956-2023.docx")</f>
        <v/>
      </c>
    </row>
    <row r="205" ht="15" customHeight="1">
      <c r="A205" t="inlineStr">
        <is>
          <t>A 23776-2023</t>
        </is>
      </c>
      <c r="B205" s="1" t="n">
        <v>45077</v>
      </c>
      <c r="C205" s="1" t="n">
        <v>45172</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f>
        <v/>
      </c>
      <c r="T205">
        <f>HYPERLINK("https://klasma.github.io/Logging_STROMSUND/kartor/A 23776-2023.png")</f>
        <v/>
      </c>
      <c r="V205">
        <f>HYPERLINK("https://klasma.github.io/Logging_STROMSUND/klagomål/A 23776-2023.docx")</f>
        <v/>
      </c>
      <c r="W205">
        <f>HYPERLINK("https://klasma.github.io/Logging_STROMSUND/klagomålsmail/A 23776-2023.docx")</f>
        <v/>
      </c>
      <c r="X205">
        <f>HYPERLINK("https://klasma.github.io/Logging_STROMSUND/tillsyn/A 23776-2023.docx")</f>
        <v/>
      </c>
      <c r="Y205">
        <f>HYPERLINK("https://klasma.github.io/Logging_STROMSUND/tillsynsmail/A 23776-2023.docx")</f>
        <v/>
      </c>
    </row>
    <row r="206" ht="15" customHeight="1">
      <c r="A206" t="inlineStr">
        <is>
          <t>A 25327-2023</t>
        </is>
      </c>
      <c r="B206" s="1" t="n">
        <v>45086</v>
      </c>
      <c r="C206" s="1" t="n">
        <v>45172</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f>
        <v/>
      </c>
      <c r="T206">
        <f>HYPERLINK("https://klasma.github.io/Logging_STROMSUND/kartor/A 25327-2023.png")</f>
        <v/>
      </c>
      <c r="V206">
        <f>HYPERLINK("https://klasma.github.io/Logging_STROMSUND/klagomål/A 25327-2023.docx")</f>
        <v/>
      </c>
      <c r="W206">
        <f>HYPERLINK("https://klasma.github.io/Logging_STROMSUND/klagomålsmail/A 25327-2023.docx")</f>
        <v/>
      </c>
      <c r="X206">
        <f>HYPERLINK("https://klasma.github.io/Logging_STROMSUND/tillsyn/A 25327-2023.docx")</f>
        <v/>
      </c>
      <c r="Y206">
        <f>HYPERLINK("https://klasma.github.io/Logging_STROMSUND/tillsynsmail/A 25327-2023.docx")</f>
        <v/>
      </c>
    </row>
    <row r="207" ht="15" customHeight="1">
      <c r="A207" t="inlineStr">
        <is>
          <t>A 27367-2023</t>
        </is>
      </c>
      <c r="B207" s="1" t="n">
        <v>45096</v>
      </c>
      <c r="C207" s="1" t="n">
        <v>45172</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f>
        <v/>
      </c>
      <c r="T207">
        <f>HYPERLINK("https://klasma.github.io/Logging_STROMSUND/kartor/A 27367-2023.png")</f>
        <v/>
      </c>
      <c r="V207">
        <f>HYPERLINK("https://klasma.github.io/Logging_STROMSUND/klagomål/A 27367-2023.docx")</f>
        <v/>
      </c>
      <c r="W207">
        <f>HYPERLINK("https://klasma.github.io/Logging_STROMSUND/klagomålsmail/A 27367-2023.docx")</f>
        <v/>
      </c>
      <c r="X207">
        <f>HYPERLINK("https://klasma.github.io/Logging_STROMSUND/tillsyn/A 27367-2023.docx")</f>
        <v/>
      </c>
      <c r="Y207">
        <f>HYPERLINK("https://klasma.github.io/Logging_STROMSUND/tillsynsmail/A 27367-2023.docx")</f>
        <v/>
      </c>
    </row>
    <row r="208" ht="15" customHeight="1">
      <c r="A208" t="inlineStr">
        <is>
          <t>A 29071-2023</t>
        </is>
      </c>
      <c r="B208" s="1" t="n">
        <v>45104</v>
      </c>
      <c r="C208" s="1" t="n">
        <v>45172</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f>
        <v/>
      </c>
      <c r="T208">
        <f>HYPERLINK("https://klasma.github.io/Logging_STROMSUND/kartor/A 29071-2023.png")</f>
        <v/>
      </c>
      <c r="V208">
        <f>HYPERLINK("https://klasma.github.io/Logging_STROMSUND/klagomål/A 29071-2023.docx")</f>
        <v/>
      </c>
      <c r="W208">
        <f>HYPERLINK("https://klasma.github.io/Logging_STROMSUND/klagomålsmail/A 29071-2023.docx")</f>
        <v/>
      </c>
      <c r="X208">
        <f>HYPERLINK("https://klasma.github.io/Logging_STROMSUND/tillsyn/A 29071-2023.docx")</f>
        <v/>
      </c>
      <c r="Y208">
        <f>HYPERLINK("https://klasma.github.io/Logging_STROMSUND/tillsynsmail/A 29071-2023.docx")</f>
        <v/>
      </c>
    </row>
    <row r="209" ht="15" customHeight="1">
      <c r="A209" t="inlineStr">
        <is>
          <t>A 29633-2023</t>
        </is>
      </c>
      <c r="B209" s="1" t="n">
        <v>45106</v>
      </c>
      <c r="C209" s="1" t="n">
        <v>45172</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f>
        <v/>
      </c>
      <c r="T209">
        <f>HYPERLINK("https://klasma.github.io/Logging_STROMSUND/kartor/A 29633-2023.png")</f>
        <v/>
      </c>
      <c r="V209">
        <f>HYPERLINK("https://klasma.github.io/Logging_STROMSUND/klagomål/A 29633-2023.docx")</f>
        <v/>
      </c>
      <c r="W209">
        <f>HYPERLINK("https://klasma.github.io/Logging_STROMSUND/klagomålsmail/A 29633-2023.docx")</f>
        <v/>
      </c>
      <c r="X209">
        <f>HYPERLINK("https://klasma.github.io/Logging_STROMSUND/tillsyn/A 29633-2023.docx")</f>
        <v/>
      </c>
      <c r="Y209">
        <f>HYPERLINK("https://klasma.github.io/Logging_STROMSUND/tillsynsmail/A 29633-2023.docx")</f>
        <v/>
      </c>
    </row>
    <row r="210" ht="15" customHeight="1">
      <c r="A210" t="inlineStr">
        <is>
          <t>A 29962-2023</t>
        </is>
      </c>
      <c r="B210" s="1" t="n">
        <v>45107</v>
      </c>
      <c r="C210" s="1" t="n">
        <v>45172</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f>
        <v/>
      </c>
      <c r="T210">
        <f>HYPERLINK("https://klasma.github.io/Logging_STROMSUND/kartor/A 29962-2023.png")</f>
        <v/>
      </c>
      <c r="V210">
        <f>HYPERLINK("https://klasma.github.io/Logging_STROMSUND/klagomål/A 29962-2023.docx")</f>
        <v/>
      </c>
      <c r="W210">
        <f>HYPERLINK("https://klasma.github.io/Logging_STROMSUND/klagomålsmail/A 29962-2023.docx")</f>
        <v/>
      </c>
      <c r="X210">
        <f>HYPERLINK("https://klasma.github.io/Logging_STROMSUND/tillsyn/A 29962-2023.docx")</f>
        <v/>
      </c>
      <c r="Y210">
        <f>HYPERLINK("https://klasma.github.io/Logging_STROMSUND/tillsynsmail/A 29962-2023.docx")</f>
        <v/>
      </c>
    </row>
    <row r="211" ht="15" customHeight="1">
      <c r="A211" t="inlineStr">
        <is>
          <t>A 32221-2023</t>
        </is>
      </c>
      <c r="B211" s="1" t="n">
        <v>45119</v>
      </c>
      <c r="C211" s="1" t="n">
        <v>45172</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f>
        <v/>
      </c>
      <c r="T211">
        <f>HYPERLINK("https://klasma.github.io/Logging_STROMSUND/kartor/A 32221-2023.png")</f>
        <v/>
      </c>
      <c r="V211">
        <f>HYPERLINK("https://klasma.github.io/Logging_STROMSUND/klagomål/A 32221-2023.docx")</f>
        <v/>
      </c>
      <c r="W211">
        <f>HYPERLINK("https://klasma.github.io/Logging_STROMSUND/klagomålsmail/A 32221-2023.docx")</f>
        <v/>
      </c>
      <c r="X211">
        <f>HYPERLINK("https://klasma.github.io/Logging_STROMSUND/tillsyn/A 32221-2023.docx")</f>
        <v/>
      </c>
      <c r="Y211">
        <f>HYPERLINK("https://klasma.github.io/Logging_STROMSUND/tillsynsmail/A 32221-2023.docx")</f>
        <v/>
      </c>
    </row>
    <row r="212" ht="15" customHeight="1">
      <c r="A212" t="inlineStr">
        <is>
          <t>A 39055-2023</t>
        </is>
      </c>
      <c r="B212" s="1" t="n">
        <v>45163</v>
      </c>
      <c r="C212" s="1" t="n">
        <v>45172</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f>
        <v/>
      </c>
      <c r="T212">
        <f>HYPERLINK("https://klasma.github.io/Logging_STROMSUND/kartor/A 39055-2023.png")</f>
        <v/>
      </c>
      <c r="V212">
        <f>HYPERLINK("https://klasma.github.io/Logging_STROMSUND/klagomål/A 39055-2023.docx")</f>
        <v/>
      </c>
      <c r="W212">
        <f>HYPERLINK("https://klasma.github.io/Logging_STROMSUND/klagomålsmail/A 39055-2023.docx")</f>
        <v/>
      </c>
      <c r="X212">
        <f>HYPERLINK("https://klasma.github.io/Logging_STROMSUND/tillsyn/A 39055-2023.docx")</f>
        <v/>
      </c>
      <c r="Y212">
        <f>HYPERLINK("https://klasma.github.io/Logging_STROMSUND/tillsynsmail/A 39055-2023.docx")</f>
        <v/>
      </c>
    </row>
    <row r="213" ht="15" customHeight="1">
      <c r="A213" t="inlineStr">
        <is>
          <t>A 62476-2018</t>
        </is>
      </c>
      <c r="B213" s="1" t="n">
        <v>43415</v>
      </c>
      <c r="C213" s="1" t="n">
        <v>45172</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f>
        <v/>
      </c>
      <c r="T213">
        <f>HYPERLINK("https://klasma.github.io/Logging_STROMSUND/kartor/A 62476-2018.png")</f>
        <v/>
      </c>
      <c r="V213">
        <f>HYPERLINK("https://klasma.github.io/Logging_STROMSUND/klagomål/A 62476-2018.docx")</f>
        <v/>
      </c>
      <c r="W213">
        <f>HYPERLINK("https://klasma.github.io/Logging_STROMSUND/klagomålsmail/A 62476-2018.docx")</f>
        <v/>
      </c>
      <c r="X213">
        <f>HYPERLINK("https://klasma.github.io/Logging_STROMSUND/tillsyn/A 62476-2018.docx")</f>
        <v/>
      </c>
      <c r="Y213">
        <f>HYPERLINK("https://klasma.github.io/Logging_STROMSUND/tillsynsmail/A 62476-2018.docx")</f>
        <v/>
      </c>
    </row>
    <row r="214" ht="15" customHeight="1">
      <c r="A214" t="inlineStr">
        <is>
          <t>A 1129-2019</t>
        </is>
      </c>
      <c r="B214" s="1" t="n">
        <v>43472</v>
      </c>
      <c r="C214" s="1" t="n">
        <v>45172</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f>
        <v/>
      </c>
      <c r="T214">
        <f>HYPERLINK("https://klasma.github.io/Logging_STROMSUND/kartor/A 1129-2019.png")</f>
        <v/>
      </c>
      <c r="V214">
        <f>HYPERLINK("https://klasma.github.io/Logging_STROMSUND/klagomål/A 1129-2019.docx")</f>
        <v/>
      </c>
      <c r="W214">
        <f>HYPERLINK("https://klasma.github.io/Logging_STROMSUND/klagomålsmail/A 1129-2019.docx")</f>
        <v/>
      </c>
      <c r="X214">
        <f>HYPERLINK("https://klasma.github.io/Logging_STROMSUND/tillsyn/A 1129-2019.docx")</f>
        <v/>
      </c>
      <c r="Y214">
        <f>HYPERLINK("https://klasma.github.io/Logging_STROMSUND/tillsynsmail/A 1129-2019.docx")</f>
        <v/>
      </c>
    </row>
    <row r="215" ht="15" customHeight="1">
      <c r="A215" t="inlineStr">
        <is>
          <t>A 21660-2019</t>
        </is>
      </c>
      <c r="B215" s="1" t="n">
        <v>43581</v>
      </c>
      <c r="C215" s="1" t="n">
        <v>45172</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f>
        <v/>
      </c>
      <c r="T215">
        <f>HYPERLINK("https://klasma.github.io/Logging_STROMSUND/kartor/A 21660-2019.png")</f>
        <v/>
      </c>
      <c r="V215">
        <f>HYPERLINK("https://klasma.github.io/Logging_STROMSUND/klagomål/A 21660-2019.docx")</f>
        <v/>
      </c>
      <c r="W215">
        <f>HYPERLINK("https://klasma.github.io/Logging_STROMSUND/klagomålsmail/A 21660-2019.docx")</f>
        <v/>
      </c>
      <c r="X215">
        <f>HYPERLINK("https://klasma.github.io/Logging_STROMSUND/tillsyn/A 21660-2019.docx")</f>
        <v/>
      </c>
      <c r="Y215">
        <f>HYPERLINK("https://klasma.github.io/Logging_STROMSUND/tillsynsmail/A 21660-2019.docx")</f>
        <v/>
      </c>
    </row>
    <row r="216" ht="15" customHeight="1">
      <c r="A216" t="inlineStr">
        <is>
          <t>A 22339-2019</t>
        </is>
      </c>
      <c r="B216" s="1" t="n">
        <v>43586</v>
      </c>
      <c r="C216" s="1" t="n">
        <v>45172</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f>
        <v/>
      </c>
      <c r="T216">
        <f>HYPERLINK("https://klasma.github.io/Logging_STROMSUND/kartor/A 22339-2019.png")</f>
        <v/>
      </c>
      <c r="V216">
        <f>HYPERLINK("https://klasma.github.io/Logging_STROMSUND/klagomål/A 22339-2019.docx")</f>
        <v/>
      </c>
      <c r="W216">
        <f>HYPERLINK("https://klasma.github.io/Logging_STROMSUND/klagomålsmail/A 22339-2019.docx")</f>
        <v/>
      </c>
      <c r="X216">
        <f>HYPERLINK("https://klasma.github.io/Logging_STROMSUND/tillsyn/A 22339-2019.docx")</f>
        <v/>
      </c>
      <c r="Y216">
        <f>HYPERLINK("https://klasma.github.io/Logging_STROMSUND/tillsynsmail/A 22339-2019.docx")</f>
        <v/>
      </c>
    </row>
    <row r="217" ht="15" customHeight="1">
      <c r="A217" t="inlineStr">
        <is>
          <t>A 29291-2019</t>
        </is>
      </c>
      <c r="B217" s="1" t="n">
        <v>43629</v>
      </c>
      <c r="C217" s="1" t="n">
        <v>45172</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f>
        <v/>
      </c>
      <c r="T217">
        <f>HYPERLINK("https://klasma.github.io/Logging_STROMSUND/kartor/A 29291-2019.png")</f>
        <v/>
      </c>
      <c r="V217">
        <f>HYPERLINK("https://klasma.github.io/Logging_STROMSUND/klagomål/A 29291-2019.docx")</f>
        <v/>
      </c>
      <c r="W217">
        <f>HYPERLINK("https://klasma.github.io/Logging_STROMSUND/klagomålsmail/A 29291-2019.docx")</f>
        <v/>
      </c>
      <c r="X217">
        <f>HYPERLINK("https://klasma.github.io/Logging_STROMSUND/tillsyn/A 29291-2019.docx")</f>
        <v/>
      </c>
      <c r="Y217">
        <f>HYPERLINK("https://klasma.github.io/Logging_STROMSUND/tillsynsmail/A 29291-2019.docx")</f>
        <v/>
      </c>
    </row>
    <row r="218" ht="15" customHeight="1">
      <c r="A218" t="inlineStr">
        <is>
          <t>A 32596-2019</t>
        </is>
      </c>
      <c r="B218" s="1" t="n">
        <v>43647</v>
      </c>
      <c r="C218" s="1" t="n">
        <v>45172</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f>
        <v/>
      </c>
      <c r="T218">
        <f>HYPERLINK("https://klasma.github.io/Logging_STROMSUND/kartor/A 32596-2019.png")</f>
        <v/>
      </c>
      <c r="U218">
        <f>HYPERLINK("https://klasma.github.io/Logging_STROMSUND/knärot/A 32596-2019.png")</f>
        <v/>
      </c>
      <c r="V218">
        <f>HYPERLINK("https://klasma.github.io/Logging_STROMSUND/klagomål/A 32596-2019.docx")</f>
        <v/>
      </c>
      <c r="W218">
        <f>HYPERLINK("https://klasma.github.io/Logging_STROMSUND/klagomålsmail/A 32596-2019.docx")</f>
        <v/>
      </c>
      <c r="X218">
        <f>HYPERLINK("https://klasma.github.io/Logging_STROMSUND/tillsyn/A 32596-2019.docx")</f>
        <v/>
      </c>
      <c r="Y218">
        <f>HYPERLINK("https://klasma.github.io/Logging_STROMSUND/tillsynsmail/A 32596-2019.docx")</f>
        <v/>
      </c>
    </row>
    <row r="219" ht="15" customHeight="1">
      <c r="A219" t="inlineStr">
        <is>
          <t>A 40660-2019</t>
        </is>
      </c>
      <c r="B219" s="1" t="n">
        <v>43696</v>
      </c>
      <c r="C219" s="1" t="n">
        <v>45172</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f>
        <v/>
      </c>
      <c r="T219">
        <f>HYPERLINK("https://klasma.github.io/Logging_STROMSUND/kartor/A 40660-2019.png")</f>
        <v/>
      </c>
      <c r="V219">
        <f>HYPERLINK("https://klasma.github.io/Logging_STROMSUND/klagomål/A 40660-2019.docx")</f>
        <v/>
      </c>
      <c r="W219">
        <f>HYPERLINK("https://klasma.github.io/Logging_STROMSUND/klagomålsmail/A 40660-2019.docx")</f>
        <v/>
      </c>
      <c r="X219">
        <f>HYPERLINK("https://klasma.github.io/Logging_STROMSUND/tillsyn/A 40660-2019.docx")</f>
        <v/>
      </c>
      <c r="Y219">
        <f>HYPERLINK("https://klasma.github.io/Logging_STROMSUND/tillsynsmail/A 40660-2019.docx")</f>
        <v/>
      </c>
    </row>
    <row r="220" ht="15" customHeight="1">
      <c r="A220" t="inlineStr">
        <is>
          <t>A 40524-2019</t>
        </is>
      </c>
      <c r="B220" s="1" t="n">
        <v>43696</v>
      </c>
      <c r="C220" s="1" t="n">
        <v>45172</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f>
        <v/>
      </c>
      <c r="T220">
        <f>HYPERLINK("https://klasma.github.io/Logging_STROMSUND/kartor/A 40524-2019.png")</f>
        <v/>
      </c>
      <c r="V220">
        <f>HYPERLINK("https://klasma.github.io/Logging_STROMSUND/klagomål/A 40524-2019.docx")</f>
        <v/>
      </c>
      <c r="W220">
        <f>HYPERLINK("https://klasma.github.io/Logging_STROMSUND/klagomålsmail/A 40524-2019.docx")</f>
        <v/>
      </c>
      <c r="X220">
        <f>HYPERLINK("https://klasma.github.io/Logging_STROMSUND/tillsyn/A 40524-2019.docx")</f>
        <v/>
      </c>
      <c r="Y220">
        <f>HYPERLINK("https://klasma.github.io/Logging_STROMSUND/tillsynsmail/A 40524-2019.docx")</f>
        <v/>
      </c>
    </row>
    <row r="221" ht="15" customHeight="1">
      <c r="A221" t="inlineStr">
        <is>
          <t>A 44011-2019</t>
        </is>
      </c>
      <c r="B221" s="1" t="n">
        <v>43709</v>
      </c>
      <c r="C221" s="1" t="n">
        <v>45172</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f>
        <v/>
      </c>
      <c r="T221">
        <f>HYPERLINK("https://klasma.github.io/Logging_STROMSUND/kartor/A 44011-2019.png")</f>
        <v/>
      </c>
      <c r="V221">
        <f>HYPERLINK("https://klasma.github.io/Logging_STROMSUND/klagomål/A 44011-2019.docx")</f>
        <v/>
      </c>
      <c r="W221">
        <f>HYPERLINK("https://klasma.github.io/Logging_STROMSUND/klagomålsmail/A 44011-2019.docx")</f>
        <v/>
      </c>
      <c r="X221">
        <f>HYPERLINK("https://klasma.github.io/Logging_STROMSUND/tillsyn/A 44011-2019.docx")</f>
        <v/>
      </c>
      <c r="Y221">
        <f>HYPERLINK("https://klasma.github.io/Logging_STROMSUND/tillsynsmail/A 44011-2019.docx")</f>
        <v/>
      </c>
    </row>
    <row r="222" ht="15" customHeight="1">
      <c r="A222" t="inlineStr">
        <is>
          <t>A 44527-2019</t>
        </is>
      </c>
      <c r="B222" s="1" t="n">
        <v>43711</v>
      </c>
      <c r="C222" s="1" t="n">
        <v>45172</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f>
        <v/>
      </c>
      <c r="T222">
        <f>HYPERLINK("https://klasma.github.io/Logging_STROMSUND/kartor/A 44527-2019.png")</f>
        <v/>
      </c>
      <c r="V222">
        <f>HYPERLINK("https://klasma.github.io/Logging_STROMSUND/klagomål/A 44527-2019.docx")</f>
        <v/>
      </c>
      <c r="W222">
        <f>HYPERLINK("https://klasma.github.io/Logging_STROMSUND/klagomålsmail/A 44527-2019.docx")</f>
        <v/>
      </c>
      <c r="X222">
        <f>HYPERLINK("https://klasma.github.io/Logging_STROMSUND/tillsyn/A 44527-2019.docx")</f>
        <v/>
      </c>
      <c r="Y222">
        <f>HYPERLINK("https://klasma.github.io/Logging_STROMSUND/tillsynsmail/A 44527-2019.docx")</f>
        <v/>
      </c>
    </row>
    <row r="223" ht="15" customHeight="1">
      <c r="A223" t="inlineStr">
        <is>
          <t>A 47080-2019</t>
        </is>
      </c>
      <c r="B223" s="1" t="n">
        <v>43720</v>
      </c>
      <c r="C223" s="1" t="n">
        <v>45172</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f>
        <v/>
      </c>
      <c r="T223">
        <f>HYPERLINK("https://klasma.github.io/Logging_STROMSUND/kartor/A 47080-2019.png")</f>
        <v/>
      </c>
      <c r="V223">
        <f>HYPERLINK("https://klasma.github.io/Logging_STROMSUND/klagomål/A 47080-2019.docx")</f>
        <v/>
      </c>
      <c r="W223">
        <f>HYPERLINK("https://klasma.github.io/Logging_STROMSUND/klagomålsmail/A 47080-2019.docx")</f>
        <v/>
      </c>
      <c r="X223">
        <f>HYPERLINK("https://klasma.github.io/Logging_STROMSUND/tillsyn/A 47080-2019.docx")</f>
        <v/>
      </c>
      <c r="Y223">
        <f>HYPERLINK("https://klasma.github.io/Logging_STROMSUND/tillsynsmail/A 47080-2019.docx")</f>
        <v/>
      </c>
    </row>
    <row r="224" ht="15" customHeight="1">
      <c r="A224" t="inlineStr">
        <is>
          <t>A 48800-2019</t>
        </is>
      </c>
      <c r="B224" s="1" t="n">
        <v>43727</v>
      </c>
      <c r="C224" s="1" t="n">
        <v>45172</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f>
        <v/>
      </c>
      <c r="T224">
        <f>HYPERLINK("https://klasma.github.io/Logging_STROMSUND/kartor/A 48800-2019.png")</f>
        <v/>
      </c>
      <c r="V224">
        <f>HYPERLINK("https://klasma.github.io/Logging_STROMSUND/klagomål/A 48800-2019.docx")</f>
        <v/>
      </c>
      <c r="W224">
        <f>HYPERLINK("https://klasma.github.io/Logging_STROMSUND/klagomålsmail/A 48800-2019.docx")</f>
        <v/>
      </c>
      <c r="X224">
        <f>HYPERLINK("https://klasma.github.io/Logging_STROMSUND/tillsyn/A 48800-2019.docx")</f>
        <v/>
      </c>
      <c r="Y224">
        <f>HYPERLINK("https://klasma.github.io/Logging_STROMSUND/tillsynsmail/A 48800-2019.docx")</f>
        <v/>
      </c>
    </row>
    <row r="225" ht="15" customHeight="1">
      <c r="A225" t="inlineStr">
        <is>
          <t>A 50000-2019</t>
        </is>
      </c>
      <c r="B225" s="1" t="n">
        <v>43733</v>
      </c>
      <c r="C225" s="1" t="n">
        <v>45172</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f>
        <v/>
      </c>
      <c r="T225">
        <f>HYPERLINK("https://klasma.github.io/Logging_STROMSUND/kartor/A 50000-2019.png")</f>
        <v/>
      </c>
      <c r="V225">
        <f>HYPERLINK("https://klasma.github.io/Logging_STROMSUND/klagomål/A 50000-2019.docx")</f>
        <v/>
      </c>
      <c r="W225">
        <f>HYPERLINK("https://klasma.github.io/Logging_STROMSUND/klagomålsmail/A 50000-2019.docx")</f>
        <v/>
      </c>
      <c r="X225">
        <f>HYPERLINK("https://klasma.github.io/Logging_STROMSUND/tillsyn/A 50000-2019.docx")</f>
        <v/>
      </c>
      <c r="Y225">
        <f>HYPERLINK("https://klasma.github.io/Logging_STROMSUND/tillsynsmail/A 50000-2019.docx")</f>
        <v/>
      </c>
    </row>
    <row r="226" ht="15" customHeight="1">
      <c r="A226" t="inlineStr">
        <is>
          <t>A 56810-2019</t>
        </is>
      </c>
      <c r="B226" s="1" t="n">
        <v>43763</v>
      </c>
      <c r="C226" s="1" t="n">
        <v>45172</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f>
        <v/>
      </c>
      <c r="T226">
        <f>HYPERLINK("https://klasma.github.io/Logging_STROMSUND/kartor/A 56810-2019.png")</f>
        <v/>
      </c>
      <c r="V226">
        <f>HYPERLINK("https://klasma.github.io/Logging_STROMSUND/klagomål/A 56810-2019.docx")</f>
        <v/>
      </c>
      <c r="W226">
        <f>HYPERLINK("https://klasma.github.io/Logging_STROMSUND/klagomålsmail/A 56810-2019.docx")</f>
        <v/>
      </c>
      <c r="X226">
        <f>HYPERLINK("https://klasma.github.io/Logging_STROMSUND/tillsyn/A 56810-2019.docx")</f>
        <v/>
      </c>
      <c r="Y226">
        <f>HYPERLINK("https://klasma.github.io/Logging_STROMSUND/tillsynsmail/A 56810-2019.docx")</f>
        <v/>
      </c>
    </row>
    <row r="227" ht="15" customHeight="1">
      <c r="A227" t="inlineStr">
        <is>
          <t>A 3781-2020</t>
        </is>
      </c>
      <c r="B227" s="1" t="n">
        <v>43846</v>
      </c>
      <c r="C227" s="1" t="n">
        <v>45172</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f>
        <v/>
      </c>
      <c r="T227">
        <f>HYPERLINK("https://klasma.github.io/Logging_STROMSUND/kartor/A 3781-2020.png")</f>
        <v/>
      </c>
      <c r="V227">
        <f>HYPERLINK("https://klasma.github.io/Logging_STROMSUND/klagomål/A 3781-2020.docx")</f>
        <v/>
      </c>
      <c r="W227">
        <f>HYPERLINK("https://klasma.github.io/Logging_STROMSUND/klagomålsmail/A 3781-2020.docx")</f>
        <v/>
      </c>
      <c r="X227">
        <f>HYPERLINK("https://klasma.github.io/Logging_STROMSUND/tillsyn/A 3781-2020.docx")</f>
        <v/>
      </c>
      <c r="Y227">
        <f>HYPERLINK("https://klasma.github.io/Logging_STROMSUND/tillsynsmail/A 3781-2020.docx")</f>
        <v/>
      </c>
    </row>
    <row r="228" ht="15" customHeight="1">
      <c r="A228" t="inlineStr">
        <is>
          <t>A 2491-2020</t>
        </is>
      </c>
      <c r="B228" s="1" t="n">
        <v>43847</v>
      </c>
      <c r="C228" s="1" t="n">
        <v>45172</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f>
        <v/>
      </c>
      <c r="T228">
        <f>HYPERLINK("https://klasma.github.io/Logging_STROMSUND/kartor/A 2491-2020.png")</f>
        <v/>
      </c>
      <c r="V228">
        <f>HYPERLINK("https://klasma.github.io/Logging_STROMSUND/klagomål/A 2491-2020.docx")</f>
        <v/>
      </c>
      <c r="W228">
        <f>HYPERLINK("https://klasma.github.io/Logging_STROMSUND/klagomålsmail/A 2491-2020.docx")</f>
        <v/>
      </c>
      <c r="X228">
        <f>HYPERLINK("https://klasma.github.io/Logging_STROMSUND/tillsyn/A 2491-2020.docx")</f>
        <v/>
      </c>
      <c r="Y228">
        <f>HYPERLINK("https://klasma.github.io/Logging_STROMSUND/tillsynsmail/A 2491-2020.docx")</f>
        <v/>
      </c>
    </row>
    <row r="229" ht="15" customHeight="1">
      <c r="A229" t="inlineStr">
        <is>
          <t>A 2503-2020</t>
        </is>
      </c>
      <c r="B229" s="1" t="n">
        <v>43847</v>
      </c>
      <c r="C229" s="1" t="n">
        <v>45172</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f>
        <v/>
      </c>
      <c r="T229">
        <f>HYPERLINK("https://klasma.github.io/Logging_STROMSUND/kartor/A 2503-2020.png")</f>
        <v/>
      </c>
      <c r="V229">
        <f>HYPERLINK("https://klasma.github.io/Logging_STROMSUND/klagomål/A 2503-2020.docx")</f>
        <v/>
      </c>
      <c r="W229">
        <f>HYPERLINK("https://klasma.github.io/Logging_STROMSUND/klagomålsmail/A 2503-2020.docx")</f>
        <v/>
      </c>
      <c r="X229">
        <f>HYPERLINK("https://klasma.github.io/Logging_STROMSUND/tillsyn/A 2503-2020.docx")</f>
        <v/>
      </c>
      <c r="Y229">
        <f>HYPERLINK("https://klasma.github.io/Logging_STROMSUND/tillsynsmail/A 2503-2020.docx")</f>
        <v/>
      </c>
    </row>
    <row r="230" ht="15" customHeight="1">
      <c r="A230" t="inlineStr">
        <is>
          <t>A 28772-2020</t>
        </is>
      </c>
      <c r="B230" s="1" t="n">
        <v>43999</v>
      </c>
      <c r="C230" s="1" t="n">
        <v>45172</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f>
        <v/>
      </c>
      <c r="T230">
        <f>HYPERLINK("https://klasma.github.io/Logging_STROMSUND/kartor/A 28772-2020.png")</f>
        <v/>
      </c>
      <c r="V230">
        <f>HYPERLINK("https://klasma.github.io/Logging_STROMSUND/klagomål/A 28772-2020.docx")</f>
        <v/>
      </c>
      <c r="W230">
        <f>HYPERLINK("https://klasma.github.io/Logging_STROMSUND/klagomålsmail/A 28772-2020.docx")</f>
        <v/>
      </c>
      <c r="X230">
        <f>HYPERLINK("https://klasma.github.io/Logging_STROMSUND/tillsyn/A 28772-2020.docx")</f>
        <v/>
      </c>
      <c r="Y230">
        <f>HYPERLINK("https://klasma.github.io/Logging_STROMSUND/tillsynsmail/A 28772-2020.docx")</f>
        <v/>
      </c>
    </row>
    <row r="231" ht="15" customHeight="1">
      <c r="A231" t="inlineStr">
        <is>
          <t>A 29060-2020</t>
        </is>
      </c>
      <c r="B231" s="1" t="n">
        <v>44000</v>
      </c>
      <c r="C231" s="1" t="n">
        <v>45172</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f>
        <v/>
      </c>
      <c r="T231">
        <f>HYPERLINK("https://klasma.github.io/Logging_STROMSUND/kartor/A 29060-2020.png")</f>
        <v/>
      </c>
      <c r="V231">
        <f>HYPERLINK("https://klasma.github.io/Logging_STROMSUND/klagomål/A 29060-2020.docx")</f>
        <v/>
      </c>
      <c r="W231">
        <f>HYPERLINK("https://klasma.github.io/Logging_STROMSUND/klagomålsmail/A 29060-2020.docx")</f>
        <v/>
      </c>
      <c r="X231">
        <f>HYPERLINK("https://klasma.github.io/Logging_STROMSUND/tillsyn/A 29060-2020.docx")</f>
        <v/>
      </c>
      <c r="Y231">
        <f>HYPERLINK("https://klasma.github.io/Logging_STROMSUND/tillsynsmail/A 29060-2020.docx")</f>
        <v/>
      </c>
    </row>
    <row r="232" ht="15" customHeight="1">
      <c r="A232" t="inlineStr">
        <is>
          <t>A 32205-2020</t>
        </is>
      </c>
      <c r="B232" s="1" t="n">
        <v>44015</v>
      </c>
      <c r="C232" s="1" t="n">
        <v>45172</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f>
        <v/>
      </c>
      <c r="T232">
        <f>HYPERLINK("https://klasma.github.io/Logging_STROMSUND/kartor/A 32205-2020.png")</f>
        <v/>
      </c>
      <c r="V232">
        <f>HYPERLINK("https://klasma.github.io/Logging_STROMSUND/klagomål/A 32205-2020.docx")</f>
        <v/>
      </c>
      <c r="W232">
        <f>HYPERLINK("https://klasma.github.io/Logging_STROMSUND/klagomålsmail/A 32205-2020.docx")</f>
        <v/>
      </c>
      <c r="X232">
        <f>HYPERLINK("https://klasma.github.io/Logging_STROMSUND/tillsyn/A 32205-2020.docx")</f>
        <v/>
      </c>
      <c r="Y232">
        <f>HYPERLINK("https://klasma.github.io/Logging_STROMSUND/tillsynsmail/A 32205-2020.docx")</f>
        <v/>
      </c>
    </row>
    <row r="233" ht="15" customHeight="1">
      <c r="A233" t="inlineStr">
        <is>
          <t>A 35600-2020</t>
        </is>
      </c>
      <c r="B233" s="1" t="n">
        <v>44043</v>
      </c>
      <c r="C233" s="1" t="n">
        <v>45172</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f>
        <v/>
      </c>
      <c r="T233">
        <f>HYPERLINK("https://klasma.github.io/Logging_STROMSUND/kartor/A 35600-2020.png")</f>
        <v/>
      </c>
      <c r="V233">
        <f>HYPERLINK("https://klasma.github.io/Logging_STROMSUND/klagomål/A 35600-2020.docx")</f>
        <v/>
      </c>
      <c r="W233">
        <f>HYPERLINK("https://klasma.github.io/Logging_STROMSUND/klagomålsmail/A 35600-2020.docx")</f>
        <v/>
      </c>
      <c r="X233">
        <f>HYPERLINK("https://klasma.github.io/Logging_STROMSUND/tillsyn/A 35600-2020.docx")</f>
        <v/>
      </c>
      <c r="Y233">
        <f>HYPERLINK("https://klasma.github.io/Logging_STROMSUND/tillsynsmail/A 35600-2020.docx")</f>
        <v/>
      </c>
    </row>
    <row r="234" ht="15" customHeight="1">
      <c r="A234" t="inlineStr">
        <is>
          <t>A 43809-2020</t>
        </is>
      </c>
      <c r="B234" s="1" t="n">
        <v>44082</v>
      </c>
      <c r="C234" s="1" t="n">
        <v>45172</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f>
        <v/>
      </c>
      <c r="T234">
        <f>HYPERLINK("https://klasma.github.io/Logging_STROMSUND/kartor/A 43809-2020.png")</f>
        <v/>
      </c>
      <c r="V234">
        <f>HYPERLINK("https://klasma.github.io/Logging_STROMSUND/klagomål/A 43809-2020.docx")</f>
        <v/>
      </c>
      <c r="W234">
        <f>HYPERLINK("https://klasma.github.io/Logging_STROMSUND/klagomålsmail/A 43809-2020.docx")</f>
        <v/>
      </c>
      <c r="X234">
        <f>HYPERLINK("https://klasma.github.io/Logging_STROMSUND/tillsyn/A 43809-2020.docx")</f>
        <v/>
      </c>
      <c r="Y234">
        <f>HYPERLINK("https://klasma.github.io/Logging_STROMSUND/tillsynsmail/A 43809-2020.docx")</f>
        <v/>
      </c>
    </row>
    <row r="235" ht="15" customHeight="1">
      <c r="A235" t="inlineStr">
        <is>
          <t>A 54372-2020</t>
        </is>
      </c>
      <c r="B235" s="1" t="n">
        <v>44126</v>
      </c>
      <c r="C235" s="1" t="n">
        <v>45172</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f>
        <v/>
      </c>
      <c r="T235">
        <f>HYPERLINK("https://klasma.github.io/Logging_STROMSUND/kartor/A 54372-2020.png")</f>
        <v/>
      </c>
      <c r="V235">
        <f>HYPERLINK("https://klasma.github.io/Logging_STROMSUND/klagomål/A 54372-2020.docx")</f>
        <v/>
      </c>
      <c r="W235">
        <f>HYPERLINK("https://klasma.github.io/Logging_STROMSUND/klagomålsmail/A 54372-2020.docx")</f>
        <v/>
      </c>
      <c r="X235">
        <f>HYPERLINK("https://klasma.github.io/Logging_STROMSUND/tillsyn/A 54372-2020.docx")</f>
        <v/>
      </c>
      <c r="Y235">
        <f>HYPERLINK("https://klasma.github.io/Logging_STROMSUND/tillsynsmail/A 54372-2020.docx")</f>
        <v/>
      </c>
    </row>
    <row r="236" ht="15" customHeight="1">
      <c r="A236" t="inlineStr">
        <is>
          <t>A 54982-2020</t>
        </is>
      </c>
      <c r="B236" s="1" t="n">
        <v>44130</v>
      </c>
      <c r="C236" s="1" t="n">
        <v>45172</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f>
        <v/>
      </c>
      <c r="T236">
        <f>HYPERLINK("https://klasma.github.io/Logging_STROMSUND/kartor/A 54982-2020.png")</f>
        <v/>
      </c>
      <c r="V236">
        <f>HYPERLINK("https://klasma.github.io/Logging_STROMSUND/klagomål/A 54982-2020.docx")</f>
        <v/>
      </c>
      <c r="W236">
        <f>HYPERLINK("https://klasma.github.io/Logging_STROMSUND/klagomålsmail/A 54982-2020.docx")</f>
        <v/>
      </c>
      <c r="X236">
        <f>HYPERLINK("https://klasma.github.io/Logging_STROMSUND/tillsyn/A 54982-2020.docx")</f>
        <v/>
      </c>
      <c r="Y236">
        <f>HYPERLINK("https://klasma.github.io/Logging_STROMSUND/tillsynsmail/A 54982-2020.docx")</f>
        <v/>
      </c>
    </row>
    <row r="237" ht="15" customHeight="1">
      <c r="A237" t="inlineStr">
        <is>
          <t>A 58560-2020</t>
        </is>
      </c>
      <c r="B237" s="1" t="n">
        <v>44145</v>
      </c>
      <c r="C237" s="1" t="n">
        <v>45172</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f>
        <v/>
      </c>
      <c r="T237">
        <f>HYPERLINK("https://klasma.github.io/Logging_STROMSUND/kartor/A 58560-2020.png")</f>
        <v/>
      </c>
      <c r="V237">
        <f>HYPERLINK("https://klasma.github.io/Logging_STROMSUND/klagomål/A 58560-2020.docx")</f>
        <v/>
      </c>
      <c r="W237">
        <f>HYPERLINK("https://klasma.github.io/Logging_STROMSUND/klagomålsmail/A 58560-2020.docx")</f>
        <v/>
      </c>
      <c r="X237">
        <f>HYPERLINK("https://klasma.github.io/Logging_STROMSUND/tillsyn/A 58560-2020.docx")</f>
        <v/>
      </c>
      <c r="Y237">
        <f>HYPERLINK("https://klasma.github.io/Logging_STROMSUND/tillsynsmail/A 58560-2020.docx")</f>
        <v/>
      </c>
    </row>
    <row r="238" ht="15" customHeight="1">
      <c r="A238" t="inlineStr">
        <is>
          <t>A 64791-2020</t>
        </is>
      </c>
      <c r="B238" s="1" t="n">
        <v>44169</v>
      </c>
      <c r="C238" s="1" t="n">
        <v>45172</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f>
        <v/>
      </c>
      <c r="T238">
        <f>HYPERLINK("https://klasma.github.io/Logging_STROMSUND/kartor/A 64791-2020.png")</f>
        <v/>
      </c>
      <c r="V238">
        <f>HYPERLINK("https://klasma.github.io/Logging_STROMSUND/klagomål/A 64791-2020.docx")</f>
        <v/>
      </c>
      <c r="W238">
        <f>HYPERLINK("https://klasma.github.io/Logging_STROMSUND/klagomålsmail/A 64791-2020.docx")</f>
        <v/>
      </c>
      <c r="X238">
        <f>HYPERLINK("https://klasma.github.io/Logging_STROMSUND/tillsyn/A 64791-2020.docx")</f>
        <v/>
      </c>
      <c r="Y238">
        <f>HYPERLINK("https://klasma.github.io/Logging_STROMSUND/tillsynsmail/A 64791-2020.docx")</f>
        <v/>
      </c>
    </row>
    <row r="239" ht="15" customHeight="1">
      <c r="A239" t="inlineStr">
        <is>
          <t>A 64823-2020</t>
        </is>
      </c>
      <c r="B239" s="1" t="n">
        <v>44169</v>
      </c>
      <c r="C239" s="1" t="n">
        <v>45172</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f>
        <v/>
      </c>
      <c r="T239">
        <f>HYPERLINK("https://klasma.github.io/Logging_STROMSUND/kartor/A 64823-2020.png")</f>
        <v/>
      </c>
      <c r="U239">
        <f>HYPERLINK("https://klasma.github.io/Logging_STROMSUND/knärot/A 64823-2020.png")</f>
        <v/>
      </c>
      <c r="V239">
        <f>HYPERLINK("https://klasma.github.io/Logging_STROMSUND/klagomål/A 64823-2020.docx")</f>
        <v/>
      </c>
      <c r="W239">
        <f>HYPERLINK("https://klasma.github.io/Logging_STROMSUND/klagomålsmail/A 64823-2020.docx")</f>
        <v/>
      </c>
      <c r="X239">
        <f>HYPERLINK("https://klasma.github.io/Logging_STROMSUND/tillsyn/A 64823-2020.docx")</f>
        <v/>
      </c>
      <c r="Y239">
        <f>HYPERLINK("https://klasma.github.io/Logging_STROMSUND/tillsynsmail/A 64823-2020.docx")</f>
        <v/>
      </c>
    </row>
    <row r="240" ht="15" customHeight="1">
      <c r="A240" t="inlineStr">
        <is>
          <t>A 66717-2020</t>
        </is>
      </c>
      <c r="B240" s="1" t="n">
        <v>44179</v>
      </c>
      <c r="C240" s="1" t="n">
        <v>45172</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f>
        <v/>
      </c>
      <c r="T240">
        <f>HYPERLINK("https://klasma.github.io/Logging_STROMSUND/kartor/A 66717-2020.png")</f>
        <v/>
      </c>
      <c r="V240">
        <f>HYPERLINK("https://klasma.github.io/Logging_STROMSUND/klagomål/A 66717-2020.docx")</f>
        <v/>
      </c>
      <c r="W240">
        <f>HYPERLINK("https://klasma.github.io/Logging_STROMSUND/klagomålsmail/A 66717-2020.docx")</f>
        <v/>
      </c>
      <c r="X240">
        <f>HYPERLINK("https://klasma.github.io/Logging_STROMSUND/tillsyn/A 66717-2020.docx")</f>
        <v/>
      </c>
      <c r="Y240">
        <f>HYPERLINK("https://klasma.github.io/Logging_STROMSUND/tillsynsmail/A 66717-2020.docx")</f>
        <v/>
      </c>
    </row>
    <row r="241" ht="15" customHeight="1">
      <c r="A241" t="inlineStr">
        <is>
          <t>A 17855-2021</t>
        </is>
      </c>
      <c r="B241" s="1" t="n">
        <v>44300</v>
      </c>
      <c r="C241" s="1" t="n">
        <v>45172</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f>
        <v/>
      </c>
      <c r="T241">
        <f>HYPERLINK("https://klasma.github.io/Logging_STROMSUND/kartor/A 17855-2021.png")</f>
        <v/>
      </c>
      <c r="U241">
        <f>HYPERLINK("https://klasma.github.io/Logging_STROMSUND/knärot/A 17855-2021.png")</f>
        <v/>
      </c>
      <c r="V241">
        <f>HYPERLINK("https://klasma.github.io/Logging_STROMSUND/klagomål/A 17855-2021.docx")</f>
        <v/>
      </c>
      <c r="W241">
        <f>HYPERLINK("https://klasma.github.io/Logging_STROMSUND/klagomålsmail/A 17855-2021.docx")</f>
        <v/>
      </c>
      <c r="X241">
        <f>HYPERLINK("https://klasma.github.io/Logging_STROMSUND/tillsyn/A 17855-2021.docx")</f>
        <v/>
      </c>
      <c r="Y241">
        <f>HYPERLINK("https://klasma.github.io/Logging_STROMSUND/tillsynsmail/A 17855-2021.docx")</f>
        <v/>
      </c>
    </row>
    <row r="242" ht="15" customHeight="1">
      <c r="A242" t="inlineStr">
        <is>
          <t>A 22528-2021</t>
        </is>
      </c>
      <c r="B242" s="1" t="n">
        <v>44326</v>
      </c>
      <c r="C242" s="1" t="n">
        <v>45172</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f>
        <v/>
      </c>
      <c r="T242">
        <f>HYPERLINK("https://klasma.github.io/Logging_STROMSUND/kartor/A 22528-2021.png")</f>
        <v/>
      </c>
      <c r="V242">
        <f>HYPERLINK("https://klasma.github.io/Logging_STROMSUND/klagomål/A 22528-2021.docx")</f>
        <v/>
      </c>
      <c r="W242">
        <f>HYPERLINK("https://klasma.github.io/Logging_STROMSUND/klagomålsmail/A 22528-2021.docx")</f>
        <v/>
      </c>
      <c r="X242">
        <f>HYPERLINK("https://klasma.github.io/Logging_STROMSUND/tillsyn/A 22528-2021.docx")</f>
        <v/>
      </c>
      <c r="Y242">
        <f>HYPERLINK("https://klasma.github.io/Logging_STROMSUND/tillsynsmail/A 22528-2021.docx")</f>
        <v/>
      </c>
    </row>
    <row r="243" ht="15" customHeight="1">
      <c r="A243" t="inlineStr">
        <is>
          <t>A 26147-2021</t>
        </is>
      </c>
      <c r="B243" s="1" t="n">
        <v>44346</v>
      </c>
      <c r="C243" s="1" t="n">
        <v>45172</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f>
        <v/>
      </c>
      <c r="T243">
        <f>HYPERLINK("https://klasma.github.io/Logging_STROMSUND/kartor/A 26147-2021.png")</f>
        <v/>
      </c>
      <c r="V243">
        <f>HYPERLINK("https://klasma.github.io/Logging_STROMSUND/klagomål/A 26147-2021.docx")</f>
        <v/>
      </c>
      <c r="W243">
        <f>HYPERLINK("https://klasma.github.io/Logging_STROMSUND/klagomålsmail/A 26147-2021.docx")</f>
        <v/>
      </c>
      <c r="X243">
        <f>HYPERLINK("https://klasma.github.io/Logging_STROMSUND/tillsyn/A 26147-2021.docx")</f>
        <v/>
      </c>
      <c r="Y243">
        <f>HYPERLINK("https://klasma.github.io/Logging_STROMSUND/tillsynsmail/A 26147-2021.docx")</f>
        <v/>
      </c>
    </row>
    <row r="244" ht="15" customHeight="1">
      <c r="A244" t="inlineStr">
        <is>
          <t>A 26148-2021</t>
        </is>
      </c>
      <c r="B244" s="1" t="n">
        <v>44346</v>
      </c>
      <c r="C244" s="1" t="n">
        <v>45172</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f>
        <v/>
      </c>
      <c r="T244">
        <f>HYPERLINK("https://klasma.github.io/Logging_STROMSUND/kartor/A 26148-2021.png")</f>
        <v/>
      </c>
      <c r="V244">
        <f>HYPERLINK("https://klasma.github.io/Logging_STROMSUND/klagomål/A 26148-2021.docx")</f>
        <v/>
      </c>
      <c r="W244">
        <f>HYPERLINK("https://klasma.github.io/Logging_STROMSUND/klagomålsmail/A 26148-2021.docx")</f>
        <v/>
      </c>
      <c r="X244">
        <f>HYPERLINK("https://klasma.github.io/Logging_STROMSUND/tillsyn/A 26148-2021.docx")</f>
        <v/>
      </c>
      <c r="Y244">
        <f>HYPERLINK("https://klasma.github.io/Logging_STROMSUND/tillsynsmail/A 26148-2021.docx")</f>
        <v/>
      </c>
    </row>
    <row r="245" ht="15" customHeight="1">
      <c r="A245" t="inlineStr">
        <is>
          <t>A 26151-2021</t>
        </is>
      </c>
      <c r="B245" s="1" t="n">
        <v>44346</v>
      </c>
      <c r="C245" s="1" t="n">
        <v>45172</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f>
        <v/>
      </c>
      <c r="T245">
        <f>HYPERLINK("https://klasma.github.io/Logging_STROMSUND/kartor/A 26151-2021.png")</f>
        <v/>
      </c>
      <c r="V245">
        <f>HYPERLINK("https://klasma.github.io/Logging_STROMSUND/klagomål/A 26151-2021.docx")</f>
        <v/>
      </c>
      <c r="W245">
        <f>HYPERLINK("https://klasma.github.io/Logging_STROMSUND/klagomålsmail/A 26151-2021.docx")</f>
        <v/>
      </c>
      <c r="X245">
        <f>HYPERLINK("https://klasma.github.io/Logging_STROMSUND/tillsyn/A 26151-2021.docx")</f>
        <v/>
      </c>
      <c r="Y245">
        <f>HYPERLINK("https://klasma.github.io/Logging_STROMSUND/tillsynsmail/A 26151-2021.docx")</f>
        <v/>
      </c>
    </row>
    <row r="246" ht="15" customHeight="1">
      <c r="A246" t="inlineStr">
        <is>
          <t>A 29597-2021</t>
        </is>
      </c>
      <c r="B246" s="1" t="n">
        <v>44361</v>
      </c>
      <c r="C246" s="1" t="n">
        <v>45172</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f>
        <v/>
      </c>
      <c r="T246">
        <f>HYPERLINK("https://klasma.github.io/Logging_STROMSUND/kartor/A 29597-2021.png")</f>
        <v/>
      </c>
      <c r="V246">
        <f>HYPERLINK("https://klasma.github.io/Logging_STROMSUND/klagomål/A 29597-2021.docx")</f>
        <v/>
      </c>
      <c r="W246">
        <f>HYPERLINK("https://klasma.github.io/Logging_STROMSUND/klagomålsmail/A 29597-2021.docx")</f>
        <v/>
      </c>
      <c r="X246">
        <f>HYPERLINK("https://klasma.github.io/Logging_STROMSUND/tillsyn/A 29597-2021.docx")</f>
        <v/>
      </c>
      <c r="Y246">
        <f>HYPERLINK("https://klasma.github.io/Logging_STROMSUND/tillsynsmail/A 29597-2021.docx")</f>
        <v/>
      </c>
    </row>
    <row r="247" ht="15" customHeight="1">
      <c r="A247" t="inlineStr">
        <is>
          <t>A 32913-2021</t>
        </is>
      </c>
      <c r="B247" s="1" t="n">
        <v>44375</v>
      </c>
      <c r="C247" s="1" t="n">
        <v>45172</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f>
        <v/>
      </c>
      <c r="T247">
        <f>HYPERLINK("https://klasma.github.io/Logging_STROMSUND/kartor/A 32913-2021.png")</f>
        <v/>
      </c>
      <c r="V247">
        <f>HYPERLINK("https://klasma.github.io/Logging_STROMSUND/klagomål/A 32913-2021.docx")</f>
        <v/>
      </c>
      <c r="W247">
        <f>HYPERLINK("https://klasma.github.io/Logging_STROMSUND/klagomålsmail/A 32913-2021.docx")</f>
        <v/>
      </c>
      <c r="X247">
        <f>HYPERLINK("https://klasma.github.io/Logging_STROMSUND/tillsyn/A 32913-2021.docx")</f>
        <v/>
      </c>
      <c r="Y247">
        <f>HYPERLINK("https://klasma.github.io/Logging_STROMSUND/tillsynsmail/A 32913-2021.docx")</f>
        <v/>
      </c>
    </row>
    <row r="248" ht="15" customHeight="1">
      <c r="A248" t="inlineStr">
        <is>
          <t>A 33545-2021</t>
        </is>
      </c>
      <c r="B248" s="1" t="n">
        <v>44377</v>
      </c>
      <c r="C248" s="1" t="n">
        <v>45172</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f>
        <v/>
      </c>
      <c r="T248">
        <f>HYPERLINK("https://klasma.github.io/Logging_STROMSUND/kartor/A 33545-2021.png")</f>
        <v/>
      </c>
      <c r="V248">
        <f>HYPERLINK("https://klasma.github.io/Logging_STROMSUND/klagomål/A 33545-2021.docx")</f>
        <v/>
      </c>
      <c r="W248">
        <f>HYPERLINK("https://klasma.github.io/Logging_STROMSUND/klagomålsmail/A 33545-2021.docx")</f>
        <v/>
      </c>
      <c r="X248">
        <f>HYPERLINK("https://klasma.github.io/Logging_STROMSUND/tillsyn/A 33545-2021.docx")</f>
        <v/>
      </c>
      <c r="Y248">
        <f>HYPERLINK("https://klasma.github.io/Logging_STROMSUND/tillsynsmail/A 33545-2021.docx")</f>
        <v/>
      </c>
    </row>
    <row r="249" ht="15" customHeight="1">
      <c r="A249" t="inlineStr">
        <is>
          <t>A 35444-2021</t>
        </is>
      </c>
      <c r="B249" s="1" t="n">
        <v>44385</v>
      </c>
      <c r="C249" s="1" t="n">
        <v>45172</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f>
        <v/>
      </c>
      <c r="T249">
        <f>HYPERLINK("https://klasma.github.io/Logging_STROMSUND/kartor/A 35444-2021.png")</f>
        <v/>
      </c>
      <c r="V249">
        <f>HYPERLINK("https://klasma.github.io/Logging_STROMSUND/klagomål/A 35444-2021.docx")</f>
        <v/>
      </c>
      <c r="W249">
        <f>HYPERLINK("https://klasma.github.io/Logging_STROMSUND/klagomålsmail/A 35444-2021.docx")</f>
        <v/>
      </c>
      <c r="X249">
        <f>HYPERLINK("https://klasma.github.io/Logging_STROMSUND/tillsyn/A 35444-2021.docx")</f>
        <v/>
      </c>
      <c r="Y249">
        <f>HYPERLINK("https://klasma.github.io/Logging_STROMSUND/tillsynsmail/A 35444-2021.docx")</f>
        <v/>
      </c>
    </row>
    <row r="250" ht="15" customHeight="1">
      <c r="A250" t="inlineStr">
        <is>
          <t>A 37372-2021</t>
        </is>
      </c>
      <c r="B250" s="1" t="n">
        <v>44397</v>
      </c>
      <c r="C250" s="1" t="n">
        <v>45172</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f>
        <v/>
      </c>
      <c r="T250">
        <f>HYPERLINK("https://klasma.github.io/Logging_STROMSUND/kartor/A 37372-2021.png")</f>
        <v/>
      </c>
      <c r="V250">
        <f>HYPERLINK("https://klasma.github.io/Logging_STROMSUND/klagomål/A 37372-2021.docx")</f>
        <v/>
      </c>
      <c r="W250">
        <f>HYPERLINK("https://klasma.github.io/Logging_STROMSUND/klagomålsmail/A 37372-2021.docx")</f>
        <v/>
      </c>
      <c r="X250">
        <f>HYPERLINK("https://klasma.github.io/Logging_STROMSUND/tillsyn/A 37372-2021.docx")</f>
        <v/>
      </c>
      <c r="Y250">
        <f>HYPERLINK("https://klasma.github.io/Logging_STROMSUND/tillsynsmail/A 37372-2021.docx")</f>
        <v/>
      </c>
    </row>
    <row r="251" ht="15" customHeight="1">
      <c r="A251" t="inlineStr">
        <is>
          <t>A 38584-2021</t>
        </is>
      </c>
      <c r="B251" s="1" t="n">
        <v>44407</v>
      </c>
      <c r="C251" s="1" t="n">
        <v>45172</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f>
        <v/>
      </c>
      <c r="T251">
        <f>HYPERLINK("https://klasma.github.io/Logging_STROMSUND/kartor/A 38584-2021.png")</f>
        <v/>
      </c>
      <c r="U251">
        <f>HYPERLINK("https://klasma.github.io/Logging_STROMSUND/knärot/A 38584-2021.png")</f>
        <v/>
      </c>
      <c r="V251">
        <f>HYPERLINK("https://klasma.github.io/Logging_STROMSUND/klagomål/A 38584-2021.docx")</f>
        <v/>
      </c>
      <c r="W251">
        <f>HYPERLINK("https://klasma.github.io/Logging_STROMSUND/klagomålsmail/A 38584-2021.docx")</f>
        <v/>
      </c>
      <c r="X251">
        <f>HYPERLINK("https://klasma.github.io/Logging_STROMSUND/tillsyn/A 38584-2021.docx")</f>
        <v/>
      </c>
      <c r="Y251">
        <f>HYPERLINK("https://klasma.github.io/Logging_STROMSUND/tillsynsmail/A 38584-2021.docx")</f>
        <v/>
      </c>
    </row>
    <row r="252" ht="15" customHeight="1">
      <c r="A252" t="inlineStr">
        <is>
          <t>A 39928-2021</t>
        </is>
      </c>
      <c r="B252" s="1" t="n">
        <v>44417</v>
      </c>
      <c r="C252" s="1" t="n">
        <v>45172</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f>
        <v/>
      </c>
      <c r="T252">
        <f>HYPERLINK("https://klasma.github.io/Logging_STROMSUND/kartor/A 39928-2021.png")</f>
        <v/>
      </c>
      <c r="V252">
        <f>HYPERLINK("https://klasma.github.io/Logging_STROMSUND/klagomål/A 39928-2021.docx")</f>
        <v/>
      </c>
      <c r="W252">
        <f>HYPERLINK("https://klasma.github.io/Logging_STROMSUND/klagomålsmail/A 39928-2021.docx")</f>
        <v/>
      </c>
      <c r="X252">
        <f>HYPERLINK("https://klasma.github.io/Logging_STROMSUND/tillsyn/A 39928-2021.docx")</f>
        <v/>
      </c>
      <c r="Y252">
        <f>HYPERLINK("https://klasma.github.io/Logging_STROMSUND/tillsynsmail/A 39928-2021.docx")</f>
        <v/>
      </c>
    </row>
    <row r="253" ht="15" customHeight="1">
      <c r="A253" t="inlineStr">
        <is>
          <t>A 42246-2021</t>
        </is>
      </c>
      <c r="B253" s="1" t="n">
        <v>44426</v>
      </c>
      <c r="C253" s="1" t="n">
        <v>45172</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f>
        <v/>
      </c>
      <c r="T253">
        <f>HYPERLINK("https://klasma.github.io/Logging_STROMSUND/kartor/A 42246-2021.png")</f>
        <v/>
      </c>
      <c r="V253">
        <f>HYPERLINK("https://klasma.github.io/Logging_STROMSUND/klagomål/A 42246-2021.docx")</f>
        <v/>
      </c>
      <c r="W253">
        <f>HYPERLINK("https://klasma.github.io/Logging_STROMSUND/klagomålsmail/A 42246-2021.docx")</f>
        <v/>
      </c>
      <c r="X253">
        <f>HYPERLINK("https://klasma.github.io/Logging_STROMSUND/tillsyn/A 42246-2021.docx")</f>
        <v/>
      </c>
      <c r="Y253">
        <f>HYPERLINK("https://klasma.github.io/Logging_STROMSUND/tillsynsmail/A 42246-2021.docx")</f>
        <v/>
      </c>
    </row>
    <row r="254" ht="15" customHeight="1">
      <c r="A254" t="inlineStr">
        <is>
          <t>A 50654-2021</t>
        </is>
      </c>
      <c r="B254" s="1" t="n">
        <v>44459</v>
      </c>
      <c r="C254" s="1" t="n">
        <v>45172</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f>
        <v/>
      </c>
      <c r="T254">
        <f>HYPERLINK("https://klasma.github.io/Logging_STROMSUND/kartor/A 50654-2021.png")</f>
        <v/>
      </c>
      <c r="V254">
        <f>HYPERLINK("https://klasma.github.io/Logging_STROMSUND/klagomål/A 50654-2021.docx")</f>
        <v/>
      </c>
      <c r="W254">
        <f>HYPERLINK("https://klasma.github.io/Logging_STROMSUND/klagomålsmail/A 50654-2021.docx")</f>
        <v/>
      </c>
      <c r="X254">
        <f>HYPERLINK("https://klasma.github.io/Logging_STROMSUND/tillsyn/A 50654-2021.docx")</f>
        <v/>
      </c>
      <c r="Y254">
        <f>HYPERLINK("https://klasma.github.io/Logging_STROMSUND/tillsynsmail/A 50654-2021.docx")</f>
        <v/>
      </c>
    </row>
    <row r="255" ht="15" customHeight="1">
      <c r="A255" t="inlineStr">
        <is>
          <t>A 53509-2021</t>
        </is>
      </c>
      <c r="B255" s="1" t="n">
        <v>44468</v>
      </c>
      <c r="C255" s="1" t="n">
        <v>45172</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f>
        <v/>
      </c>
      <c r="T255">
        <f>HYPERLINK("https://klasma.github.io/Logging_STROMSUND/kartor/A 53509-2021.png")</f>
        <v/>
      </c>
      <c r="V255">
        <f>HYPERLINK("https://klasma.github.io/Logging_STROMSUND/klagomål/A 53509-2021.docx")</f>
        <v/>
      </c>
      <c r="W255">
        <f>HYPERLINK("https://klasma.github.io/Logging_STROMSUND/klagomålsmail/A 53509-2021.docx")</f>
        <v/>
      </c>
      <c r="X255">
        <f>HYPERLINK("https://klasma.github.io/Logging_STROMSUND/tillsyn/A 53509-2021.docx")</f>
        <v/>
      </c>
      <c r="Y255">
        <f>HYPERLINK("https://klasma.github.io/Logging_STROMSUND/tillsynsmail/A 53509-2021.docx")</f>
        <v/>
      </c>
    </row>
    <row r="256" ht="15" customHeight="1">
      <c r="A256" t="inlineStr">
        <is>
          <t>A 53517-2021</t>
        </is>
      </c>
      <c r="B256" s="1" t="n">
        <v>44468</v>
      </c>
      <c r="C256" s="1" t="n">
        <v>45172</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f>
        <v/>
      </c>
      <c r="T256">
        <f>HYPERLINK("https://klasma.github.io/Logging_STROMSUND/kartor/A 53517-2021.png")</f>
        <v/>
      </c>
      <c r="V256">
        <f>HYPERLINK("https://klasma.github.io/Logging_STROMSUND/klagomål/A 53517-2021.docx")</f>
        <v/>
      </c>
      <c r="W256">
        <f>HYPERLINK("https://klasma.github.io/Logging_STROMSUND/klagomålsmail/A 53517-2021.docx")</f>
        <v/>
      </c>
      <c r="X256">
        <f>HYPERLINK("https://klasma.github.io/Logging_STROMSUND/tillsyn/A 53517-2021.docx")</f>
        <v/>
      </c>
      <c r="Y256">
        <f>HYPERLINK("https://klasma.github.io/Logging_STROMSUND/tillsynsmail/A 53517-2021.docx")</f>
        <v/>
      </c>
    </row>
    <row r="257" ht="15" customHeight="1">
      <c r="A257" t="inlineStr">
        <is>
          <t>A 55604-2021</t>
        </is>
      </c>
      <c r="B257" s="1" t="n">
        <v>44475</v>
      </c>
      <c r="C257" s="1" t="n">
        <v>45172</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f>
        <v/>
      </c>
      <c r="T257">
        <f>HYPERLINK("https://klasma.github.io/Logging_STROMSUND/kartor/A 55604-2021.png")</f>
        <v/>
      </c>
      <c r="V257">
        <f>HYPERLINK("https://klasma.github.io/Logging_STROMSUND/klagomål/A 55604-2021.docx")</f>
        <v/>
      </c>
      <c r="W257">
        <f>HYPERLINK("https://klasma.github.io/Logging_STROMSUND/klagomålsmail/A 55604-2021.docx")</f>
        <v/>
      </c>
      <c r="X257">
        <f>HYPERLINK("https://klasma.github.io/Logging_STROMSUND/tillsyn/A 55604-2021.docx")</f>
        <v/>
      </c>
      <c r="Y257">
        <f>HYPERLINK("https://klasma.github.io/Logging_STROMSUND/tillsynsmail/A 55604-2021.docx")</f>
        <v/>
      </c>
    </row>
    <row r="258" ht="15" customHeight="1">
      <c r="A258" t="inlineStr">
        <is>
          <t>A 56210-2021</t>
        </is>
      </c>
      <c r="B258" s="1" t="n">
        <v>44477</v>
      </c>
      <c r="C258" s="1" t="n">
        <v>45172</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f>
        <v/>
      </c>
      <c r="T258">
        <f>HYPERLINK("https://klasma.github.io/Logging_STROMSUND/kartor/A 56210-2021.png")</f>
        <v/>
      </c>
      <c r="V258">
        <f>HYPERLINK("https://klasma.github.io/Logging_STROMSUND/klagomål/A 56210-2021.docx")</f>
        <v/>
      </c>
      <c r="W258">
        <f>HYPERLINK("https://klasma.github.io/Logging_STROMSUND/klagomålsmail/A 56210-2021.docx")</f>
        <v/>
      </c>
      <c r="X258">
        <f>HYPERLINK("https://klasma.github.io/Logging_STROMSUND/tillsyn/A 56210-2021.docx")</f>
        <v/>
      </c>
      <c r="Y258">
        <f>HYPERLINK("https://klasma.github.io/Logging_STROMSUND/tillsynsmail/A 56210-2021.docx")</f>
        <v/>
      </c>
    </row>
    <row r="259" ht="15" customHeight="1">
      <c r="A259" t="inlineStr">
        <is>
          <t>A 61482-2021</t>
        </is>
      </c>
      <c r="B259" s="1" t="n">
        <v>44500</v>
      </c>
      <c r="C259" s="1" t="n">
        <v>45172</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f>
        <v/>
      </c>
      <c r="T259">
        <f>HYPERLINK("https://klasma.github.io/Logging_STROMSUND/kartor/A 61482-2021.png")</f>
        <v/>
      </c>
      <c r="V259">
        <f>HYPERLINK("https://klasma.github.io/Logging_STROMSUND/klagomål/A 61482-2021.docx")</f>
        <v/>
      </c>
      <c r="W259">
        <f>HYPERLINK("https://klasma.github.io/Logging_STROMSUND/klagomålsmail/A 61482-2021.docx")</f>
        <v/>
      </c>
      <c r="X259">
        <f>HYPERLINK("https://klasma.github.io/Logging_STROMSUND/tillsyn/A 61482-2021.docx")</f>
        <v/>
      </c>
      <c r="Y259">
        <f>HYPERLINK("https://klasma.github.io/Logging_STROMSUND/tillsynsmail/A 61482-2021.docx")</f>
        <v/>
      </c>
    </row>
    <row r="260" ht="15" customHeight="1">
      <c r="A260" t="inlineStr">
        <is>
          <t>A 61437-2021</t>
        </is>
      </c>
      <c r="B260" s="1" t="n">
        <v>44500</v>
      </c>
      <c r="C260" s="1" t="n">
        <v>45172</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f>
        <v/>
      </c>
      <c r="T260">
        <f>HYPERLINK("https://klasma.github.io/Logging_STROMSUND/kartor/A 61437-2021.png")</f>
        <v/>
      </c>
      <c r="V260">
        <f>HYPERLINK("https://klasma.github.io/Logging_STROMSUND/klagomål/A 61437-2021.docx")</f>
        <v/>
      </c>
      <c r="W260">
        <f>HYPERLINK("https://klasma.github.io/Logging_STROMSUND/klagomålsmail/A 61437-2021.docx")</f>
        <v/>
      </c>
      <c r="X260">
        <f>HYPERLINK("https://klasma.github.io/Logging_STROMSUND/tillsyn/A 61437-2021.docx")</f>
        <v/>
      </c>
      <c r="Y260">
        <f>HYPERLINK("https://klasma.github.io/Logging_STROMSUND/tillsynsmail/A 61437-2021.docx")</f>
        <v/>
      </c>
    </row>
    <row r="261" ht="15" customHeight="1">
      <c r="A261" t="inlineStr">
        <is>
          <t>A 64658-2021</t>
        </is>
      </c>
      <c r="B261" s="1" t="n">
        <v>44511</v>
      </c>
      <c r="C261" s="1" t="n">
        <v>45172</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f>
        <v/>
      </c>
      <c r="T261">
        <f>HYPERLINK("https://klasma.github.io/Logging_STROMSUND/kartor/A 64658-2021.png")</f>
        <v/>
      </c>
      <c r="V261">
        <f>HYPERLINK("https://klasma.github.io/Logging_STROMSUND/klagomål/A 64658-2021.docx")</f>
        <v/>
      </c>
      <c r="W261">
        <f>HYPERLINK("https://klasma.github.io/Logging_STROMSUND/klagomålsmail/A 64658-2021.docx")</f>
        <v/>
      </c>
      <c r="X261">
        <f>HYPERLINK("https://klasma.github.io/Logging_STROMSUND/tillsyn/A 64658-2021.docx")</f>
        <v/>
      </c>
      <c r="Y261">
        <f>HYPERLINK("https://klasma.github.io/Logging_STROMSUND/tillsynsmail/A 64658-2021.docx")</f>
        <v/>
      </c>
    </row>
    <row r="262" ht="15" customHeight="1">
      <c r="A262" t="inlineStr">
        <is>
          <t>A 66483-2021</t>
        </is>
      </c>
      <c r="B262" s="1" t="n">
        <v>44518</v>
      </c>
      <c r="C262" s="1" t="n">
        <v>45172</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f>
        <v/>
      </c>
      <c r="T262">
        <f>HYPERLINK("https://klasma.github.io/Logging_STROMSUND/kartor/A 66483-2021.png")</f>
        <v/>
      </c>
      <c r="V262">
        <f>HYPERLINK("https://klasma.github.io/Logging_STROMSUND/klagomål/A 66483-2021.docx")</f>
        <v/>
      </c>
      <c r="W262">
        <f>HYPERLINK("https://klasma.github.io/Logging_STROMSUND/klagomålsmail/A 66483-2021.docx")</f>
        <v/>
      </c>
      <c r="X262">
        <f>HYPERLINK("https://klasma.github.io/Logging_STROMSUND/tillsyn/A 66483-2021.docx")</f>
        <v/>
      </c>
      <c r="Y262">
        <f>HYPERLINK("https://klasma.github.io/Logging_STROMSUND/tillsynsmail/A 66483-2021.docx")</f>
        <v/>
      </c>
    </row>
    <row r="263" ht="15" customHeight="1">
      <c r="A263" t="inlineStr">
        <is>
          <t>A 68604-2021</t>
        </is>
      </c>
      <c r="B263" s="1" t="n">
        <v>44529</v>
      </c>
      <c r="C263" s="1" t="n">
        <v>45172</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f>
        <v/>
      </c>
      <c r="T263">
        <f>HYPERLINK("https://klasma.github.io/Logging_STROMSUND/kartor/A 68604-2021.png")</f>
        <v/>
      </c>
      <c r="V263">
        <f>HYPERLINK("https://klasma.github.io/Logging_STROMSUND/klagomål/A 68604-2021.docx")</f>
        <v/>
      </c>
      <c r="W263">
        <f>HYPERLINK("https://klasma.github.io/Logging_STROMSUND/klagomålsmail/A 68604-2021.docx")</f>
        <v/>
      </c>
      <c r="X263">
        <f>HYPERLINK("https://klasma.github.io/Logging_STROMSUND/tillsyn/A 68604-2021.docx")</f>
        <v/>
      </c>
      <c r="Y263">
        <f>HYPERLINK("https://klasma.github.io/Logging_STROMSUND/tillsynsmail/A 68604-2021.docx")</f>
        <v/>
      </c>
    </row>
    <row r="264" ht="15" customHeight="1">
      <c r="A264" t="inlineStr">
        <is>
          <t>A 69134-2021</t>
        </is>
      </c>
      <c r="B264" s="1" t="n">
        <v>44530</v>
      </c>
      <c r="C264" s="1" t="n">
        <v>45172</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f>
        <v/>
      </c>
      <c r="T264">
        <f>HYPERLINK("https://klasma.github.io/Logging_STROMSUND/kartor/A 69134-2021.png")</f>
        <v/>
      </c>
      <c r="V264">
        <f>HYPERLINK("https://klasma.github.io/Logging_STROMSUND/klagomål/A 69134-2021.docx")</f>
        <v/>
      </c>
      <c r="W264">
        <f>HYPERLINK("https://klasma.github.io/Logging_STROMSUND/klagomålsmail/A 69134-2021.docx")</f>
        <v/>
      </c>
      <c r="X264">
        <f>HYPERLINK("https://klasma.github.io/Logging_STROMSUND/tillsyn/A 69134-2021.docx")</f>
        <v/>
      </c>
      <c r="Y264">
        <f>HYPERLINK("https://klasma.github.io/Logging_STROMSUND/tillsynsmail/A 69134-2021.docx")</f>
        <v/>
      </c>
    </row>
    <row r="265" ht="15" customHeight="1">
      <c r="A265" t="inlineStr">
        <is>
          <t>A 69551-2021</t>
        </is>
      </c>
      <c r="B265" s="1" t="n">
        <v>44531</v>
      </c>
      <c r="C265" s="1" t="n">
        <v>45172</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f>
        <v/>
      </c>
      <c r="T265">
        <f>HYPERLINK("https://klasma.github.io/Logging_STROMSUND/kartor/A 69551-2021.png")</f>
        <v/>
      </c>
      <c r="V265">
        <f>HYPERLINK("https://klasma.github.io/Logging_STROMSUND/klagomål/A 69551-2021.docx")</f>
        <v/>
      </c>
      <c r="W265">
        <f>HYPERLINK("https://klasma.github.io/Logging_STROMSUND/klagomålsmail/A 69551-2021.docx")</f>
        <v/>
      </c>
      <c r="X265">
        <f>HYPERLINK("https://klasma.github.io/Logging_STROMSUND/tillsyn/A 69551-2021.docx")</f>
        <v/>
      </c>
      <c r="Y265">
        <f>HYPERLINK("https://klasma.github.io/Logging_STROMSUND/tillsynsmail/A 69551-2021.docx")</f>
        <v/>
      </c>
    </row>
    <row r="266" ht="15" customHeight="1">
      <c r="A266" t="inlineStr">
        <is>
          <t>A 10696-2022</t>
        </is>
      </c>
      <c r="B266" s="1" t="n">
        <v>44624</v>
      </c>
      <c r="C266" s="1" t="n">
        <v>45172</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f>
        <v/>
      </c>
      <c r="T266">
        <f>HYPERLINK("https://klasma.github.io/Logging_STROMSUND/kartor/A 10696-2022.png")</f>
        <v/>
      </c>
      <c r="V266">
        <f>HYPERLINK("https://klasma.github.io/Logging_STROMSUND/klagomål/A 10696-2022.docx")</f>
        <v/>
      </c>
      <c r="W266">
        <f>HYPERLINK("https://klasma.github.io/Logging_STROMSUND/klagomålsmail/A 10696-2022.docx")</f>
        <v/>
      </c>
      <c r="X266">
        <f>HYPERLINK("https://klasma.github.io/Logging_STROMSUND/tillsyn/A 10696-2022.docx")</f>
        <v/>
      </c>
      <c r="Y266">
        <f>HYPERLINK("https://klasma.github.io/Logging_STROMSUND/tillsynsmail/A 10696-2022.docx")</f>
        <v/>
      </c>
    </row>
    <row r="267" ht="15" customHeight="1">
      <c r="A267" t="inlineStr">
        <is>
          <t>A 11124-2022</t>
        </is>
      </c>
      <c r="B267" s="1" t="n">
        <v>44628</v>
      </c>
      <c r="C267" s="1" t="n">
        <v>45172</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f>
        <v/>
      </c>
      <c r="T267">
        <f>HYPERLINK("https://klasma.github.io/Logging_STROMSUND/kartor/A 11124-2022.png")</f>
        <v/>
      </c>
      <c r="V267">
        <f>HYPERLINK("https://klasma.github.io/Logging_STROMSUND/klagomål/A 11124-2022.docx")</f>
        <v/>
      </c>
      <c r="W267">
        <f>HYPERLINK("https://klasma.github.io/Logging_STROMSUND/klagomålsmail/A 11124-2022.docx")</f>
        <v/>
      </c>
      <c r="X267">
        <f>HYPERLINK("https://klasma.github.io/Logging_STROMSUND/tillsyn/A 11124-2022.docx")</f>
        <v/>
      </c>
      <c r="Y267">
        <f>HYPERLINK("https://klasma.github.io/Logging_STROMSUND/tillsynsmail/A 11124-2022.docx")</f>
        <v/>
      </c>
    </row>
    <row r="268" ht="15" customHeight="1">
      <c r="A268" t="inlineStr">
        <is>
          <t>A 12386-2022</t>
        </is>
      </c>
      <c r="B268" s="1" t="n">
        <v>44637</v>
      </c>
      <c r="C268" s="1" t="n">
        <v>45172</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f>
        <v/>
      </c>
      <c r="T268">
        <f>HYPERLINK("https://klasma.github.io/Logging_STROMSUND/kartor/A 12386-2022.png")</f>
        <v/>
      </c>
      <c r="V268">
        <f>HYPERLINK("https://klasma.github.io/Logging_STROMSUND/klagomål/A 12386-2022.docx")</f>
        <v/>
      </c>
      <c r="W268">
        <f>HYPERLINK("https://klasma.github.io/Logging_STROMSUND/klagomålsmail/A 12386-2022.docx")</f>
        <v/>
      </c>
      <c r="X268">
        <f>HYPERLINK("https://klasma.github.io/Logging_STROMSUND/tillsyn/A 12386-2022.docx")</f>
        <v/>
      </c>
      <c r="Y268">
        <f>HYPERLINK("https://klasma.github.io/Logging_STROMSUND/tillsynsmail/A 12386-2022.docx")</f>
        <v/>
      </c>
    </row>
    <row r="269" ht="15" customHeight="1">
      <c r="A269" t="inlineStr">
        <is>
          <t>A 12950-2022</t>
        </is>
      </c>
      <c r="B269" s="1" t="n">
        <v>44642</v>
      </c>
      <c r="C269" s="1" t="n">
        <v>45172</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f>
        <v/>
      </c>
      <c r="T269">
        <f>HYPERLINK("https://klasma.github.io/Logging_STROMSUND/kartor/A 12950-2022.png")</f>
        <v/>
      </c>
      <c r="V269">
        <f>HYPERLINK("https://klasma.github.io/Logging_STROMSUND/klagomål/A 12950-2022.docx")</f>
        <v/>
      </c>
      <c r="W269">
        <f>HYPERLINK("https://klasma.github.io/Logging_STROMSUND/klagomålsmail/A 12950-2022.docx")</f>
        <v/>
      </c>
      <c r="X269">
        <f>HYPERLINK("https://klasma.github.io/Logging_STROMSUND/tillsyn/A 12950-2022.docx")</f>
        <v/>
      </c>
      <c r="Y269">
        <f>HYPERLINK("https://klasma.github.io/Logging_STROMSUND/tillsynsmail/A 12950-2022.docx")</f>
        <v/>
      </c>
    </row>
    <row r="270" ht="15" customHeight="1">
      <c r="A270" t="inlineStr">
        <is>
          <t>A 14290-2022</t>
        </is>
      </c>
      <c r="B270" s="1" t="n">
        <v>44651</v>
      </c>
      <c r="C270" s="1" t="n">
        <v>45172</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f>
        <v/>
      </c>
      <c r="T270">
        <f>HYPERLINK("https://klasma.github.io/Logging_STROMSUND/kartor/A 14290-2022.png")</f>
        <v/>
      </c>
      <c r="U270">
        <f>HYPERLINK("https://klasma.github.io/Logging_STROMSUND/knärot/A 14290-2022.png")</f>
        <v/>
      </c>
      <c r="V270">
        <f>HYPERLINK("https://klasma.github.io/Logging_STROMSUND/klagomål/A 14290-2022.docx")</f>
        <v/>
      </c>
      <c r="W270">
        <f>HYPERLINK("https://klasma.github.io/Logging_STROMSUND/klagomålsmail/A 14290-2022.docx")</f>
        <v/>
      </c>
      <c r="X270">
        <f>HYPERLINK("https://klasma.github.io/Logging_STROMSUND/tillsyn/A 14290-2022.docx")</f>
        <v/>
      </c>
      <c r="Y270">
        <f>HYPERLINK("https://klasma.github.io/Logging_STROMSUND/tillsynsmail/A 14290-2022.docx")</f>
        <v/>
      </c>
    </row>
    <row r="271" ht="15" customHeight="1">
      <c r="A271" t="inlineStr">
        <is>
          <t>A 14291-2022</t>
        </is>
      </c>
      <c r="B271" s="1" t="n">
        <v>44651</v>
      </c>
      <c r="C271" s="1" t="n">
        <v>45172</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f>
        <v/>
      </c>
      <c r="T271">
        <f>HYPERLINK("https://klasma.github.io/Logging_STROMSUND/kartor/A 14291-2022.png")</f>
        <v/>
      </c>
      <c r="V271">
        <f>HYPERLINK("https://klasma.github.io/Logging_STROMSUND/klagomål/A 14291-2022.docx")</f>
        <v/>
      </c>
      <c r="W271">
        <f>HYPERLINK("https://klasma.github.io/Logging_STROMSUND/klagomålsmail/A 14291-2022.docx")</f>
        <v/>
      </c>
      <c r="X271">
        <f>HYPERLINK("https://klasma.github.io/Logging_STROMSUND/tillsyn/A 14291-2022.docx")</f>
        <v/>
      </c>
      <c r="Y271">
        <f>HYPERLINK("https://klasma.github.io/Logging_STROMSUND/tillsynsmail/A 14291-2022.docx")</f>
        <v/>
      </c>
    </row>
    <row r="272" ht="15" customHeight="1">
      <c r="A272" t="inlineStr">
        <is>
          <t>A 14895-2022</t>
        </is>
      </c>
      <c r="B272" s="1" t="n">
        <v>44656</v>
      </c>
      <c r="C272" s="1" t="n">
        <v>45172</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f>
        <v/>
      </c>
      <c r="T272">
        <f>HYPERLINK("https://klasma.github.io/Logging_STROMSUND/kartor/A 14895-2022.png")</f>
        <v/>
      </c>
      <c r="V272">
        <f>HYPERLINK("https://klasma.github.io/Logging_STROMSUND/klagomål/A 14895-2022.docx")</f>
        <v/>
      </c>
      <c r="W272">
        <f>HYPERLINK("https://klasma.github.io/Logging_STROMSUND/klagomålsmail/A 14895-2022.docx")</f>
        <v/>
      </c>
      <c r="X272">
        <f>HYPERLINK("https://klasma.github.io/Logging_STROMSUND/tillsyn/A 14895-2022.docx")</f>
        <v/>
      </c>
      <c r="Y272">
        <f>HYPERLINK("https://klasma.github.io/Logging_STROMSUND/tillsynsmail/A 14895-2022.docx")</f>
        <v/>
      </c>
    </row>
    <row r="273" ht="15" customHeight="1">
      <c r="A273" t="inlineStr">
        <is>
          <t>A 19600-2022</t>
        </is>
      </c>
      <c r="B273" s="1" t="n">
        <v>44693</v>
      </c>
      <c r="C273" s="1" t="n">
        <v>45172</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f>
        <v/>
      </c>
      <c r="T273">
        <f>HYPERLINK("https://klasma.github.io/Logging_STROMSUND/kartor/A 19600-2022.png")</f>
        <v/>
      </c>
      <c r="V273">
        <f>HYPERLINK("https://klasma.github.io/Logging_STROMSUND/klagomål/A 19600-2022.docx")</f>
        <v/>
      </c>
      <c r="W273">
        <f>HYPERLINK("https://klasma.github.io/Logging_STROMSUND/klagomålsmail/A 19600-2022.docx")</f>
        <v/>
      </c>
      <c r="X273">
        <f>HYPERLINK("https://klasma.github.io/Logging_STROMSUND/tillsyn/A 19600-2022.docx")</f>
        <v/>
      </c>
      <c r="Y273">
        <f>HYPERLINK("https://klasma.github.io/Logging_STROMSUND/tillsynsmail/A 19600-2022.docx")</f>
        <v/>
      </c>
    </row>
    <row r="274" ht="15" customHeight="1">
      <c r="A274" t="inlineStr">
        <is>
          <t>A 20316-2022</t>
        </is>
      </c>
      <c r="B274" s="1" t="n">
        <v>44698</v>
      </c>
      <c r="C274" s="1" t="n">
        <v>45172</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f>
        <v/>
      </c>
      <c r="T274">
        <f>HYPERLINK("https://klasma.github.io/Logging_STROMSUND/kartor/A 20316-2022.png")</f>
        <v/>
      </c>
      <c r="V274">
        <f>HYPERLINK("https://klasma.github.io/Logging_STROMSUND/klagomål/A 20316-2022.docx")</f>
        <v/>
      </c>
      <c r="W274">
        <f>HYPERLINK("https://klasma.github.io/Logging_STROMSUND/klagomålsmail/A 20316-2022.docx")</f>
        <v/>
      </c>
      <c r="X274">
        <f>HYPERLINK("https://klasma.github.io/Logging_STROMSUND/tillsyn/A 20316-2022.docx")</f>
        <v/>
      </c>
      <c r="Y274">
        <f>HYPERLINK("https://klasma.github.io/Logging_STROMSUND/tillsynsmail/A 20316-2022.docx")</f>
        <v/>
      </c>
    </row>
    <row r="275" ht="15" customHeight="1">
      <c r="A275" t="inlineStr">
        <is>
          <t>A 21208-2022</t>
        </is>
      </c>
      <c r="B275" s="1" t="n">
        <v>44704</v>
      </c>
      <c r="C275" s="1" t="n">
        <v>45172</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f>
        <v/>
      </c>
      <c r="T275">
        <f>HYPERLINK("https://klasma.github.io/Logging_STROMSUND/kartor/A 21208-2022.png")</f>
        <v/>
      </c>
      <c r="V275">
        <f>HYPERLINK("https://klasma.github.io/Logging_STROMSUND/klagomål/A 21208-2022.docx")</f>
        <v/>
      </c>
      <c r="W275">
        <f>HYPERLINK("https://klasma.github.io/Logging_STROMSUND/klagomålsmail/A 21208-2022.docx")</f>
        <v/>
      </c>
      <c r="X275">
        <f>HYPERLINK("https://klasma.github.io/Logging_STROMSUND/tillsyn/A 21208-2022.docx")</f>
        <v/>
      </c>
      <c r="Y275">
        <f>HYPERLINK("https://klasma.github.io/Logging_STROMSUND/tillsynsmail/A 21208-2022.docx")</f>
        <v/>
      </c>
    </row>
    <row r="276" ht="15" customHeight="1">
      <c r="A276" t="inlineStr">
        <is>
          <t>A 23186-2022</t>
        </is>
      </c>
      <c r="B276" s="1" t="n">
        <v>44719</v>
      </c>
      <c r="C276" s="1" t="n">
        <v>45172</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f>
        <v/>
      </c>
      <c r="T276">
        <f>HYPERLINK("https://klasma.github.io/Logging_STROMSUND/kartor/A 23186-2022.png")</f>
        <v/>
      </c>
      <c r="V276">
        <f>HYPERLINK("https://klasma.github.io/Logging_STROMSUND/klagomål/A 23186-2022.docx")</f>
        <v/>
      </c>
      <c r="W276">
        <f>HYPERLINK("https://klasma.github.io/Logging_STROMSUND/klagomålsmail/A 23186-2022.docx")</f>
        <v/>
      </c>
      <c r="X276">
        <f>HYPERLINK("https://klasma.github.io/Logging_STROMSUND/tillsyn/A 23186-2022.docx")</f>
        <v/>
      </c>
      <c r="Y276">
        <f>HYPERLINK("https://klasma.github.io/Logging_STROMSUND/tillsynsmail/A 23186-2022.docx")</f>
        <v/>
      </c>
    </row>
    <row r="277" ht="15" customHeight="1">
      <c r="A277" t="inlineStr">
        <is>
          <t>A 24729-2022</t>
        </is>
      </c>
      <c r="B277" s="1" t="n">
        <v>44727</v>
      </c>
      <c r="C277" s="1" t="n">
        <v>45172</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f>
        <v/>
      </c>
      <c r="T277">
        <f>HYPERLINK("https://klasma.github.io/Logging_STROMSUND/kartor/A 24729-2022.png")</f>
        <v/>
      </c>
      <c r="V277">
        <f>HYPERLINK("https://klasma.github.io/Logging_STROMSUND/klagomål/A 24729-2022.docx")</f>
        <v/>
      </c>
      <c r="W277">
        <f>HYPERLINK("https://klasma.github.io/Logging_STROMSUND/klagomålsmail/A 24729-2022.docx")</f>
        <v/>
      </c>
      <c r="X277">
        <f>HYPERLINK("https://klasma.github.io/Logging_STROMSUND/tillsyn/A 24729-2022.docx")</f>
        <v/>
      </c>
      <c r="Y277">
        <f>HYPERLINK("https://klasma.github.io/Logging_STROMSUND/tillsynsmail/A 24729-2022.docx")</f>
        <v/>
      </c>
    </row>
    <row r="278" ht="15" customHeight="1">
      <c r="A278" t="inlineStr">
        <is>
          <t>A 25038-2022</t>
        </is>
      </c>
      <c r="B278" s="1" t="n">
        <v>44728</v>
      </c>
      <c r="C278" s="1" t="n">
        <v>45172</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f>
        <v/>
      </c>
      <c r="T278">
        <f>HYPERLINK("https://klasma.github.io/Logging_STROMSUND/kartor/A 25038-2022.png")</f>
        <v/>
      </c>
      <c r="V278">
        <f>HYPERLINK("https://klasma.github.io/Logging_STROMSUND/klagomål/A 25038-2022.docx")</f>
        <v/>
      </c>
      <c r="W278">
        <f>HYPERLINK("https://klasma.github.io/Logging_STROMSUND/klagomålsmail/A 25038-2022.docx")</f>
        <v/>
      </c>
      <c r="X278">
        <f>HYPERLINK("https://klasma.github.io/Logging_STROMSUND/tillsyn/A 25038-2022.docx")</f>
        <v/>
      </c>
      <c r="Y278">
        <f>HYPERLINK("https://klasma.github.io/Logging_STROMSUND/tillsynsmail/A 25038-2022.docx")</f>
        <v/>
      </c>
    </row>
    <row r="279" ht="15" customHeight="1">
      <c r="A279" t="inlineStr">
        <is>
          <t>A 25015-2022</t>
        </is>
      </c>
      <c r="B279" s="1" t="n">
        <v>44728</v>
      </c>
      <c r="C279" s="1" t="n">
        <v>45172</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f>
        <v/>
      </c>
      <c r="T279">
        <f>HYPERLINK("https://klasma.github.io/Logging_STROMSUND/kartor/A 25015-2022.png")</f>
        <v/>
      </c>
      <c r="V279">
        <f>HYPERLINK("https://klasma.github.io/Logging_STROMSUND/klagomål/A 25015-2022.docx")</f>
        <v/>
      </c>
      <c r="W279">
        <f>HYPERLINK("https://klasma.github.io/Logging_STROMSUND/klagomålsmail/A 25015-2022.docx")</f>
        <v/>
      </c>
      <c r="X279">
        <f>HYPERLINK("https://klasma.github.io/Logging_STROMSUND/tillsyn/A 25015-2022.docx")</f>
        <v/>
      </c>
      <c r="Y279">
        <f>HYPERLINK("https://klasma.github.io/Logging_STROMSUND/tillsynsmail/A 25015-2022.docx")</f>
        <v/>
      </c>
    </row>
    <row r="280" ht="15" customHeight="1">
      <c r="A280" t="inlineStr">
        <is>
          <t>A 27602-2022</t>
        </is>
      </c>
      <c r="B280" s="1" t="n">
        <v>44742</v>
      </c>
      <c r="C280" s="1" t="n">
        <v>45172</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f>
        <v/>
      </c>
      <c r="T280">
        <f>HYPERLINK("https://klasma.github.io/Logging_STROMSUND/kartor/A 27602-2022.png")</f>
        <v/>
      </c>
      <c r="V280">
        <f>HYPERLINK("https://klasma.github.io/Logging_STROMSUND/klagomål/A 27602-2022.docx")</f>
        <v/>
      </c>
      <c r="W280">
        <f>HYPERLINK("https://klasma.github.io/Logging_STROMSUND/klagomålsmail/A 27602-2022.docx")</f>
        <v/>
      </c>
      <c r="X280">
        <f>HYPERLINK("https://klasma.github.io/Logging_STROMSUND/tillsyn/A 27602-2022.docx")</f>
        <v/>
      </c>
      <c r="Y280">
        <f>HYPERLINK("https://klasma.github.io/Logging_STROMSUND/tillsynsmail/A 27602-2022.docx")</f>
        <v/>
      </c>
    </row>
    <row r="281" ht="15" customHeight="1">
      <c r="A281" t="inlineStr">
        <is>
          <t>A 27945-2022</t>
        </is>
      </c>
      <c r="B281" s="1" t="n">
        <v>44743</v>
      </c>
      <c r="C281" s="1" t="n">
        <v>45172</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f>
        <v/>
      </c>
      <c r="T281">
        <f>HYPERLINK("https://klasma.github.io/Logging_STROMSUND/kartor/A 27945-2022.png")</f>
        <v/>
      </c>
      <c r="V281">
        <f>HYPERLINK("https://klasma.github.io/Logging_STROMSUND/klagomål/A 27945-2022.docx")</f>
        <v/>
      </c>
      <c r="W281">
        <f>HYPERLINK("https://klasma.github.io/Logging_STROMSUND/klagomålsmail/A 27945-2022.docx")</f>
        <v/>
      </c>
      <c r="X281">
        <f>HYPERLINK("https://klasma.github.io/Logging_STROMSUND/tillsyn/A 27945-2022.docx")</f>
        <v/>
      </c>
      <c r="Y281">
        <f>HYPERLINK("https://klasma.github.io/Logging_STROMSUND/tillsynsmail/A 27945-2022.docx")</f>
        <v/>
      </c>
    </row>
    <row r="282" ht="15" customHeight="1">
      <c r="A282" t="inlineStr">
        <is>
          <t>A 30233-2022</t>
        </is>
      </c>
      <c r="B282" s="1" t="n">
        <v>44757</v>
      </c>
      <c r="C282" s="1" t="n">
        <v>45172</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f>
        <v/>
      </c>
      <c r="T282">
        <f>HYPERLINK("https://klasma.github.io/Logging_STROMSUND/kartor/A 30233-2022.png")</f>
        <v/>
      </c>
      <c r="V282">
        <f>HYPERLINK("https://klasma.github.io/Logging_STROMSUND/klagomål/A 30233-2022.docx")</f>
        <v/>
      </c>
      <c r="W282">
        <f>HYPERLINK("https://klasma.github.io/Logging_STROMSUND/klagomålsmail/A 30233-2022.docx")</f>
        <v/>
      </c>
      <c r="X282">
        <f>HYPERLINK("https://klasma.github.io/Logging_STROMSUND/tillsyn/A 30233-2022.docx")</f>
        <v/>
      </c>
      <c r="Y282">
        <f>HYPERLINK("https://klasma.github.io/Logging_STROMSUND/tillsynsmail/A 30233-2022.docx")</f>
        <v/>
      </c>
    </row>
    <row r="283" ht="15" customHeight="1">
      <c r="A283" t="inlineStr">
        <is>
          <t>A 32351-2022</t>
        </is>
      </c>
      <c r="B283" s="1" t="n">
        <v>44781</v>
      </c>
      <c r="C283" s="1" t="n">
        <v>45172</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f>
        <v/>
      </c>
      <c r="T283">
        <f>HYPERLINK("https://klasma.github.io/Logging_STROMSUND/kartor/A 32351-2022.png")</f>
        <v/>
      </c>
      <c r="V283">
        <f>HYPERLINK("https://klasma.github.io/Logging_STROMSUND/klagomål/A 32351-2022.docx")</f>
        <v/>
      </c>
      <c r="W283">
        <f>HYPERLINK("https://klasma.github.io/Logging_STROMSUND/klagomålsmail/A 32351-2022.docx")</f>
        <v/>
      </c>
      <c r="X283">
        <f>HYPERLINK("https://klasma.github.io/Logging_STROMSUND/tillsyn/A 32351-2022.docx")</f>
        <v/>
      </c>
      <c r="Y283">
        <f>HYPERLINK("https://klasma.github.io/Logging_STROMSUND/tillsynsmail/A 32351-2022.docx")</f>
        <v/>
      </c>
    </row>
    <row r="284" ht="15" customHeight="1">
      <c r="A284" t="inlineStr">
        <is>
          <t>A 32965-2022</t>
        </is>
      </c>
      <c r="B284" s="1" t="n">
        <v>44784</v>
      </c>
      <c r="C284" s="1" t="n">
        <v>45172</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f>
        <v/>
      </c>
      <c r="T284">
        <f>HYPERLINK("https://klasma.github.io/Logging_STROMSUND/kartor/A 32965-2022.png")</f>
        <v/>
      </c>
      <c r="V284">
        <f>HYPERLINK("https://klasma.github.io/Logging_STROMSUND/klagomål/A 32965-2022.docx")</f>
        <v/>
      </c>
      <c r="W284">
        <f>HYPERLINK("https://klasma.github.io/Logging_STROMSUND/klagomålsmail/A 32965-2022.docx")</f>
        <v/>
      </c>
      <c r="X284">
        <f>HYPERLINK("https://klasma.github.io/Logging_STROMSUND/tillsyn/A 32965-2022.docx")</f>
        <v/>
      </c>
      <c r="Y284">
        <f>HYPERLINK("https://klasma.github.io/Logging_STROMSUND/tillsynsmail/A 32965-2022.docx")</f>
        <v/>
      </c>
    </row>
    <row r="285" ht="15" customHeight="1">
      <c r="A285" t="inlineStr">
        <is>
          <t>A 34009-2022</t>
        </is>
      </c>
      <c r="B285" s="1" t="n">
        <v>44790</v>
      </c>
      <c r="C285" s="1" t="n">
        <v>45172</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f>
        <v/>
      </c>
      <c r="T285">
        <f>HYPERLINK("https://klasma.github.io/Logging_STROMSUND/kartor/A 34009-2022.png")</f>
        <v/>
      </c>
      <c r="V285">
        <f>HYPERLINK("https://klasma.github.io/Logging_STROMSUND/klagomål/A 34009-2022.docx")</f>
        <v/>
      </c>
      <c r="W285">
        <f>HYPERLINK("https://klasma.github.io/Logging_STROMSUND/klagomålsmail/A 34009-2022.docx")</f>
        <v/>
      </c>
      <c r="X285">
        <f>HYPERLINK("https://klasma.github.io/Logging_STROMSUND/tillsyn/A 34009-2022.docx")</f>
        <v/>
      </c>
      <c r="Y285">
        <f>HYPERLINK("https://klasma.github.io/Logging_STROMSUND/tillsynsmail/A 34009-2022.docx")</f>
        <v/>
      </c>
    </row>
    <row r="286" ht="15" customHeight="1">
      <c r="A286" t="inlineStr">
        <is>
          <t>A 39696-2022</t>
        </is>
      </c>
      <c r="B286" s="1" t="n">
        <v>44818</v>
      </c>
      <c r="C286" s="1" t="n">
        <v>45172</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f>
        <v/>
      </c>
      <c r="T286">
        <f>HYPERLINK("https://klasma.github.io/Logging_STROMSUND/kartor/A 39696-2022.png")</f>
        <v/>
      </c>
      <c r="V286">
        <f>HYPERLINK("https://klasma.github.io/Logging_STROMSUND/klagomål/A 39696-2022.docx")</f>
        <v/>
      </c>
      <c r="W286">
        <f>HYPERLINK("https://klasma.github.io/Logging_STROMSUND/klagomålsmail/A 39696-2022.docx")</f>
        <v/>
      </c>
      <c r="X286">
        <f>HYPERLINK("https://klasma.github.io/Logging_STROMSUND/tillsyn/A 39696-2022.docx")</f>
        <v/>
      </c>
      <c r="Y286">
        <f>HYPERLINK("https://klasma.github.io/Logging_STROMSUND/tillsynsmail/A 39696-2022.docx")</f>
        <v/>
      </c>
    </row>
    <row r="287" ht="15" customHeight="1">
      <c r="A287" t="inlineStr">
        <is>
          <t>A 41811-2022</t>
        </is>
      </c>
      <c r="B287" s="1" t="n">
        <v>44827</v>
      </c>
      <c r="C287" s="1" t="n">
        <v>45172</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f>
        <v/>
      </c>
      <c r="T287">
        <f>HYPERLINK("https://klasma.github.io/Logging_STROMSUND/kartor/A 41811-2022.png")</f>
        <v/>
      </c>
      <c r="U287">
        <f>HYPERLINK("https://klasma.github.io/Logging_STROMSUND/knärot/A 41811-2022.png")</f>
        <v/>
      </c>
      <c r="V287">
        <f>HYPERLINK("https://klasma.github.io/Logging_STROMSUND/klagomål/A 41811-2022.docx")</f>
        <v/>
      </c>
      <c r="W287">
        <f>HYPERLINK("https://klasma.github.io/Logging_STROMSUND/klagomålsmail/A 41811-2022.docx")</f>
        <v/>
      </c>
      <c r="X287">
        <f>HYPERLINK("https://klasma.github.io/Logging_STROMSUND/tillsyn/A 41811-2022.docx")</f>
        <v/>
      </c>
      <c r="Y287">
        <f>HYPERLINK("https://klasma.github.io/Logging_STROMSUND/tillsynsmail/A 41811-2022.docx")</f>
        <v/>
      </c>
    </row>
    <row r="288" ht="15" customHeight="1">
      <c r="A288" t="inlineStr">
        <is>
          <t>A 44745-2022</t>
        </is>
      </c>
      <c r="B288" s="1" t="n">
        <v>44840</v>
      </c>
      <c r="C288" s="1" t="n">
        <v>45172</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f>
        <v/>
      </c>
      <c r="T288">
        <f>HYPERLINK("https://klasma.github.io/Logging_STROMSUND/kartor/A 44745-2022.png")</f>
        <v/>
      </c>
      <c r="V288">
        <f>HYPERLINK("https://klasma.github.io/Logging_STROMSUND/klagomål/A 44745-2022.docx")</f>
        <v/>
      </c>
      <c r="W288">
        <f>HYPERLINK("https://klasma.github.io/Logging_STROMSUND/klagomålsmail/A 44745-2022.docx")</f>
        <v/>
      </c>
      <c r="X288">
        <f>HYPERLINK("https://klasma.github.io/Logging_STROMSUND/tillsyn/A 44745-2022.docx")</f>
        <v/>
      </c>
      <c r="Y288">
        <f>HYPERLINK("https://klasma.github.io/Logging_STROMSUND/tillsynsmail/A 44745-2022.docx")</f>
        <v/>
      </c>
    </row>
    <row r="289" ht="15" customHeight="1">
      <c r="A289" t="inlineStr">
        <is>
          <t>A 46343-2022</t>
        </is>
      </c>
      <c r="B289" s="1" t="n">
        <v>44847</v>
      </c>
      <c r="C289" s="1" t="n">
        <v>45172</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f>
        <v/>
      </c>
      <c r="T289">
        <f>HYPERLINK("https://klasma.github.io/Logging_STROMSUND/kartor/A 46343-2022.png")</f>
        <v/>
      </c>
      <c r="V289">
        <f>HYPERLINK("https://klasma.github.io/Logging_STROMSUND/klagomål/A 46343-2022.docx")</f>
        <v/>
      </c>
      <c r="W289">
        <f>HYPERLINK("https://klasma.github.io/Logging_STROMSUND/klagomålsmail/A 46343-2022.docx")</f>
        <v/>
      </c>
      <c r="X289">
        <f>HYPERLINK("https://klasma.github.io/Logging_STROMSUND/tillsyn/A 46343-2022.docx")</f>
        <v/>
      </c>
      <c r="Y289">
        <f>HYPERLINK("https://klasma.github.io/Logging_STROMSUND/tillsynsmail/A 46343-2022.docx")</f>
        <v/>
      </c>
    </row>
    <row r="290" ht="15" customHeight="1">
      <c r="A290" t="inlineStr">
        <is>
          <t>A 48544-2022</t>
        </is>
      </c>
      <c r="B290" s="1" t="n">
        <v>44858</v>
      </c>
      <c r="C290" s="1" t="n">
        <v>45172</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f>
        <v/>
      </c>
      <c r="T290">
        <f>HYPERLINK("https://klasma.github.io/Logging_STROMSUND/kartor/A 48544-2022.png")</f>
        <v/>
      </c>
      <c r="V290">
        <f>HYPERLINK("https://klasma.github.io/Logging_STROMSUND/klagomål/A 48544-2022.docx")</f>
        <v/>
      </c>
      <c r="W290">
        <f>HYPERLINK("https://klasma.github.io/Logging_STROMSUND/klagomålsmail/A 48544-2022.docx")</f>
        <v/>
      </c>
      <c r="X290">
        <f>HYPERLINK("https://klasma.github.io/Logging_STROMSUND/tillsyn/A 48544-2022.docx")</f>
        <v/>
      </c>
      <c r="Y290">
        <f>HYPERLINK("https://klasma.github.io/Logging_STROMSUND/tillsynsmail/A 48544-2022.docx")</f>
        <v/>
      </c>
    </row>
    <row r="291" ht="15" customHeight="1">
      <c r="A291" t="inlineStr">
        <is>
          <t>A 48896-2022</t>
        </is>
      </c>
      <c r="B291" s="1" t="n">
        <v>44859</v>
      </c>
      <c r="C291" s="1" t="n">
        <v>45172</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f>
        <v/>
      </c>
      <c r="T291">
        <f>HYPERLINK("https://klasma.github.io/Logging_STROMSUND/kartor/A 48896-2022.png")</f>
        <v/>
      </c>
      <c r="V291">
        <f>HYPERLINK("https://klasma.github.io/Logging_STROMSUND/klagomål/A 48896-2022.docx")</f>
        <v/>
      </c>
      <c r="W291">
        <f>HYPERLINK("https://klasma.github.io/Logging_STROMSUND/klagomålsmail/A 48896-2022.docx")</f>
        <v/>
      </c>
      <c r="X291">
        <f>HYPERLINK("https://klasma.github.io/Logging_STROMSUND/tillsyn/A 48896-2022.docx")</f>
        <v/>
      </c>
      <c r="Y291">
        <f>HYPERLINK("https://klasma.github.io/Logging_STROMSUND/tillsynsmail/A 48896-2022.docx")</f>
        <v/>
      </c>
    </row>
    <row r="292" ht="15" customHeight="1">
      <c r="A292" t="inlineStr">
        <is>
          <t>A 50683-2022</t>
        </is>
      </c>
      <c r="B292" s="1" t="n">
        <v>44866</v>
      </c>
      <c r="C292" s="1" t="n">
        <v>45172</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f>
        <v/>
      </c>
      <c r="T292">
        <f>HYPERLINK("https://klasma.github.io/Logging_STROMSUND/kartor/A 50683-2022.png")</f>
        <v/>
      </c>
      <c r="V292">
        <f>HYPERLINK("https://klasma.github.io/Logging_STROMSUND/klagomål/A 50683-2022.docx")</f>
        <v/>
      </c>
      <c r="W292">
        <f>HYPERLINK("https://klasma.github.io/Logging_STROMSUND/klagomålsmail/A 50683-2022.docx")</f>
        <v/>
      </c>
      <c r="X292">
        <f>HYPERLINK("https://klasma.github.io/Logging_STROMSUND/tillsyn/A 50683-2022.docx")</f>
        <v/>
      </c>
      <c r="Y292">
        <f>HYPERLINK("https://klasma.github.io/Logging_STROMSUND/tillsynsmail/A 50683-2022.docx")</f>
        <v/>
      </c>
    </row>
    <row r="293" ht="15" customHeight="1">
      <c r="A293" t="inlineStr">
        <is>
          <t>A 51309-2022</t>
        </is>
      </c>
      <c r="B293" s="1" t="n">
        <v>44868</v>
      </c>
      <c r="C293" s="1" t="n">
        <v>45172</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f>
        <v/>
      </c>
      <c r="T293">
        <f>HYPERLINK("https://klasma.github.io/Logging_STROMSUND/kartor/A 51309-2022.png")</f>
        <v/>
      </c>
      <c r="V293">
        <f>HYPERLINK("https://klasma.github.io/Logging_STROMSUND/klagomål/A 51309-2022.docx")</f>
        <v/>
      </c>
      <c r="W293">
        <f>HYPERLINK("https://klasma.github.io/Logging_STROMSUND/klagomålsmail/A 51309-2022.docx")</f>
        <v/>
      </c>
      <c r="X293">
        <f>HYPERLINK("https://klasma.github.io/Logging_STROMSUND/tillsyn/A 51309-2022.docx")</f>
        <v/>
      </c>
      <c r="Y293">
        <f>HYPERLINK("https://klasma.github.io/Logging_STROMSUND/tillsynsmail/A 51309-2022.docx")</f>
        <v/>
      </c>
    </row>
    <row r="294" ht="15" customHeight="1">
      <c r="A294" t="inlineStr">
        <is>
          <t>A 55530-2022</t>
        </is>
      </c>
      <c r="B294" s="1" t="n">
        <v>44887</v>
      </c>
      <c r="C294" s="1" t="n">
        <v>45172</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f>
        <v/>
      </c>
      <c r="T294">
        <f>HYPERLINK("https://klasma.github.io/Logging_STROMSUND/kartor/A 55530-2022.png")</f>
        <v/>
      </c>
      <c r="V294">
        <f>HYPERLINK("https://klasma.github.io/Logging_STROMSUND/klagomål/A 55530-2022.docx")</f>
        <v/>
      </c>
      <c r="W294">
        <f>HYPERLINK("https://klasma.github.io/Logging_STROMSUND/klagomålsmail/A 55530-2022.docx")</f>
        <v/>
      </c>
      <c r="X294">
        <f>HYPERLINK("https://klasma.github.io/Logging_STROMSUND/tillsyn/A 55530-2022.docx")</f>
        <v/>
      </c>
      <c r="Y294">
        <f>HYPERLINK("https://klasma.github.io/Logging_STROMSUND/tillsynsmail/A 55530-2022.docx")</f>
        <v/>
      </c>
    </row>
    <row r="295" ht="15" customHeight="1">
      <c r="A295" t="inlineStr">
        <is>
          <t>A 56195-2022</t>
        </is>
      </c>
      <c r="B295" s="1" t="n">
        <v>44889</v>
      </c>
      <c r="C295" s="1" t="n">
        <v>45172</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f>
        <v/>
      </c>
      <c r="T295">
        <f>HYPERLINK("https://klasma.github.io/Logging_STROMSUND/kartor/A 56195-2022.png")</f>
        <v/>
      </c>
      <c r="V295">
        <f>HYPERLINK("https://klasma.github.io/Logging_STROMSUND/klagomål/A 56195-2022.docx")</f>
        <v/>
      </c>
      <c r="W295">
        <f>HYPERLINK("https://klasma.github.io/Logging_STROMSUND/klagomålsmail/A 56195-2022.docx")</f>
        <v/>
      </c>
      <c r="X295">
        <f>HYPERLINK("https://klasma.github.io/Logging_STROMSUND/tillsyn/A 56195-2022.docx")</f>
        <v/>
      </c>
      <c r="Y295">
        <f>HYPERLINK("https://klasma.github.io/Logging_STROMSUND/tillsynsmail/A 56195-2022.docx")</f>
        <v/>
      </c>
    </row>
    <row r="296" ht="15" customHeight="1">
      <c r="A296" t="inlineStr">
        <is>
          <t>A 56735-2022</t>
        </is>
      </c>
      <c r="B296" s="1" t="n">
        <v>44893</v>
      </c>
      <c r="C296" s="1" t="n">
        <v>45172</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f>
        <v/>
      </c>
      <c r="T296">
        <f>HYPERLINK("https://klasma.github.io/Logging_STROMSUND/kartor/A 56735-2022.png")</f>
        <v/>
      </c>
      <c r="V296">
        <f>HYPERLINK("https://klasma.github.io/Logging_STROMSUND/klagomål/A 56735-2022.docx")</f>
        <v/>
      </c>
      <c r="W296">
        <f>HYPERLINK("https://klasma.github.io/Logging_STROMSUND/klagomålsmail/A 56735-2022.docx")</f>
        <v/>
      </c>
      <c r="X296">
        <f>HYPERLINK("https://klasma.github.io/Logging_STROMSUND/tillsyn/A 56735-2022.docx")</f>
        <v/>
      </c>
      <c r="Y296">
        <f>HYPERLINK("https://klasma.github.io/Logging_STROMSUND/tillsynsmail/A 56735-2022.docx")</f>
        <v/>
      </c>
    </row>
    <row r="297" ht="15" customHeight="1">
      <c r="A297" t="inlineStr">
        <is>
          <t>A 56883-2022</t>
        </is>
      </c>
      <c r="B297" s="1" t="n">
        <v>44894</v>
      </c>
      <c r="C297" s="1" t="n">
        <v>45172</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f>
        <v/>
      </c>
      <c r="T297">
        <f>HYPERLINK("https://klasma.github.io/Logging_STROMSUND/kartor/A 56883-2022.png")</f>
        <v/>
      </c>
      <c r="U297">
        <f>HYPERLINK("https://klasma.github.io/Logging_STROMSUND/knärot/A 56883-2022.png")</f>
        <v/>
      </c>
      <c r="V297">
        <f>HYPERLINK("https://klasma.github.io/Logging_STROMSUND/klagomål/A 56883-2022.docx")</f>
        <v/>
      </c>
      <c r="W297">
        <f>HYPERLINK("https://klasma.github.io/Logging_STROMSUND/klagomålsmail/A 56883-2022.docx")</f>
        <v/>
      </c>
      <c r="X297">
        <f>HYPERLINK("https://klasma.github.io/Logging_STROMSUND/tillsyn/A 56883-2022.docx")</f>
        <v/>
      </c>
      <c r="Y297">
        <f>HYPERLINK("https://klasma.github.io/Logging_STROMSUND/tillsynsmail/A 56883-2022.docx")</f>
        <v/>
      </c>
    </row>
    <row r="298" ht="15" customHeight="1">
      <c r="A298" t="inlineStr">
        <is>
          <t>A 61381-2022</t>
        </is>
      </c>
      <c r="B298" s="1" t="n">
        <v>44915</v>
      </c>
      <c r="C298" s="1" t="n">
        <v>45172</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f>
        <v/>
      </c>
      <c r="T298">
        <f>HYPERLINK("https://klasma.github.io/Logging_STROMSUND/kartor/A 61381-2022.png")</f>
        <v/>
      </c>
      <c r="V298">
        <f>HYPERLINK("https://klasma.github.io/Logging_STROMSUND/klagomål/A 61381-2022.docx")</f>
        <v/>
      </c>
      <c r="W298">
        <f>HYPERLINK("https://klasma.github.io/Logging_STROMSUND/klagomålsmail/A 61381-2022.docx")</f>
        <v/>
      </c>
      <c r="X298">
        <f>HYPERLINK("https://klasma.github.io/Logging_STROMSUND/tillsyn/A 61381-2022.docx")</f>
        <v/>
      </c>
      <c r="Y298">
        <f>HYPERLINK("https://klasma.github.io/Logging_STROMSUND/tillsynsmail/A 61381-2022.docx")</f>
        <v/>
      </c>
    </row>
    <row r="299" ht="15" customHeight="1">
      <c r="A299" t="inlineStr">
        <is>
          <t>A 27-2023</t>
        </is>
      </c>
      <c r="B299" s="1" t="n">
        <v>44928</v>
      </c>
      <c r="C299" s="1" t="n">
        <v>45172</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f>
        <v/>
      </c>
      <c r="T299">
        <f>HYPERLINK("https://klasma.github.io/Logging_STROMSUND/kartor/A 27-2023.png")</f>
        <v/>
      </c>
      <c r="V299">
        <f>HYPERLINK("https://klasma.github.io/Logging_STROMSUND/klagomål/A 27-2023.docx")</f>
        <v/>
      </c>
      <c r="W299">
        <f>HYPERLINK("https://klasma.github.io/Logging_STROMSUND/klagomålsmail/A 27-2023.docx")</f>
        <v/>
      </c>
      <c r="X299">
        <f>HYPERLINK("https://klasma.github.io/Logging_STROMSUND/tillsyn/A 27-2023.docx")</f>
        <v/>
      </c>
      <c r="Y299">
        <f>HYPERLINK("https://klasma.github.io/Logging_STROMSUND/tillsynsmail/A 27-2023.docx")</f>
        <v/>
      </c>
    </row>
    <row r="300" ht="15" customHeight="1">
      <c r="A300" t="inlineStr">
        <is>
          <t>A 10075-2023</t>
        </is>
      </c>
      <c r="B300" s="1" t="n">
        <v>44985</v>
      </c>
      <c r="C300" s="1" t="n">
        <v>45172</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f>
        <v/>
      </c>
      <c r="T300">
        <f>HYPERLINK("https://klasma.github.io/Logging_STROMSUND/kartor/A 10075-2023.png")</f>
        <v/>
      </c>
      <c r="V300">
        <f>HYPERLINK("https://klasma.github.io/Logging_STROMSUND/klagomål/A 10075-2023.docx")</f>
        <v/>
      </c>
      <c r="W300">
        <f>HYPERLINK("https://klasma.github.io/Logging_STROMSUND/klagomålsmail/A 10075-2023.docx")</f>
        <v/>
      </c>
      <c r="X300">
        <f>HYPERLINK("https://klasma.github.io/Logging_STROMSUND/tillsyn/A 10075-2023.docx")</f>
        <v/>
      </c>
      <c r="Y300">
        <f>HYPERLINK("https://klasma.github.io/Logging_STROMSUND/tillsynsmail/A 10075-2023.docx")</f>
        <v/>
      </c>
    </row>
    <row r="301" ht="15" customHeight="1">
      <c r="A301" t="inlineStr">
        <is>
          <t>A 13897-2023</t>
        </is>
      </c>
      <c r="B301" s="1" t="n">
        <v>45008</v>
      </c>
      <c r="C301" s="1" t="n">
        <v>45172</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f>
        <v/>
      </c>
      <c r="T301">
        <f>HYPERLINK("https://klasma.github.io/Logging_STROMSUND/kartor/A 13897-2023.png")</f>
        <v/>
      </c>
      <c r="V301">
        <f>HYPERLINK("https://klasma.github.io/Logging_STROMSUND/klagomål/A 13897-2023.docx")</f>
        <v/>
      </c>
      <c r="W301">
        <f>HYPERLINK("https://klasma.github.io/Logging_STROMSUND/klagomålsmail/A 13897-2023.docx")</f>
        <v/>
      </c>
      <c r="X301">
        <f>HYPERLINK("https://klasma.github.io/Logging_STROMSUND/tillsyn/A 13897-2023.docx")</f>
        <v/>
      </c>
      <c r="Y301">
        <f>HYPERLINK("https://klasma.github.io/Logging_STROMSUND/tillsynsmail/A 13897-2023.docx")</f>
        <v/>
      </c>
    </row>
    <row r="302" ht="15" customHeight="1">
      <c r="A302" t="inlineStr">
        <is>
          <t>A 18767-2023</t>
        </is>
      </c>
      <c r="B302" s="1" t="n">
        <v>45043</v>
      </c>
      <c r="C302" s="1" t="n">
        <v>45172</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f>
        <v/>
      </c>
      <c r="T302">
        <f>HYPERLINK("https://klasma.github.io/Logging_STROMSUND/kartor/A 18767-2023.png")</f>
        <v/>
      </c>
      <c r="V302">
        <f>HYPERLINK("https://klasma.github.io/Logging_STROMSUND/klagomål/A 18767-2023.docx")</f>
        <v/>
      </c>
      <c r="W302">
        <f>HYPERLINK("https://klasma.github.io/Logging_STROMSUND/klagomålsmail/A 18767-2023.docx")</f>
        <v/>
      </c>
      <c r="X302">
        <f>HYPERLINK("https://klasma.github.io/Logging_STROMSUND/tillsyn/A 18767-2023.docx")</f>
        <v/>
      </c>
      <c r="Y302">
        <f>HYPERLINK("https://klasma.github.io/Logging_STROMSUND/tillsynsmail/A 18767-2023.docx")</f>
        <v/>
      </c>
    </row>
    <row r="303" ht="15" customHeight="1">
      <c r="A303" t="inlineStr">
        <is>
          <t>A 18948-2023</t>
        </is>
      </c>
      <c r="B303" s="1" t="n">
        <v>45043</v>
      </c>
      <c r="C303" s="1" t="n">
        <v>45172</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f>
        <v/>
      </c>
      <c r="T303">
        <f>HYPERLINK("https://klasma.github.io/Logging_STROMSUND/kartor/A 18948-2023.png")</f>
        <v/>
      </c>
      <c r="V303">
        <f>HYPERLINK("https://klasma.github.io/Logging_STROMSUND/klagomål/A 18948-2023.docx")</f>
        <v/>
      </c>
      <c r="W303">
        <f>HYPERLINK("https://klasma.github.io/Logging_STROMSUND/klagomålsmail/A 18948-2023.docx")</f>
        <v/>
      </c>
      <c r="X303">
        <f>HYPERLINK("https://klasma.github.io/Logging_STROMSUND/tillsyn/A 18948-2023.docx")</f>
        <v/>
      </c>
      <c r="Y303">
        <f>HYPERLINK("https://klasma.github.io/Logging_STROMSUND/tillsynsmail/A 18948-2023.docx")</f>
        <v/>
      </c>
    </row>
    <row r="304" ht="15" customHeight="1">
      <c r="A304" t="inlineStr">
        <is>
          <t>A 19240-2023</t>
        </is>
      </c>
      <c r="B304" s="1" t="n">
        <v>45048</v>
      </c>
      <c r="C304" s="1" t="n">
        <v>45172</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f>
        <v/>
      </c>
      <c r="T304">
        <f>HYPERLINK("https://klasma.github.io/Logging_STROMSUND/kartor/A 19240-2023.png")</f>
        <v/>
      </c>
      <c r="V304">
        <f>HYPERLINK("https://klasma.github.io/Logging_STROMSUND/klagomål/A 19240-2023.docx")</f>
        <v/>
      </c>
      <c r="W304">
        <f>HYPERLINK("https://klasma.github.io/Logging_STROMSUND/klagomålsmail/A 19240-2023.docx")</f>
        <v/>
      </c>
      <c r="X304">
        <f>HYPERLINK("https://klasma.github.io/Logging_STROMSUND/tillsyn/A 19240-2023.docx")</f>
        <v/>
      </c>
      <c r="Y304">
        <f>HYPERLINK("https://klasma.github.io/Logging_STROMSUND/tillsynsmail/A 19240-2023.docx")</f>
        <v/>
      </c>
    </row>
    <row r="305" ht="15" customHeight="1">
      <c r="A305" t="inlineStr">
        <is>
          <t>A 20632-2023</t>
        </is>
      </c>
      <c r="B305" s="1" t="n">
        <v>45057</v>
      </c>
      <c r="C305" s="1" t="n">
        <v>45172</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f>
        <v/>
      </c>
      <c r="T305">
        <f>HYPERLINK("https://klasma.github.io/Logging_STROMSUND/kartor/A 20632-2023.png")</f>
        <v/>
      </c>
      <c r="V305">
        <f>HYPERLINK("https://klasma.github.io/Logging_STROMSUND/klagomål/A 20632-2023.docx")</f>
        <v/>
      </c>
      <c r="W305">
        <f>HYPERLINK("https://klasma.github.io/Logging_STROMSUND/klagomålsmail/A 20632-2023.docx")</f>
        <v/>
      </c>
      <c r="X305">
        <f>HYPERLINK("https://klasma.github.io/Logging_STROMSUND/tillsyn/A 20632-2023.docx")</f>
        <v/>
      </c>
      <c r="Y305">
        <f>HYPERLINK("https://klasma.github.io/Logging_STROMSUND/tillsynsmail/A 20632-2023.docx")</f>
        <v/>
      </c>
    </row>
    <row r="306" ht="15" customHeight="1">
      <c r="A306" t="inlineStr">
        <is>
          <t>A 24832-2023</t>
        </is>
      </c>
      <c r="B306" s="1" t="n">
        <v>45084</v>
      </c>
      <c r="C306" s="1" t="n">
        <v>45172</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f>
        <v/>
      </c>
      <c r="T306">
        <f>HYPERLINK("https://klasma.github.io/Logging_STROMSUND/kartor/A 24832-2023.png")</f>
        <v/>
      </c>
      <c r="V306">
        <f>HYPERLINK("https://klasma.github.io/Logging_STROMSUND/klagomål/A 24832-2023.docx")</f>
        <v/>
      </c>
      <c r="W306">
        <f>HYPERLINK("https://klasma.github.io/Logging_STROMSUND/klagomålsmail/A 24832-2023.docx")</f>
        <v/>
      </c>
      <c r="X306">
        <f>HYPERLINK("https://klasma.github.io/Logging_STROMSUND/tillsyn/A 24832-2023.docx")</f>
        <v/>
      </c>
      <c r="Y306">
        <f>HYPERLINK("https://klasma.github.io/Logging_STROMSUND/tillsynsmail/A 24832-2023.docx")</f>
        <v/>
      </c>
    </row>
    <row r="307" ht="15" customHeight="1">
      <c r="A307" t="inlineStr">
        <is>
          <t>A 25672-2023</t>
        </is>
      </c>
      <c r="B307" s="1" t="n">
        <v>45089</v>
      </c>
      <c r="C307" s="1" t="n">
        <v>45172</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f>
        <v/>
      </c>
      <c r="T307">
        <f>HYPERLINK("https://klasma.github.io/Logging_STROMSUND/kartor/A 25672-2023.png")</f>
        <v/>
      </c>
      <c r="V307">
        <f>HYPERLINK("https://klasma.github.io/Logging_STROMSUND/klagomål/A 25672-2023.docx")</f>
        <v/>
      </c>
      <c r="W307">
        <f>HYPERLINK("https://klasma.github.io/Logging_STROMSUND/klagomålsmail/A 25672-2023.docx")</f>
        <v/>
      </c>
      <c r="X307">
        <f>HYPERLINK("https://klasma.github.io/Logging_STROMSUND/tillsyn/A 25672-2023.docx")</f>
        <v/>
      </c>
      <c r="Y307">
        <f>HYPERLINK("https://klasma.github.io/Logging_STROMSUND/tillsynsmail/A 25672-2023.docx")</f>
        <v/>
      </c>
    </row>
    <row r="308" ht="15" customHeight="1">
      <c r="A308" t="inlineStr">
        <is>
          <t>A 26372-2023</t>
        </is>
      </c>
      <c r="B308" s="1" t="n">
        <v>45091</v>
      </c>
      <c r="C308" s="1" t="n">
        <v>45172</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f>
        <v/>
      </c>
      <c r="T308">
        <f>HYPERLINK("https://klasma.github.io/Logging_STROMSUND/kartor/A 26372-2023.png")</f>
        <v/>
      </c>
      <c r="V308">
        <f>HYPERLINK("https://klasma.github.io/Logging_STROMSUND/klagomål/A 26372-2023.docx")</f>
        <v/>
      </c>
      <c r="W308">
        <f>HYPERLINK("https://klasma.github.io/Logging_STROMSUND/klagomålsmail/A 26372-2023.docx")</f>
        <v/>
      </c>
      <c r="X308">
        <f>HYPERLINK("https://klasma.github.io/Logging_STROMSUND/tillsyn/A 26372-2023.docx")</f>
        <v/>
      </c>
      <c r="Y308">
        <f>HYPERLINK("https://klasma.github.io/Logging_STROMSUND/tillsynsmail/A 26372-2023.docx")</f>
        <v/>
      </c>
    </row>
    <row r="309" ht="15" customHeight="1">
      <c r="A309" t="inlineStr">
        <is>
          <t>A 28751-2023</t>
        </is>
      </c>
      <c r="B309" s="1" t="n">
        <v>45103</v>
      </c>
      <c r="C309" s="1" t="n">
        <v>45172</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f>
        <v/>
      </c>
      <c r="T309">
        <f>HYPERLINK("https://klasma.github.io/Logging_STROMSUND/kartor/A 28751-2023.png")</f>
        <v/>
      </c>
      <c r="V309">
        <f>HYPERLINK("https://klasma.github.io/Logging_STROMSUND/klagomål/A 28751-2023.docx")</f>
        <v/>
      </c>
      <c r="W309">
        <f>HYPERLINK("https://klasma.github.io/Logging_STROMSUND/klagomålsmail/A 28751-2023.docx")</f>
        <v/>
      </c>
      <c r="X309">
        <f>HYPERLINK("https://klasma.github.io/Logging_STROMSUND/tillsyn/A 28751-2023.docx")</f>
        <v/>
      </c>
      <c r="Y309">
        <f>HYPERLINK("https://klasma.github.io/Logging_STROMSUND/tillsynsmail/A 28751-2023.docx")</f>
        <v/>
      </c>
    </row>
    <row r="310" ht="15" customHeight="1">
      <c r="A310" t="inlineStr">
        <is>
          <t>A 29604-2023</t>
        </is>
      </c>
      <c r="B310" s="1" t="n">
        <v>45106</v>
      </c>
      <c r="C310" s="1" t="n">
        <v>45172</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f>
        <v/>
      </c>
      <c r="T310">
        <f>HYPERLINK("https://klasma.github.io/Logging_STROMSUND/kartor/A 29604-2023.png")</f>
        <v/>
      </c>
      <c r="V310">
        <f>HYPERLINK("https://klasma.github.io/Logging_STROMSUND/klagomål/A 29604-2023.docx")</f>
        <v/>
      </c>
      <c r="W310">
        <f>HYPERLINK("https://klasma.github.io/Logging_STROMSUND/klagomålsmail/A 29604-2023.docx")</f>
        <v/>
      </c>
      <c r="X310">
        <f>HYPERLINK("https://klasma.github.io/Logging_STROMSUND/tillsyn/A 29604-2023.docx")</f>
        <v/>
      </c>
      <c r="Y310">
        <f>HYPERLINK("https://klasma.github.io/Logging_STROMSUND/tillsynsmail/A 29604-2023.docx")</f>
        <v/>
      </c>
    </row>
    <row r="311" ht="15" customHeight="1">
      <c r="A311" t="inlineStr">
        <is>
          <t>A 32551-2023</t>
        </is>
      </c>
      <c r="B311" s="1" t="n">
        <v>45111</v>
      </c>
      <c r="C311" s="1" t="n">
        <v>45172</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f>
        <v/>
      </c>
      <c r="T311">
        <f>HYPERLINK("https://klasma.github.io/Logging_STROMSUND/kartor/A 32551-2023.png")</f>
        <v/>
      </c>
      <c r="V311">
        <f>HYPERLINK("https://klasma.github.io/Logging_STROMSUND/klagomål/A 32551-2023.docx")</f>
        <v/>
      </c>
      <c r="W311">
        <f>HYPERLINK("https://klasma.github.io/Logging_STROMSUND/klagomålsmail/A 32551-2023.docx")</f>
        <v/>
      </c>
      <c r="X311">
        <f>HYPERLINK("https://klasma.github.io/Logging_STROMSUND/tillsyn/A 32551-2023.docx")</f>
        <v/>
      </c>
      <c r="Y311">
        <f>HYPERLINK("https://klasma.github.io/Logging_STROMSUND/tillsynsmail/A 32551-2023.docx")</f>
        <v/>
      </c>
    </row>
    <row r="312" ht="15" customHeight="1">
      <c r="A312" t="inlineStr">
        <is>
          <t>A 30821-2023</t>
        </is>
      </c>
      <c r="B312" s="1" t="n">
        <v>45112</v>
      </c>
      <c r="C312" s="1" t="n">
        <v>45172</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f>
        <v/>
      </c>
      <c r="T312">
        <f>HYPERLINK("https://klasma.github.io/Logging_STROMSUND/kartor/A 30821-2023.png")</f>
        <v/>
      </c>
      <c r="V312">
        <f>HYPERLINK("https://klasma.github.io/Logging_STROMSUND/klagomål/A 30821-2023.docx")</f>
        <v/>
      </c>
      <c r="W312">
        <f>HYPERLINK("https://klasma.github.io/Logging_STROMSUND/klagomålsmail/A 30821-2023.docx")</f>
        <v/>
      </c>
      <c r="X312">
        <f>HYPERLINK("https://klasma.github.io/Logging_STROMSUND/tillsyn/A 30821-2023.docx")</f>
        <v/>
      </c>
      <c r="Y312">
        <f>HYPERLINK("https://klasma.github.io/Logging_STROMSUND/tillsynsmail/A 30821-2023.docx")</f>
        <v/>
      </c>
    </row>
    <row r="313" ht="15" customHeight="1">
      <c r="A313" t="inlineStr">
        <is>
          <t>A 30848-2023</t>
        </is>
      </c>
      <c r="B313" s="1" t="n">
        <v>45112</v>
      </c>
      <c r="C313" s="1" t="n">
        <v>45172</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f>
        <v/>
      </c>
      <c r="T313">
        <f>HYPERLINK("https://klasma.github.io/Logging_STROMSUND/kartor/A 30848-2023.png")</f>
        <v/>
      </c>
      <c r="V313">
        <f>HYPERLINK("https://klasma.github.io/Logging_STROMSUND/klagomål/A 30848-2023.docx")</f>
        <v/>
      </c>
      <c r="W313">
        <f>HYPERLINK("https://klasma.github.io/Logging_STROMSUND/klagomålsmail/A 30848-2023.docx")</f>
        <v/>
      </c>
      <c r="X313">
        <f>HYPERLINK("https://klasma.github.io/Logging_STROMSUND/tillsyn/A 30848-2023.docx")</f>
        <v/>
      </c>
      <c r="Y313">
        <f>HYPERLINK("https://klasma.github.io/Logging_STROMSUND/tillsynsmail/A 30848-2023.docx")</f>
        <v/>
      </c>
    </row>
    <row r="314" ht="15" customHeight="1">
      <c r="A314" t="inlineStr">
        <is>
          <t>A 36765-2023</t>
        </is>
      </c>
      <c r="B314" s="1" t="n">
        <v>45153</v>
      </c>
      <c r="C314" s="1" t="n">
        <v>45172</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f>
        <v/>
      </c>
      <c r="T314">
        <f>HYPERLINK("https://klasma.github.io/Logging_STROMSUND/kartor/A 36765-2023.png")</f>
        <v/>
      </c>
      <c r="V314">
        <f>HYPERLINK("https://klasma.github.io/Logging_STROMSUND/klagomål/A 36765-2023.docx")</f>
        <v/>
      </c>
      <c r="W314">
        <f>HYPERLINK("https://klasma.github.io/Logging_STROMSUND/klagomålsmail/A 36765-2023.docx")</f>
        <v/>
      </c>
      <c r="X314">
        <f>HYPERLINK("https://klasma.github.io/Logging_STROMSUND/tillsyn/A 36765-2023.docx")</f>
        <v/>
      </c>
      <c r="Y314">
        <f>HYPERLINK("https://klasma.github.io/Logging_STROMSUND/tillsynsmail/A 36765-2023.docx")</f>
        <v/>
      </c>
    </row>
    <row r="315" ht="15" customHeight="1">
      <c r="A315" t="inlineStr">
        <is>
          <t>A 39075-2023</t>
        </is>
      </c>
      <c r="B315" s="1" t="n">
        <v>45163</v>
      </c>
      <c r="C315" s="1" t="n">
        <v>45172</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f>
        <v/>
      </c>
      <c r="T315">
        <f>HYPERLINK("https://klasma.github.io/Logging_STROMSUND/kartor/A 39075-2023.png")</f>
        <v/>
      </c>
      <c r="V315">
        <f>HYPERLINK("https://klasma.github.io/Logging_STROMSUND/klagomål/A 39075-2023.docx")</f>
        <v/>
      </c>
      <c r="W315">
        <f>HYPERLINK("https://klasma.github.io/Logging_STROMSUND/klagomålsmail/A 39075-2023.docx")</f>
        <v/>
      </c>
      <c r="X315">
        <f>HYPERLINK("https://klasma.github.io/Logging_STROMSUND/tillsyn/A 39075-2023.docx")</f>
        <v/>
      </c>
      <c r="Y315">
        <f>HYPERLINK("https://klasma.github.io/Logging_STROMSUND/tillsynsmail/A 39075-2023.docx")</f>
        <v/>
      </c>
    </row>
    <row r="316" ht="15" customHeight="1">
      <c r="A316" t="inlineStr">
        <is>
          <t>A 39511-2023</t>
        </is>
      </c>
      <c r="B316" s="1" t="n">
        <v>45166</v>
      </c>
      <c r="C316" s="1" t="n">
        <v>45172</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f>
        <v/>
      </c>
      <c r="T316">
        <f>HYPERLINK("https://klasma.github.io/Logging_STROMSUND/kartor/A 39511-2023.png")</f>
        <v/>
      </c>
      <c r="V316">
        <f>HYPERLINK("https://klasma.github.io/Logging_STROMSUND/klagomål/A 39511-2023.docx")</f>
        <v/>
      </c>
      <c r="W316">
        <f>HYPERLINK("https://klasma.github.io/Logging_STROMSUND/klagomålsmail/A 39511-2023.docx")</f>
        <v/>
      </c>
      <c r="X316">
        <f>HYPERLINK("https://klasma.github.io/Logging_STROMSUND/tillsyn/A 39511-2023.docx")</f>
        <v/>
      </c>
      <c r="Y316">
        <f>HYPERLINK("https://klasma.github.io/Logging_STROMSUND/tillsynsmail/A 39511-2023.docx")</f>
        <v/>
      </c>
    </row>
    <row r="317" ht="15" customHeight="1">
      <c r="A317" t="inlineStr">
        <is>
          <t>A 35991-2018</t>
        </is>
      </c>
      <c r="B317" s="1" t="n">
        <v>43326</v>
      </c>
      <c r="C317" s="1" t="n">
        <v>45172</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45172</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45172</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45172</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45172</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45172</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45172</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45172</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45172</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45172</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45172</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45172</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45172</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45172</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45172</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45172</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45172</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45172</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45172</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45172</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45172</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45172</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45172</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45172</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45172</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45172</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45172</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45172</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45172</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45172</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45172</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45172</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45172</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45172</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45172</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45172</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45172</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45172</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45172</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45172</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45172</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45172</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45172</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45172</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45172</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45172</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45172</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45172</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45172</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45172</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45172</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45172</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45172</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45172</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45172</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45172</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45172</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45172</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45172</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45172</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45172</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45172</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45172</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45172</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45172</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45172</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45172</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45172</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45172</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45172</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45172</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45172</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45172</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45172</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45172</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45172</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45172</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45172</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45172</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45172</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45172</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45172</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45172</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45172</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45172</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45172</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45172</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45172</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45172</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45172</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45172</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45172</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45172</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45172</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45172</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45172</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45172</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45172</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45172</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45172</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45172</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45172</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45172</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45172</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45172</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45172</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45172</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45172</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45172</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45172</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45172</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45172</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45172</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45172</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45172</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45172</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45172</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45172</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45172</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45172</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45172</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45172</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45172</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45172</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45172</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45172</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45172</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45172</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45172</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45172</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45172</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45172</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45172</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45172</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45172</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45172</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45172</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45172</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45172</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45172</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45172</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f>
        <v/>
      </c>
      <c r="V457">
        <f>HYPERLINK("https://klasma.github.io/Logging_STROMSUND/klagomål/A 22113-2019.docx")</f>
        <v/>
      </c>
      <c r="W457">
        <f>HYPERLINK("https://klasma.github.io/Logging_STROMSUND/klagomålsmail/A 22113-2019.docx")</f>
        <v/>
      </c>
      <c r="X457">
        <f>HYPERLINK("https://klasma.github.io/Logging_STROMSUND/tillsyn/A 22113-2019.docx")</f>
        <v/>
      </c>
      <c r="Y457">
        <f>HYPERLINK("https://klasma.github.io/Logging_STROMSUND/tillsynsmail/A 22113-2019.docx")</f>
        <v/>
      </c>
    </row>
    <row r="458" ht="15" customHeight="1">
      <c r="A458" t="inlineStr">
        <is>
          <t>A 22291-2019</t>
        </is>
      </c>
      <c r="B458" s="1" t="n">
        <v>43585</v>
      </c>
      <c r="C458" s="1" t="n">
        <v>45172</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45172</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45172</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45172</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45172</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45172</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45172</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45172</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45172</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45172</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45172</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45172</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45172</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45172</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45172</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45172</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45172</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45172</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45172</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45172</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45172</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45172</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45172</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45172</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45172</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45172</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45172</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45172</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45172</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45172</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45172</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45172</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45172</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45172</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45172</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45172</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45172</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45172</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45172</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45172</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45172</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45172</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45172</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45172</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45172</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45172</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45172</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45172</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45172</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45172</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45172</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45172</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45172</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45172</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45172</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45172</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45172</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45172</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45172</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45172</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45172</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45172</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45172</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45172</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45172</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45172</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45172</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45172</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45172</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45172</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45172</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45172</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45172</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45172</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45172</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45172</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45172</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45172</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45172</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45172</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45172</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45172</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45172</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45172</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45172</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45172</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45172</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45172</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45172</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45172</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45172</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45172</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45172</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45172</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45172</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45172</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45172</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45172</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45172</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45172</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45172</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45172</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45172</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45172</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45172</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45172</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45172</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45172</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45172</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45172</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45172</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45172</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45172</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45172</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45172</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45172</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45172</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45172</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45172</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45172</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45172</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45172</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45172</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45172</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45172</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45172</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45172</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45172</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45172</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45172</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45172</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45172</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45172</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45172</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45172</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45172</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45172</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45172</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45172</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45172</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45172</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45172</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45172</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45172</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45172</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45172</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45172</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45172</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45172</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45172</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45172</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45172</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45172</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45172</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45172</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45172</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45172</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45172</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45172</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45172</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45172</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45172</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45172</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45172</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45172</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45172</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45172</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45172</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45172</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45172</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45172</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45172</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45172</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45172</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45172</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45172</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45172</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45172</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45172</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45172</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45172</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45172</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45172</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45172</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45172</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45172</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45172</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45172</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45172</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45172</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45172</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45172</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45172</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45172</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45172</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45172</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45172</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45172</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45172</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45172</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45172</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45172</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45172</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45172</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45172</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45172</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45172</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45172</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45172</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45172</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45172</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45172</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45172</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45172</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45172</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45172</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45172</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45172</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45172</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45172</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45172</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45172</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45172</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45172</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45172</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45172</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45172</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45172</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45172</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45172</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45172</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45172</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45172</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45172</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45172</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45172</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45172</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45172</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45172</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45172</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45172</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45172</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45172</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45172</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45172</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45172</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45172</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45172</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45172</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45172</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45172</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45172</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45172</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45172</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45172</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45172</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45172</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45172</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45172</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45172</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45172</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45172</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45172</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45172</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45172</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45172</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45172</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45172</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45172</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45172</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45172</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45172</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45172</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45172</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45172</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45172</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45172</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45172</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45172</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45172</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45172</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45172</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45172</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45172</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45172</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45172</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45172</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45172</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45172</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45172</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45172</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45172</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45172</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45172</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45172</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45172</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45172</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45172</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45172</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45172</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45172</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45172</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45172</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45172</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45172</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45172</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45172</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45172</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45172</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45172</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45172</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45172</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45172</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45172</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45172</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45172</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45172</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45172</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45172</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45172</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45172</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45172</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45172</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45172</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45172</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45172</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45172</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45172</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45172</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45172</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45172</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45172</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45172</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45172</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45172</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45172</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45172</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45172</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45172</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45172</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45172</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45172</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45172</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45172</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45172</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45172</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45172</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45172</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45172</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45172</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45172</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45172</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45172</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45172</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45172</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45172</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45172</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45172</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45172</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45172</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45172</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45172</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45172</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45172</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45172</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45172</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45172</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45172</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45172</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45172</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45172</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45172</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45172</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45172</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45172</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45172</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45172</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45172</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45172</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45172</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45172</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45172</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45172</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45172</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45172</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45172</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45172</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45172</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45172</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45172</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45172</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45172</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45172</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45172</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45172</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45172</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45172</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45172</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45172</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45172</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45172</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45172</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45172</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45172</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45172</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45172</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45172</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45172</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45172</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45172</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45172</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45172</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45172</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45172</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45172</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45172</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45172</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45172</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45172</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45172</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45172</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45172</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45172</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45172</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45172</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45172</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45172</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45172</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45172</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45172</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45172</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45172</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45172</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45172</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45172</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45172</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45172</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45172</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45172</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45172</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45172</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45172</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45172</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45172</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45172</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45172</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45172</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45172</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45172</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45172</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45172</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45172</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45172</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45172</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45172</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45172</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45172</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45172</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45172</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45172</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45172</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45172</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45172</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45172</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45172</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45172</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45172</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45172</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45172</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45172</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45172</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45172</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45172</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45172</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45172</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45172</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45172</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45172</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45172</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45172</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45172</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45172</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45172</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45172</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45172</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45172</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45172</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45172</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45172</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45172</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45172</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45172</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45172</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45172</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45172</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45172</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45172</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45172</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45172</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45172</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45172</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45172</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45172</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45172</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45172</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45172</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45172</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45172</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45172</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45172</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45172</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45172</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45172</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45172</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45172</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45172</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45172</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45172</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45172</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45172</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45172</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45172</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45172</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45172</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45172</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45172</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45172</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45172</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45172</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45172</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45172</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45172</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45172</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45172</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45172</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45172</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45172</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45172</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45172</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45172</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45172</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45172</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45172</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45172</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45172</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45172</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45172</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45172</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45172</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45172</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45172</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45172</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45172</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45172</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45172</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45172</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45172</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45172</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45172</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45172</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45172</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45172</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45172</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45172</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45172</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45172</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45172</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45172</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45172</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45172</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45172</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45172</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45172</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45172</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45172</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45172</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45172</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45172</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45172</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45172</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45172</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45172</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45172</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45172</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45172</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45172</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45172</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45172</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45172</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45172</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45172</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45172</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45172</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45172</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45172</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45172</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45172</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45172</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45172</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45172</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45172</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45172</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f>
        <v/>
      </c>
      <c r="V1059">
        <f>HYPERLINK("https://klasma.github.io/Logging_STROMSUND/klagomål/A 38586-2021.docx")</f>
        <v/>
      </c>
      <c r="W1059">
        <f>HYPERLINK("https://klasma.github.io/Logging_STROMSUND/klagomålsmail/A 38586-2021.docx")</f>
        <v/>
      </c>
      <c r="X1059">
        <f>HYPERLINK("https://klasma.github.io/Logging_STROMSUND/tillsyn/A 38586-2021.docx")</f>
        <v/>
      </c>
      <c r="Y1059">
        <f>HYPERLINK("https://klasma.github.io/Logging_STROMSUND/tillsynsmail/A 38586-2021.docx")</f>
        <v/>
      </c>
    </row>
    <row r="1060" ht="15" customHeight="1">
      <c r="A1060" t="inlineStr">
        <is>
          <t>A 38576-2021</t>
        </is>
      </c>
      <c r="B1060" s="1" t="n">
        <v>44407</v>
      </c>
      <c r="C1060" s="1" t="n">
        <v>45172</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45172</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45172</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45172</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45172</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45172</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45172</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45172</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45172</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45172</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45172</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45172</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45172</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45172</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45172</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45172</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45172</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45172</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45172</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45172</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45172</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45172</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45172</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45172</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45172</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45172</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45172</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45172</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45172</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45172</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45172</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45172</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45172</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45172</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45172</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45172</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45172</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45172</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45172</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45172</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45172</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45172</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45172</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45172</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45172</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45172</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45172</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45172</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45172</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45172</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45172</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45172</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45172</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45172</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45172</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45172</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45172</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45172</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45172</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45172</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45172</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45172</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45172</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45172</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45172</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45172</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45172</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45172</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45172</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45172</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45172</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45172</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45172</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45172</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45172</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45172</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45172</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45172</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45172</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45172</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45172</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45172</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45172</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45172</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45172</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45172</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45172</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45172</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45172</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45172</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45172</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45172</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45172</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45172</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45172</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45172</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45172</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45172</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45172</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45172</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45172</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45172</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45172</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45172</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45172</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45172</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45172</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45172</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45172</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45172</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45172</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45172</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45172</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45172</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45172</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45172</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45172</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45172</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45172</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45172</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45172</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45172</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45172</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45172</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45172</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45172</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45172</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45172</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45172</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f>
        <v/>
      </c>
      <c r="V1188">
        <f>HYPERLINK("https://klasma.github.io/Logging_STROMSUND/klagomål/A 71352-2021.docx")</f>
        <v/>
      </c>
      <c r="W1188">
        <f>HYPERLINK("https://klasma.github.io/Logging_STROMSUND/klagomålsmail/A 71352-2021.docx")</f>
        <v/>
      </c>
      <c r="X1188">
        <f>HYPERLINK("https://klasma.github.io/Logging_STROMSUND/tillsyn/A 71352-2021.docx")</f>
        <v/>
      </c>
      <c r="Y1188">
        <f>HYPERLINK("https://klasma.github.io/Logging_STROMSUND/tillsynsmail/A 71352-2021.docx")</f>
        <v/>
      </c>
    </row>
    <row r="1189" ht="15" customHeight="1">
      <c r="A1189" t="inlineStr">
        <is>
          <t>A 71912-2021</t>
        </is>
      </c>
      <c r="B1189" s="1" t="n">
        <v>44543</v>
      </c>
      <c r="C1189" s="1" t="n">
        <v>45172</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45172</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45172</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45172</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45172</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45172</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45172</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45172</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45172</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45172</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45172</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45172</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45172</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45172</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45172</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45172</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45172</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45172</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45172</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45172</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45172</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45172</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45172</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45172</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45172</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45172</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45172</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45172</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45172</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45172</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45172</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45172</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45172</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45172</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45172</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45172</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45172</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45172</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45172</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45172</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45172</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45172</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45172</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45172</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45172</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45172</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45172</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45172</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45172</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45172</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45172</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45172</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45172</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45172</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45172</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45172</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45172</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45172</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45172</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45172</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45172</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45172</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45172</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45172</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45172</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45172</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45172</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45172</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45172</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45172</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45172</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45172</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45172</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45172</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45172</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45172</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45172</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45172</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45172</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45172</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45172</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45172</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45172</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45172</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45172</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45172</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45172</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45172</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45172</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45172</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45172</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45172</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45172</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45172</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45172</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45172</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45172</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45172</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45172</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45172</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45172</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45172</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45172</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45172</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45172</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45172</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45172</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45172</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45172</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45172</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45172</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45172</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45172</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45172</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45172</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45172</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45172</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45172</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45172</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45172</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45172</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45172</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45172</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45172</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45172</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45172</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45172</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45172</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45172</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45172</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45172</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45172</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45172</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45172</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45172</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45172</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45172</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45172</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45172</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45172</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45172</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45172</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45172</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45172</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45172</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45172</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45172</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45172</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45172</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45172</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45172</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45172</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45172</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45172</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45172</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45172</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45172</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45172</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45172</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45172</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45172</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45172</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45172</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45172</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45172</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45172</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45172</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45172</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45172</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45172</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45172</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45172</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45172</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45172</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45172</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45172</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45172</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45172</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45172</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45172</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45172</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45172</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45172</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45172</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45172</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45172</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45172</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45172</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45172</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45172</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45172</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45172</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45172</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45172</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45172</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45172</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45172</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45172</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45172</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45172</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45172</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45172</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45172</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45172</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45172</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45172</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45172</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45172</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45172</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45172</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45172</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45172</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45172</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45172</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45172</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45172</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45172</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45172</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45172</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45172</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45172</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45172</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45172</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45172</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45172</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45172</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45172</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45172</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45172</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45172</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45172</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45172</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45172</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45172</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45172</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45172</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45172</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45172</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45172</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45172</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45172</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45172</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45172</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45172</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45172</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45172</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45172</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45172</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45172</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45172</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45172</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45172</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45172</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45172</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45172</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45172</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45172</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45172</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45172</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45172</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45172</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45172</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45172</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45172</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45172</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45172</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45172</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45172</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45172</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45172</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45172</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45172</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45172</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45172</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45172</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45172</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45172</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45172</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45172</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45172</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45172</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45172</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45172</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45172</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45172</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45172</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45172</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45172</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45172</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45172</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45172</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45172</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45172</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45172</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45172</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45172</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45172</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45172</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45172</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45172</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45172</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45172</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45172</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45172</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45172</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45172</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45172</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45172</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45172</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45172</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45172</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45172</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45172</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45172</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45172</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45172</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45172</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45172</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45172</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45172</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45172</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45172</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45172</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45172</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45172</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45172</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45172</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45172</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45172</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45172</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45172</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45172</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45172</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45172</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45172</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45172</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45172</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45172</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45172</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45172</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45172</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45172</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45172</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45172</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45172</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45172</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45172</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45172</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45172</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45172</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45172</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45172</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45172</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45172</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45172</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45172</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45172</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45172</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45172</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45172</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45172</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45172</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45172</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45172</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45172</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45172</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45172</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45172</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45172</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45172</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45172</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45172</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45172</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45172</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45172</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45172</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45172</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45172</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45172</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45172</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45172</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45172</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45172</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45172</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45172</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45172</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45172</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45172</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45172</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45172</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45172</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45172</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45172</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f>
        <v/>
      </c>
      <c r="V1581">
        <f>HYPERLINK("https://klasma.github.io/Logging_STROMSUND/klagomål/A 8665-2023.docx")</f>
        <v/>
      </c>
      <c r="W1581">
        <f>HYPERLINK("https://klasma.github.io/Logging_STROMSUND/klagomålsmail/A 8665-2023.docx")</f>
        <v/>
      </c>
      <c r="X1581">
        <f>HYPERLINK("https://klasma.github.io/Logging_STROMSUND/tillsyn/A 8665-2023.docx")</f>
        <v/>
      </c>
      <c r="Y1581">
        <f>HYPERLINK("https://klasma.github.io/Logging_STROMSUND/tillsynsmail/A 8665-2023.docx")</f>
        <v/>
      </c>
    </row>
    <row r="1582" ht="15" customHeight="1">
      <c r="A1582" t="inlineStr">
        <is>
          <t>A 9716-2023</t>
        </is>
      </c>
      <c r="B1582" s="1" t="n">
        <v>44978</v>
      </c>
      <c r="C1582" s="1" t="n">
        <v>45172</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45172</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45172</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45172</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45172</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45172</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45172</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45172</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45172</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45172</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45172</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45172</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45172</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45172</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45172</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45172</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45172</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45172</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45172</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45172</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45172</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45172</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45172</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45172</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45172</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45172</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45172</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45172</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45172</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45172</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45172</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45172</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45172</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45172</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45172</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45172</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45172</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45172</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45172</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45172</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45172</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45172</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45172</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45172</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45172</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45172</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45172</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45172</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45172</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45172</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45172</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45172</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45172</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45172</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45172</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45172</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45172</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45172</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45172</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45172</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45172</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45172</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45172</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45172</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45172</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45172</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45172</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45172</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45172</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45172</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45172</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45172</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45172</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45172</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45172</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45172</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45172</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45172</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45172</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45172</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45172</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45172</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45172</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45172</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45172</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45172</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45172</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45172</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45172</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45172</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45172</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45172</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45172</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45172</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45172</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45172</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45172</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45172</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45172</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45172</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45172</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45172</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45172</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45172</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45172</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45172</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45172</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45172</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45172</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45172</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45172</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45172</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45172</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45172</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45172</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45172</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45172</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45172</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45172</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45172</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45172</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45172</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45172</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45172</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45172</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45172</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45172</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45172</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45172</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45172</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45172</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45172</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45172</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45172</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45172</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45172</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45172</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45172</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45172</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45172</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45172</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45172</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45172</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45172</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45172</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45172</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45172</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45172</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45172</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45172</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c r="A1732" t="inlineStr">
        <is>
          <t>A 40625-2023</t>
        </is>
      </c>
      <c r="B1732" s="1" t="n">
        <v>45169</v>
      </c>
      <c r="C1732" s="1" t="n">
        <v>45172</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2023-09-03T04:41:12Z</dcterms:created>
  <dcterms:modified xmlns:dcterms="http://purl.org/dc/terms/" xmlns:xsi="http://www.w3.org/2001/XMLSchema-instance" xsi:type="dcterms:W3CDTF">2023-09-03T04:41:13Z</dcterms:modified>
</cp:coreProperties>
</file>