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8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53495-2020</t>
        </is>
      </c>
      <c r="B2" s="1" t="n">
        <v>44123</v>
      </c>
      <c r="C2" s="1" t="n">
        <v>45181</v>
      </c>
      <c r="D2" t="inlineStr">
        <is>
          <t>VÄSTERNORRLANDS LÄN</t>
        </is>
      </c>
      <c r="E2" t="inlineStr">
        <is>
          <t>SUNDSVALL</t>
        </is>
      </c>
      <c r="F2" t="inlineStr">
        <is>
          <t>SCA</t>
        </is>
      </c>
      <c r="G2" t="n">
        <v>23.8</v>
      </c>
      <c r="H2" t="n">
        <v>5</v>
      </c>
      <c r="I2" t="n">
        <v>9</v>
      </c>
      <c r="J2" t="n">
        <v>12</v>
      </c>
      <c r="K2" t="n">
        <v>3</v>
      </c>
      <c r="L2" t="n">
        <v>0</v>
      </c>
      <c r="M2" t="n">
        <v>0</v>
      </c>
      <c r="N2" t="n">
        <v>0</v>
      </c>
      <c r="O2" t="n">
        <v>15</v>
      </c>
      <c r="P2" t="n">
        <v>3</v>
      </c>
      <c r="Q2" t="n">
        <v>26</v>
      </c>
      <c r="R2" s="2" t="inlineStr">
        <is>
          <t>Doftticka
Knärot
Ulltickeporing
Brunpudrad nållav
Gammelgransskål
Garnlav
Granticka
Gränsticka
Lunglav
Rosenticka
Stiftgelélav
Ullticka
Vedtrappmossa
Violettgrå tagellav
Vitgrynig nållav
Barkkornlav
Bårdlav
Gulnål
Gytterlav
Kattfotslav
Korallblylav
Skinnlav
Spindelblomster
Stuplav
Fläcknycklar
Nattviol</t>
        </is>
      </c>
      <c r="S2">
        <f>HYPERLINK("https://klasma.github.io/Logging_SUNDSVALL/artfynd/A 53495-2020.xlsx")</f>
        <v/>
      </c>
      <c r="T2">
        <f>HYPERLINK("https://klasma.github.io/Logging_SUNDSVALL/kartor/A 53495-2020.png")</f>
        <v/>
      </c>
      <c r="U2">
        <f>HYPERLINK("https://klasma.github.io/Logging_SUNDSVALL/knärot/A 53495-2020.png")</f>
        <v/>
      </c>
      <c r="V2">
        <f>HYPERLINK("https://klasma.github.io/Logging_SUNDSVALL/klagomål/A 53495-2020.docx")</f>
        <v/>
      </c>
      <c r="W2">
        <f>HYPERLINK("https://klasma.github.io/Logging_SUNDSVALL/klagomålsmail/A 53495-2020.docx")</f>
        <v/>
      </c>
      <c r="X2">
        <f>HYPERLINK("https://klasma.github.io/Logging_SUNDSVALL/tillsyn/A 53495-2020.docx")</f>
        <v/>
      </c>
      <c r="Y2">
        <f>HYPERLINK("https://klasma.github.io/Logging_SUNDSVALL/tillsynsmail/A 53495-2020.docx")</f>
        <v/>
      </c>
    </row>
    <row r="3" ht="15" customHeight="1">
      <c r="A3" t="inlineStr">
        <is>
          <t>A 65633-2020</t>
        </is>
      </c>
      <c r="B3" s="1" t="n">
        <v>44173</v>
      </c>
      <c r="C3" s="1" t="n">
        <v>45181</v>
      </c>
      <c r="D3" t="inlineStr">
        <is>
          <t>VÄSTERNORRLANDS LÄN</t>
        </is>
      </c>
      <c r="E3" t="inlineStr">
        <is>
          <t>SUNDSVALL</t>
        </is>
      </c>
      <c r="F3" t="inlineStr">
        <is>
          <t>SCA</t>
        </is>
      </c>
      <c r="G3" t="n">
        <v>8</v>
      </c>
      <c r="H3" t="n">
        <v>6</v>
      </c>
      <c r="I3" t="n">
        <v>6</v>
      </c>
      <c r="J3" t="n">
        <v>14</v>
      </c>
      <c r="K3" t="n">
        <v>4</v>
      </c>
      <c r="L3" t="n">
        <v>1</v>
      </c>
      <c r="M3" t="n">
        <v>0</v>
      </c>
      <c r="N3" t="n">
        <v>0</v>
      </c>
      <c r="O3" t="n">
        <v>19</v>
      </c>
      <c r="P3" t="n">
        <v>5</v>
      </c>
      <c r="Q3" t="n">
        <v>25</v>
      </c>
      <c r="R3" s="2" t="inlineStr">
        <is>
          <t>Tornseglare
Aspfjädermossa
Knärot
Lappticka
Smalskaftslav
Garnlav
Granticka
Gränsticka
Järpe
Kolflarnlav
Kortskaftad ärgspik
Lunglav
Mindre hackspett
Mörk kolflarnlav
Rosenticka
Talltita
Tretåig hackspett
Ullticka
Vedtrappmossa
Barkticka
Rävticka
Skinnlav
Stor aspticka
Stuplav
Vedticka</t>
        </is>
      </c>
      <c r="S3">
        <f>HYPERLINK("https://klasma.github.io/Logging_SUNDSVALL/artfynd/A 65633-2020.xlsx")</f>
        <v/>
      </c>
      <c r="T3">
        <f>HYPERLINK("https://klasma.github.io/Logging_SUNDSVALL/kartor/A 65633-2020.png")</f>
        <v/>
      </c>
      <c r="U3">
        <f>HYPERLINK("https://klasma.github.io/Logging_SUNDSVALL/knärot/A 65633-2020.png")</f>
        <v/>
      </c>
      <c r="V3">
        <f>HYPERLINK("https://klasma.github.io/Logging_SUNDSVALL/klagomål/A 65633-2020.docx")</f>
        <v/>
      </c>
      <c r="W3">
        <f>HYPERLINK("https://klasma.github.io/Logging_SUNDSVALL/klagomålsmail/A 65633-2020.docx")</f>
        <v/>
      </c>
      <c r="X3">
        <f>HYPERLINK("https://klasma.github.io/Logging_SUNDSVALL/tillsyn/A 65633-2020.docx")</f>
        <v/>
      </c>
      <c r="Y3">
        <f>HYPERLINK("https://klasma.github.io/Logging_SUNDSVALL/tillsynsmail/A 65633-2020.docx")</f>
        <v/>
      </c>
    </row>
    <row r="4" ht="15" customHeight="1">
      <c r="A4" t="inlineStr">
        <is>
          <t>A 34684-2020</t>
        </is>
      </c>
      <c r="B4" s="1" t="n">
        <v>44035</v>
      </c>
      <c r="C4" s="1" t="n">
        <v>45181</v>
      </c>
      <c r="D4" t="inlineStr">
        <is>
          <t>VÄSTERNORRLANDS LÄN</t>
        </is>
      </c>
      <c r="E4" t="inlineStr">
        <is>
          <t>SUNDSVALL</t>
        </is>
      </c>
      <c r="F4" t="inlineStr">
        <is>
          <t>Holmen skog AB</t>
        </is>
      </c>
      <c r="G4" t="n">
        <v>16.7</v>
      </c>
      <c r="H4" t="n">
        <v>2</v>
      </c>
      <c r="I4" t="n">
        <v>12</v>
      </c>
      <c r="J4" t="n">
        <v>8</v>
      </c>
      <c r="K4" t="n">
        <v>0</v>
      </c>
      <c r="L4" t="n">
        <v>0</v>
      </c>
      <c r="M4" t="n">
        <v>0</v>
      </c>
      <c r="N4" t="n">
        <v>0</v>
      </c>
      <c r="O4" t="n">
        <v>8</v>
      </c>
      <c r="P4" t="n">
        <v>0</v>
      </c>
      <c r="Q4" t="n">
        <v>20</v>
      </c>
      <c r="R4" s="2" t="inlineStr">
        <is>
          <t>Doftskinn
Gammelgransskål
Garnlav
Lunglav
Skrovellav
Ullticka
Violettgrå tagellav
Vitgrynig nållav
Barkkornlav
Bårdlav
Korallblylav
Korallrot
Luddlav
Mörk husmossa
Skinnlav
Skogshakmossa
Spindelblomster
Stuplav
Vedticka
Ögonpyrola</t>
        </is>
      </c>
      <c r="S4">
        <f>HYPERLINK("https://klasma.github.io/Logging_SUNDSVALL/artfynd/A 34684-2020.xlsx")</f>
        <v/>
      </c>
      <c r="T4">
        <f>HYPERLINK("https://klasma.github.io/Logging_SUNDSVALL/kartor/A 34684-2020.png")</f>
        <v/>
      </c>
      <c r="V4">
        <f>HYPERLINK("https://klasma.github.io/Logging_SUNDSVALL/klagomål/A 34684-2020.docx")</f>
        <v/>
      </c>
      <c r="W4">
        <f>HYPERLINK("https://klasma.github.io/Logging_SUNDSVALL/klagomålsmail/A 34684-2020.docx")</f>
        <v/>
      </c>
      <c r="X4">
        <f>HYPERLINK("https://klasma.github.io/Logging_SUNDSVALL/tillsyn/A 34684-2020.docx")</f>
        <v/>
      </c>
      <c r="Y4">
        <f>HYPERLINK("https://klasma.github.io/Logging_SUNDSVALL/tillsynsmail/A 34684-2020.docx")</f>
        <v/>
      </c>
    </row>
    <row r="5" ht="15" customHeight="1">
      <c r="A5" t="inlineStr">
        <is>
          <t>A 19418-2023</t>
        </is>
      </c>
      <c r="B5" s="1" t="n">
        <v>45049</v>
      </c>
      <c r="C5" s="1" t="n">
        <v>45181</v>
      </c>
      <c r="D5" t="inlineStr">
        <is>
          <t>VÄSTERNORRLANDS LÄN</t>
        </is>
      </c>
      <c r="E5" t="inlineStr">
        <is>
          <t>SUNDSVALL</t>
        </is>
      </c>
      <c r="G5" t="n">
        <v>6.9</v>
      </c>
      <c r="H5" t="n">
        <v>3</v>
      </c>
      <c r="I5" t="n">
        <v>6</v>
      </c>
      <c r="J5" t="n">
        <v>8</v>
      </c>
      <c r="K5" t="n">
        <v>2</v>
      </c>
      <c r="L5" t="n">
        <v>0</v>
      </c>
      <c r="M5" t="n">
        <v>0</v>
      </c>
      <c r="N5" t="n">
        <v>0</v>
      </c>
      <c r="O5" t="n">
        <v>10</v>
      </c>
      <c r="P5" t="n">
        <v>2</v>
      </c>
      <c r="Q5" t="n">
        <v>17</v>
      </c>
      <c r="R5" s="2" t="inlineStr">
        <is>
          <t>Knärot
Rynkskinn
Doftskinn
Gammelgransskål
Garnlav
Granticka
Ullticka
Violettgrå tagellav
Vitgrynig nållav
Äggvaxskivling
Bronshjon
Kattfotslav
Spindelblomster
Trådticka
Vedticka
Vågbandad barkbock
Fläcknycklar</t>
        </is>
      </c>
      <c r="S5">
        <f>HYPERLINK("https://klasma.github.io/Logging_SUNDSVALL/artfynd/A 19418-2023.xlsx")</f>
        <v/>
      </c>
      <c r="T5">
        <f>HYPERLINK("https://klasma.github.io/Logging_SUNDSVALL/kartor/A 19418-2023.png")</f>
        <v/>
      </c>
      <c r="U5">
        <f>HYPERLINK("https://klasma.github.io/Logging_SUNDSVALL/knärot/A 19418-2023.png")</f>
        <v/>
      </c>
      <c r="V5">
        <f>HYPERLINK("https://klasma.github.io/Logging_SUNDSVALL/klagomål/A 19418-2023.docx")</f>
        <v/>
      </c>
      <c r="W5">
        <f>HYPERLINK("https://klasma.github.io/Logging_SUNDSVALL/klagomålsmail/A 19418-2023.docx")</f>
        <v/>
      </c>
      <c r="X5">
        <f>HYPERLINK("https://klasma.github.io/Logging_SUNDSVALL/tillsyn/A 19418-2023.docx")</f>
        <v/>
      </c>
      <c r="Y5">
        <f>HYPERLINK("https://klasma.github.io/Logging_SUNDSVALL/tillsynsmail/A 19418-2023.docx")</f>
        <v/>
      </c>
    </row>
    <row r="6" ht="15" customHeight="1">
      <c r="A6" t="inlineStr">
        <is>
          <t>A 59396-2022</t>
        </is>
      </c>
      <c r="B6" s="1" t="n">
        <v>44906</v>
      </c>
      <c r="C6" s="1" t="n">
        <v>45181</v>
      </c>
      <c r="D6" t="inlineStr">
        <is>
          <t>VÄSTERNORRLANDS LÄN</t>
        </is>
      </c>
      <c r="E6" t="inlineStr">
        <is>
          <t>SUNDSVALL</t>
        </is>
      </c>
      <c r="G6" t="n">
        <v>9.300000000000001</v>
      </c>
      <c r="H6" t="n">
        <v>2</v>
      </c>
      <c r="I6" t="n">
        <v>4</v>
      </c>
      <c r="J6" t="n">
        <v>10</v>
      </c>
      <c r="K6" t="n">
        <v>1</v>
      </c>
      <c r="L6" t="n">
        <v>0</v>
      </c>
      <c r="M6" t="n">
        <v>0</v>
      </c>
      <c r="N6" t="n">
        <v>0</v>
      </c>
      <c r="O6" t="n">
        <v>11</v>
      </c>
      <c r="P6" t="n">
        <v>1</v>
      </c>
      <c r="Q6" t="n">
        <v>16</v>
      </c>
      <c r="R6" s="2" t="inlineStr">
        <is>
          <t>Knärot
Blågrå svartspik
Dvärgbägarlav
Garnlav
Kolflarnlav
Mörk kolflarnlav
Tallticka
Ullticka
Vaddporing
Vedflamlav
Vedskivlav
Kattfotslav
Mörk husmossa
Skinnlav
Vågbandad barkbock
Nattviol</t>
        </is>
      </c>
      <c r="S6">
        <f>HYPERLINK("https://klasma.github.io/Logging_SUNDSVALL/artfynd/A 59396-2022.xlsx")</f>
        <v/>
      </c>
      <c r="T6">
        <f>HYPERLINK("https://klasma.github.io/Logging_SUNDSVALL/kartor/A 59396-2022.png")</f>
        <v/>
      </c>
      <c r="U6">
        <f>HYPERLINK("https://klasma.github.io/Logging_SUNDSVALL/knärot/A 59396-2022.png")</f>
        <v/>
      </c>
      <c r="V6">
        <f>HYPERLINK("https://klasma.github.io/Logging_SUNDSVALL/klagomål/A 59396-2022.docx")</f>
        <v/>
      </c>
      <c r="W6">
        <f>HYPERLINK("https://klasma.github.io/Logging_SUNDSVALL/klagomålsmail/A 59396-2022.docx")</f>
        <v/>
      </c>
      <c r="X6">
        <f>HYPERLINK("https://klasma.github.io/Logging_SUNDSVALL/tillsyn/A 59396-2022.docx")</f>
        <v/>
      </c>
      <c r="Y6">
        <f>HYPERLINK("https://klasma.github.io/Logging_SUNDSVALL/tillsynsmail/A 59396-2022.docx")</f>
        <v/>
      </c>
    </row>
    <row r="7" ht="15" customHeight="1">
      <c r="A7" t="inlineStr">
        <is>
          <t>A 11213-2022</t>
        </is>
      </c>
      <c r="B7" s="1" t="n">
        <v>44629</v>
      </c>
      <c r="C7" s="1" t="n">
        <v>45181</v>
      </c>
      <c r="D7" t="inlineStr">
        <is>
          <t>VÄSTERNORRLANDS LÄN</t>
        </is>
      </c>
      <c r="E7" t="inlineStr">
        <is>
          <t>SUNDSVALL</t>
        </is>
      </c>
      <c r="G7" t="n">
        <v>42.4</v>
      </c>
      <c r="H7" t="n">
        <v>2</v>
      </c>
      <c r="I7" t="n">
        <v>7</v>
      </c>
      <c r="J7" t="n">
        <v>6</v>
      </c>
      <c r="K7" t="n">
        <v>2</v>
      </c>
      <c r="L7" t="n">
        <v>0</v>
      </c>
      <c r="M7" t="n">
        <v>0</v>
      </c>
      <c r="N7" t="n">
        <v>0</v>
      </c>
      <c r="O7" t="n">
        <v>8</v>
      </c>
      <c r="P7" t="n">
        <v>2</v>
      </c>
      <c r="Q7" t="n">
        <v>15</v>
      </c>
      <c r="R7" s="2" t="inlineStr">
        <is>
          <t>Knärot
Rynkskinn
Garnlav
Lunglav
Mörk kolflarnlav
Rosenticka
Tretåig hackspett
Ullticka
Bårdlav
Kattfotslav
Korallblylav
Rävticka
Skinnlav
Stuplav
Vedticka</t>
        </is>
      </c>
      <c r="S7">
        <f>HYPERLINK("https://klasma.github.io/Logging_SUNDSVALL/artfynd/A 11213-2022.xlsx")</f>
        <v/>
      </c>
      <c r="T7">
        <f>HYPERLINK("https://klasma.github.io/Logging_SUNDSVALL/kartor/A 11213-2022.png")</f>
        <v/>
      </c>
      <c r="U7">
        <f>HYPERLINK("https://klasma.github.io/Logging_SUNDSVALL/knärot/A 11213-2022.png")</f>
        <v/>
      </c>
      <c r="V7">
        <f>HYPERLINK("https://klasma.github.io/Logging_SUNDSVALL/klagomål/A 11213-2022.docx")</f>
        <v/>
      </c>
      <c r="W7">
        <f>HYPERLINK("https://klasma.github.io/Logging_SUNDSVALL/klagomålsmail/A 11213-2022.docx")</f>
        <v/>
      </c>
      <c r="X7">
        <f>HYPERLINK("https://klasma.github.io/Logging_SUNDSVALL/tillsyn/A 11213-2022.docx")</f>
        <v/>
      </c>
      <c r="Y7">
        <f>HYPERLINK("https://klasma.github.io/Logging_SUNDSVALL/tillsynsmail/A 11213-2022.docx")</f>
        <v/>
      </c>
    </row>
    <row r="8" ht="15" customHeight="1">
      <c r="A8" t="inlineStr">
        <is>
          <t>A 46964-2020</t>
        </is>
      </c>
      <c r="B8" s="1" t="n">
        <v>44096</v>
      </c>
      <c r="C8" s="1" t="n">
        <v>45181</v>
      </c>
      <c r="D8" t="inlineStr">
        <is>
          <t>VÄSTERNORRLANDS LÄN</t>
        </is>
      </c>
      <c r="E8" t="inlineStr">
        <is>
          <t>SUNDSVALL</t>
        </is>
      </c>
      <c r="F8" t="inlineStr">
        <is>
          <t>Holmen skog AB</t>
        </is>
      </c>
      <c r="G8" t="n">
        <v>18.1</v>
      </c>
      <c r="H8" t="n">
        <v>4</v>
      </c>
      <c r="I8" t="n">
        <v>2</v>
      </c>
      <c r="J8" t="n">
        <v>8</v>
      </c>
      <c r="K8" t="n">
        <v>0</v>
      </c>
      <c r="L8" t="n">
        <v>0</v>
      </c>
      <c r="M8" t="n">
        <v>0</v>
      </c>
      <c r="N8" t="n">
        <v>0</v>
      </c>
      <c r="O8" t="n">
        <v>8</v>
      </c>
      <c r="P8" t="n">
        <v>0</v>
      </c>
      <c r="Q8" t="n">
        <v>11</v>
      </c>
      <c r="R8" s="2" t="inlineStr">
        <is>
          <t>Brunpudrad nållav
Gammelgransskål
Garnlav
Granticka
Spillkråka
Talltita
Tretåig hackspett
Ullticka
Vedticka
Vågbandad barkbock
Revlummer</t>
        </is>
      </c>
      <c r="S8">
        <f>HYPERLINK("https://klasma.github.io/Logging_SUNDSVALL/artfynd/A 46964-2020.xlsx")</f>
        <v/>
      </c>
      <c r="T8">
        <f>HYPERLINK("https://klasma.github.io/Logging_SUNDSVALL/kartor/A 46964-2020.png")</f>
        <v/>
      </c>
      <c r="V8">
        <f>HYPERLINK("https://klasma.github.io/Logging_SUNDSVALL/klagomål/A 46964-2020.docx")</f>
        <v/>
      </c>
      <c r="W8">
        <f>HYPERLINK("https://klasma.github.io/Logging_SUNDSVALL/klagomålsmail/A 46964-2020.docx")</f>
        <v/>
      </c>
      <c r="X8">
        <f>HYPERLINK("https://klasma.github.io/Logging_SUNDSVALL/tillsyn/A 46964-2020.docx")</f>
        <v/>
      </c>
      <c r="Y8">
        <f>HYPERLINK("https://klasma.github.io/Logging_SUNDSVALL/tillsynsmail/A 46964-2020.docx")</f>
        <v/>
      </c>
    </row>
    <row r="9" ht="15" customHeight="1">
      <c r="A9" t="inlineStr">
        <is>
          <t>A 16388-2023</t>
        </is>
      </c>
      <c r="B9" s="1" t="n">
        <v>45022</v>
      </c>
      <c r="C9" s="1" t="n">
        <v>45181</v>
      </c>
      <c r="D9" t="inlineStr">
        <is>
          <t>VÄSTERNORRLANDS LÄN</t>
        </is>
      </c>
      <c r="E9" t="inlineStr">
        <is>
          <t>SUNDSVALL</t>
        </is>
      </c>
      <c r="G9" t="n">
        <v>10.1</v>
      </c>
      <c r="H9" t="n">
        <v>1</v>
      </c>
      <c r="I9" t="n">
        <v>2</v>
      </c>
      <c r="J9" t="n">
        <v>7</v>
      </c>
      <c r="K9" t="n">
        <v>2</v>
      </c>
      <c r="L9" t="n">
        <v>0</v>
      </c>
      <c r="M9" t="n">
        <v>0</v>
      </c>
      <c r="N9" t="n">
        <v>0</v>
      </c>
      <c r="O9" t="n">
        <v>9</v>
      </c>
      <c r="P9" t="n">
        <v>2</v>
      </c>
      <c r="Q9" t="n">
        <v>11</v>
      </c>
      <c r="R9" s="2" t="inlineStr">
        <is>
          <t>Aspgelélav
Knärot
Garnlav
Leptoporus mollis
Lunglav
Orange taggsvamp
Rosenticka
Ullticka
Vedskivlav
Björksplintborre
Stor aspticka</t>
        </is>
      </c>
      <c r="S9">
        <f>HYPERLINK("https://klasma.github.io/Logging_SUNDSVALL/artfynd/A 16388-2023.xlsx")</f>
        <v/>
      </c>
      <c r="T9">
        <f>HYPERLINK("https://klasma.github.io/Logging_SUNDSVALL/kartor/A 16388-2023.png")</f>
        <v/>
      </c>
      <c r="U9">
        <f>HYPERLINK("https://klasma.github.io/Logging_SUNDSVALL/knärot/A 16388-2023.png")</f>
        <v/>
      </c>
      <c r="V9">
        <f>HYPERLINK("https://klasma.github.io/Logging_SUNDSVALL/klagomål/A 16388-2023.docx")</f>
        <v/>
      </c>
      <c r="W9">
        <f>HYPERLINK("https://klasma.github.io/Logging_SUNDSVALL/klagomålsmail/A 16388-2023.docx")</f>
        <v/>
      </c>
      <c r="X9">
        <f>HYPERLINK("https://klasma.github.io/Logging_SUNDSVALL/tillsyn/A 16388-2023.docx")</f>
        <v/>
      </c>
      <c r="Y9">
        <f>HYPERLINK("https://klasma.github.io/Logging_SUNDSVALL/tillsynsmail/A 16388-2023.docx")</f>
        <v/>
      </c>
    </row>
    <row r="10" ht="15" customHeight="1">
      <c r="A10" t="inlineStr">
        <is>
          <t>A 40603-2022</t>
        </is>
      </c>
      <c r="B10" s="1" t="n">
        <v>44823</v>
      </c>
      <c r="C10" s="1" t="n">
        <v>45181</v>
      </c>
      <c r="D10" t="inlineStr">
        <is>
          <t>VÄSTERNORRLANDS LÄN</t>
        </is>
      </c>
      <c r="E10" t="inlineStr">
        <is>
          <t>SUNDSVALL</t>
        </is>
      </c>
      <c r="G10" t="n">
        <v>6.7</v>
      </c>
      <c r="H10" t="n">
        <v>2</v>
      </c>
      <c r="I10" t="n">
        <v>4</v>
      </c>
      <c r="J10" t="n">
        <v>4</v>
      </c>
      <c r="K10" t="n">
        <v>1</v>
      </c>
      <c r="L10" t="n">
        <v>0</v>
      </c>
      <c r="M10" t="n">
        <v>0</v>
      </c>
      <c r="N10" t="n">
        <v>0</v>
      </c>
      <c r="O10" t="n">
        <v>5</v>
      </c>
      <c r="P10" t="n">
        <v>1</v>
      </c>
      <c r="Q10" t="n">
        <v>10</v>
      </c>
      <c r="R10" s="2" t="inlineStr">
        <is>
          <t>Knärot
Garnlav
Orange taggsvamp
Tallticka
Violettgrå tagellav
Grönpyrola
Skinnlav
Stor aspticka
Vårärt
Blåsippa</t>
        </is>
      </c>
      <c r="S10">
        <f>HYPERLINK("https://klasma.github.io/Logging_SUNDSVALL/artfynd/A 40603-2022.xlsx")</f>
        <v/>
      </c>
      <c r="T10">
        <f>HYPERLINK("https://klasma.github.io/Logging_SUNDSVALL/kartor/A 40603-2022.png")</f>
        <v/>
      </c>
      <c r="U10">
        <f>HYPERLINK("https://klasma.github.io/Logging_SUNDSVALL/knärot/A 40603-2022.png")</f>
        <v/>
      </c>
      <c r="V10">
        <f>HYPERLINK("https://klasma.github.io/Logging_SUNDSVALL/klagomål/A 40603-2022.docx")</f>
        <v/>
      </c>
      <c r="W10">
        <f>HYPERLINK("https://klasma.github.io/Logging_SUNDSVALL/klagomålsmail/A 40603-2022.docx")</f>
        <v/>
      </c>
      <c r="X10">
        <f>HYPERLINK("https://klasma.github.io/Logging_SUNDSVALL/tillsyn/A 40603-2022.docx")</f>
        <v/>
      </c>
      <c r="Y10">
        <f>HYPERLINK("https://klasma.github.io/Logging_SUNDSVALL/tillsynsmail/A 40603-2022.docx")</f>
        <v/>
      </c>
    </row>
    <row r="11" ht="15" customHeight="1">
      <c r="A11" t="inlineStr">
        <is>
          <t>A 16398-2023</t>
        </is>
      </c>
      <c r="B11" s="1" t="n">
        <v>45022</v>
      </c>
      <c r="C11" s="1" t="n">
        <v>45181</v>
      </c>
      <c r="D11" t="inlineStr">
        <is>
          <t>VÄSTERNORRLANDS LÄN</t>
        </is>
      </c>
      <c r="E11" t="inlineStr">
        <is>
          <t>SUNDSVALL</t>
        </is>
      </c>
      <c r="G11" t="n">
        <v>10</v>
      </c>
      <c r="H11" t="n">
        <v>1</v>
      </c>
      <c r="I11" t="n">
        <v>4</v>
      </c>
      <c r="J11" t="n">
        <v>5</v>
      </c>
      <c r="K11" t="n">
        <v>1</v>
      </c>
      <c r="L11" t="n">
        <v>0</v>
      </c>
      <c r="M11" t="n">
        <v>0</v>
      </c>
      <c r="N11" t="n">
        <v>0</v>
      </c>
      <c r="O11" t="n">
        <v>6</v>
      </c>
      <c r="P11" t="n">
        <v>1</v>
      </c>
      <c r="Q11" t="n">
        <v>10</v>
      </c>
      <c r="R11" s="2" t="inlineStr">
        <is>
          <t>Knärot
Garnlav
Ullticka
Vedflamlav
Vedskivlav
Violettgrå tagellav
Björksplintborre
Bronshjon
Grönpyrola
Vågbandad barkbock</t>
        </is>
      </c>
      <c r="S11">
        <f>HYPERLINK("https://klasma.github.io/Logging_SUNDSVALL/artfynd/A 16398-2023.xlsx")</f>
        <v/>
      </c>
      <c r="T11">
        <f>HYPERLINK("https://klasma.github.io/Logging_SUNDSVALL/kartor/A 16398-2023.png")</f>
        <v/>
      </c>
      <c r="U11">
        <f>HYPERLINK("https://klasma.github.io/Logging_SUNDSVALL/knärot/A 16398-2023.png")</f>
        <v/>
      </c>
      <c r="V11">
        <f>HYPERLINK("https://klasma.github.io/Logging_SUNDSVALL/klagomål/A 16398-2023.docx")</f>
        <v/>
      </c>
      <c r="W11">
        <f>HYPERLINK("https://klasma.github.io/Logging_SUNDSVALL/klagomålsmail/A 16398-2023.docx")</f>
        <v/>
      </c>
      <c r="X11">
        <f>HYPERLINK("https://klasma.github.io/Logging_SUNDSVALL/tillsyn/A 16398-2023.docx")</f>
        <v/>
      </c>
      <c r="Y11">
        <f>HYPERLINK("https://klasma.github.io/Logging_SUNDSVALL/tillsynsmail/A 16398-2023.docx")</f>
        <v/>
      </c>
    </row>
    <row r="12" ht="15" customHeight="1">
      <c r="A12" t="inlineStr">
        <is>
          <t>A 18999-2023</t>
        </is>
      </c>
      <c r="B12" s="1" t="n">
        <v>45044</v>
      </c>
      <c r="C12" s="1" t="n">
        <v>45181</v>
      </c>
      <c r="D12" t="inlineStr">
        <is>
          <t>VÄSTERNORRLANDS LÄN</t>
        </is>
      </c>
      <c r="E12" t="inlineStr">
        <is>
          <t>SUNDSVALL</t>
        </is>
      </c>
      <c r="F12" t="inlineStr">
        <is>
          <t>SCA</t>
        </is>
      </c>
      <c r="G12" t="n">
        <v>8.1</v>
      </c>
      <c r="H12" t="n">
        <v>1</v>
      </c>
      <c r="I12" t="n">
        <v>4</v>
      </c>
      <c r="J12" t="n">
        <v>5</v>
      </c>
      <c r="K12" t="n">
        <v>1</v>
      </c>
      <c r="L12" t="n">
        <v>0</v>
      </c>
      <c r="M12" t="n">
        <v>0</v>
      </c>
      <c r="N12" t="n">
        <v>0</v>
      </c>
      <c r="O12" t="n">
        <v>6</v>
      </c>
      <c r="P12" t="n">
        <v>1</v>
      </c>
      <c r="Q12" t="n">
        <v>10</v>
      </c>
      <c r="R12" s="2" t="inlineStr">
        <is>
          <t>Knärot
Gammelgransskål
Garnlav
Granticka
Gränsticka
Ullticka
Luddlav
Tibast
Vedticka
Vågbandad barkbock</t>
        </is>
      </c>
      <c r="S12">
        <f>HYPERLINK("https://klasma.github.io/Logging_SUNDSVALL/artfynd/A 18999-2023.xlsx")</f>
        <v/>
      </c>
      <c r="T12">
        <f>HYPERLINK("https://klasma.github.io/Logging_SUNDSVALL/kartor/A 18999-2023.png")</f>
        <v/>
      </c>
      <c r="U12">
        <f>HYPERLINK("https://klasma.github.io/Logging_SUNDSVALL/knärot/A 18999-2023.png")</f>
        <v/>
      </c>
      <c r="V12">
        <f>HYPERLINK("https://klasma.github.io/Logging_SUNDSVALL/klagomål/A 18999-2023.docx")</f>
        <v/>
      </c>
      <c r="W12">
        <f>HYPERLINK("https://klasma.github.io/Logging_SUNDSVALL/klagomålsmail/A 18999-2023.docx")</f>
        <v/>
      </c>
      <c r="X12">
        <f>HYPERLINK("https://klasma.github.io/Logging_SUNDSVALL/tillsyn/A 18999-2023.docx")</f>
        <v/>
      </c>
      <c r="Y12">
        <f>HYPERLINK("https://klasma.github.io/Logging_SUNDSVALL/tillsynsmail/A 18999-2023.docx")</f>
        <v/>
      </c>
    </row>
    <row r="13" ht="15" customHeight="1">
      <c r="A13" t="inlineStr">
        <is>
          <t>A 4946-2019</t>
        </is>
      </c>
      <c r="B13" s="1" t="n">
        <v>43479</v>
      </c>
      <c r="C13" s="1" t="n">
        <v>45181</v>
      </c>
      <c r="D13" t="inlineStr">
        <is>
          <t>VÄSTERNORRLANDS LÄN</t>
        </is>
      </c>
      <c r="E13" t="inlineStr">
        <is>
          <t>SUNDSVALL</t>
        </is>
      </c>
      <c r="F13" t="inlineStr">
        <is>
          <t>SCA</t>
        </is>
      </c>
      <c r="G13" t="n">
        <v>103.4</v>
      </c>
      <c r="H13" t="n">
        <v>1</v>
      </c>
      <c r="I13" t="n">
        <v>3</v>
      </c>
      <c r="J13" t="n">
        <v>6</v>
      </c>
      <c r="K13" t="n">
        <v>0</v>
      </c>
      <c r="L13" t="n">
        <v>0</v>
      </c>
      <c r="M13" t="n">
        <v>0</v>
      </c>
      <c r="N13" t="n">
        <v>0</v>
      </c>
      <c r="O13" t="n">
        <v>6</v>
      </c>
      <c r="P13" t="n">
        <v>0</v>
      </c>
      <c r="Q13" t="n">
        <v>9</v>
      </c>
      <c r="R13" s="2" t="inlineStr">
        <is>
          <t>Blanksvart spiklav
Dvärgbägarlav
Garnlav
Lunglav
Tallticka
Violettgrå tagellav
Norrlandslav
Plattlummer
Vågbandad barkbock</t>
        </is>
      </c>
      <c r="S13">
        <f>HYPERLINK("https://klasma.github.io/Logging_SUNDSVALL/artfynd/A 4946-2019.xlsx")</f>
        <v/>
      </c>
      <c r="T13">
        <f>HYPERLINK("https://klasma.github.io/Logging_SUNDSVALL/kartor/A 4946-2019.png")</f>
        <v/>
      </c>
      <c r="V13">
        <f>HYPERLINK("https://klasma.github.io/Logging_SUNDSVALL/klagomål/A 4946-2019.docx")</f>
        <v/>
      </c>
      <c r="W13">
        <f>HYPERLINK("https://klasma.github.io/Logging_SUNDSVALL/klagomålsmail/A 4946-2019.docx")</f>
        <v/>
      </c>
      <c r="X13">
        <f>HYPERLINK("https://klasma.github.io/Logging_SUNDSVALL/tillsyn/A 4946-2019.docx")</f>
        <v/>
      </c>
      <c r="Y13">
        <f>HYPERLINK("https://klasma.github.io/Logging_SUNDSVALL/tillsynsmail/A 4946-2019.docx")</f>
        <v/>
      </c>
    </row>
    <row r="14" ht="15" customHeight="1">
      <c r="A14" t="inlineStr">
        <is>
          <t>A 22621-2023</t>
        </is>
      </c>
      <c r="B14" s="1" t="n">
        <v>45071</v>
      </c>
      <c r="C14" s="1" t="n">
        <v>45181</v>
      </c>
      <c r="D14" t="inlineStr">
        <is>
          <t>VÄSTERNORRLANDS LÄN</t>
        </is>
      </c>
      <c r="E14" t="inlineStr">
        <is>
          <t>SUNDSVALL</t>
        </is>
      </c>
      <c r="F14" t="inlineStr">
        <is>
          <t>Holmen skog AB</t>
        </is>
      </c>
      <c r="G14" t="n">
        <v>7.3</v>
      </c>
      <c r="H14" t="n">
        <v>0</v>
      </c>
      <c r="I14" t="n">
        <v>6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9</v>
      </c>
      <c r="R14" s="2" t="inlineStr">
        <is>
          <t>Garnlav
Lunglav
Ullticka
Barkkornlav
Bårdlav
Korallblylav
Skinnlav
Stor aspticka
Stuplav</t>
        </is>
      </c>
      <c r="S14">
        <f>HYPERLINK("https://klasma.github.io/Logging_SUNDSVALL/artfynd/A 22621-2023.xlsx")</f>
        <v/>
      </c>
      <c r="T14">
        <f>HYPERLINK("https://klasma.github.io/Logging_SUNDSVALL/kartor/A 22621-2023.png")</f>
        <v/>
      </c>
      <c r="V14">
        <f>HYPERLINK("https://klasma.github.io/Logging_SUNDSVALL/klagomål/A 22621-2023.docx")</f>
        <v/>
      </c>
      <c r="W14">
        <f>HYPERLINK("https://klasma.github.io/Logging_SUNDSVALL/klagomålsmail/A 22621-2023.docx")</f>
        <v/>
      </c>
      <c r="X14">
        <f>HYPERLINK("https://klasma.github.io/Logging_SUNDSVALL/tillsyn/A 22621-2023.docx")</f>
        <v/>
      </c>
      <c r="Y14">
        <f>HYPERLINK("https://klasma.github.io/Logging_SUNDSVALL/tillsynsmail/A 22621-2023.docx")</f>
        <v/>
      </c>
    </row>
    <row r="15" ht="15" customHeight="1">
      <c r="A15" t="inlineStr">
        <is>
          <t>A 27404-2020</t>
        </is>
      </c>
      <c r="B15" s="1" t="n">
        <v>43992</v>
      </c>
      <c r="C15" s="1" t="n">
        <v>45181</v>
      </c>
      <c r="D15" t="inlineStr">
        <is>
          <t>VÄSTERNORRLANDS LÄN</t>
        </is>
      </c>
      <c r="E15" t="inlineStr">
        <is>
          <t>SUNDSVALL</t>
        </is>
      </c>
      <c r="G15" t="n">
        <v>6.5</v>
      </c>
      <c r="H15" t="n">
        <v>2</v>
      </c>
      <c r="I15" t="n">
        <v>3</v>
      </c>
      <c r="J15" t="n">
        <v>4</v>
      </c>
      <c r="K15" t="n">
        <v>1</v>
      </c>
      <c r="L15" t="n">
        <v>0</v>
      </c>
      <c r="M15" t="n">
        <v>0</v>
      </c>
      <c r="N15" t="n">
        <v>0</v>
      </c>
      <c r="O15" t="n">
        <v>5</v>
      </c>
      <c r="P15" t="n">
        <v>1</v>
      </c>
      <c r="Q15" t="n">
        <v>8</v>
      </c>
      <c r="R15" s="2" t="inlineStr">
        <is>
          <t>Knärot
Duvhök
Orange taggsvamp
Ullticka
Violettgrå tagellav
Bronshjon
Dropptaggsvamp
Grönpyrola</t>
        </is>
      </c>
      <c r="S15">
        <f>HYPERLINK("https://klasma.github.io/Logging_SUNDSVALL/artfynd/A 27404-2020.xlsx")</f>
        <v/>
      </c>
      <c r="T15">
        <f>HYPERLINK("https://klasma.github.io/Logging_SUNDSVALL/kartor/A 27404-2020.png")</f>
        <v/>
      </c>
      <c r="U15">
        <f>HYPERLINK("https://klasma.github.io/Logging_SUNDSVALL/knärot/A 27404-2020.png")</f>
        <v/>
      </c>
      <c r="V15">
        <f>HYPERLINK("https://klasma.github.io/Logging_SUNDSVALL/klagomål/A 27404-2020.docx")</f>
        <v/>
      </c>
      <c r="W15">
        <f>HYPERLINK("https://klasma.github.io/Logging_SUNDSVALL/klagomålsmail/A 27404-2020.docx")</f>
        <v/>
      </c>
      <c r="X15">
        <f>HYPERLINK("https://klasma.github.io/Logging_SUNDSVALL/tillsyn/A 27404-2020.docx")</f>
        <v/>
      </c>
      <c r="Y15">
        <f>HYPERLINK("https://klasma.github.io/Logging_SUNDSVALL/tillsynsmail/A 27404-2020.docx")</f>
        <v/>
      </c>
    </row>
    <row r="16" ht="15" customHeight="1">
      <c r="A16" t="inlineStr">
        <is>
          <t>A 57857-2022</t>
        </is>
      </c>
      <c r="B16" s="1" t="n">
        <v>44898</v>
      </c>
      <c r="C16" s="1" t="n">
        <v>45181</v>
      </c>
      <c r="D16" t="inlineStr">
        <is>
          <t>VÄSTERNORRLANDS LÄN</t>
        </is>
      </c>
      <c r="E16" t="inlineStr">
        <is>
          <t>SUNDSVALL</t>
        </is>
      </c>
      <c r="F16" t="inlineStr">
        <is>
          <t>SCA</t>
        </is>
      </c>
      <c r="G16" t="n">
        <v>20.6</v>
      </c>
      <c r="H16" t="n">
        <v>2</v>
      </c>
      <c r="I16" t="n">
        <v>3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8</v>
      </c>
      <c r="R16" s="2" t="inlineStr">
        <is>
          <t>Granticka
Orange taggsvamp
Ullticka
Björksplintborre
Grönpyrola
Vågbandad barkbock
Nattviol
Blåsippa</t>
        </is>
      </c>
      <c r="S16">
        <f>HYPERLINK("https://klasma.github.io/Logging_SUNDSVALL/artfynd/A 57857-2022.xlsx")</f>
        <v/>
      </c>
      <c r="T16">
        <f>HYPERLINK("https://klasma.github.io/Logging_SUNDSVALL/kartor/A 57857-2022.png")</f>
        <v/>
      </c>
      <c r="V16">
        <f>HYPERLINK("https://klasma.github.io/Logging_SUNDSVALL/klagomål/A 57857-2022.docx")</f>
        <v/>
      </c>
      <c r="W16">
        <f>HYPERLINK("https://klasma.github.io/Logging_SUNDSVALL/klagomålsmail/A 57857-2022.docx")</f>
        <v/>
      </c>
      <c r="X16">
        <f>HYPERLINK("https://klasma.github.io/Logging_SUNDSVALL/tillsyn/A 57857-2022.docx")</f>
        <v/>
      </c>
      <c r="Y16">
        <f>HYPERLINK("https://klasma.github.io/Logging_SUNDSVALL/tillsynsmail/A 57857-2022.docx")</f>
        <v/>
      </c>
    </row>
    <row r="17" ht="15" customHeight="1">
      <c r="A17" t="inlineStr">
        <is>
          <t>A 62083-2022</t>
        </is>
      </c>
      <c r="B17" s="1" t="n">
        <v>44918</v>
      </c>
      <c r="C17" s="1" t="n">
        <v>45181</v>
      </c>
      <c r="D17" t="inlineStr">
        <is>
          <t>VÄSTERNORRLANDS LÄN</t>
        </is>
      </c>
      <c r="E17" t="inlineStr">
        <is>
          <t>SUNDSVALL</t>
        </is>
      </c>
      <c r="F17" t="inlineStr">
        <is>
          <t>SCA</t>
        </is>
      </c>
      <c r="G17" t="n">
        <v>3.5</v>
      </c>
      <c r="H17" t="n">
        <v>1</v>
      </c>
      <c r="I17" t="n">
        <v>3</v>
      </c>
      <c r="J17" t="n">
        <v>4</v>
      </c>
      <c r="K17" t="n">
        <v>1</v>
      </c>
      <c r="L17" t="n">
        <v>0</v>
      </c>
      <c r="M17" t="n">
        <v>0</v>
      </c>
      <c r="N17" t="n">
        <v>0</v>
      </c>
      <c r="O17" t="n">
        <v>5</v>
      </c>
      <c r="P17" t="n">
        <v>1</v>
      </c>
      <c r="Q17" t="n">
        <v>8</v>
      </c>
      <c r="R17" s="2" t="inlineStr">
        <is>
          <t>Knärot
Garnlav
Lunglav
Ullticka
Vitgrynig nållav
Kattfotslav
Vedticka
Vågbandad barkbock</t>
        </is>
      </c>
      <c r="S17">
        <f>HYPERLINK("https://klasma.github.io/Logging_SUNDSVALL/artfynd/A 62083-2022.xlsx")</f>
        <v/>
      </c>
      <c r="T17">
        <f>HYPERLINK("https://klasma.github.io/Logging_SUNDSVALL/kartor/A 62083-2022.png")</f>
        <v/>
      </c>
      <c r="U17">
        <f>HYPERLINK("https://klasma.github.io/Logging_SUNDSVALL/knärot/A 62083-2022.png")</f>
        <v/>
      </c>
      <c r="V17">
        <f>HYPERLINK("https://klasma.github.io/Logging_SUNDSVALL/klagomål/A 62083-2022.docx")</f>
        <v/>
      </c>
      <c r="W17">
        <f>HYPERLINK("https://klasma.github.io/Logging_SUNDSVALL/klagomålsmail/A 62083-2022.docx")</f>
        <v/>
      </c>
      <c r="X17">
        <f>HYPERLINK("https://klasma.github.io/Logging_SUNDSVALL/tillsyn/A 62083-2022.docx")</f>
        <v/>
      </c>
      <c r="Y17">
        <f>HYPERLINK("https://klasma.github.io/Logging_SUNDSVALL/tillsynsmail/A 62083-2022.docx")</f>
        <v/>
      </c>
    </row>
    <row r="18" ht="15" customHeight="1">
      <c r="A18" t="inlineStr">
        <is>
          <t>A 48150-2020</t>
        </is>
      </c>
      <c r="B18" s="1" t="n">
        <v>44091</v>
      </c>
      <c r="C18" s="1" t="n">
        <v>45181</v>
      </c>
      <c r="D18" t="inlineStr">
        <is>
          <t>VÄSTERNORRLANDS LÄN</t>
        </is>
      </c>
      <c r="E18" t="inlineStr">
        <is>
          <t>SUNDSVALL</t>
        </is>
      </c>
      <c r="G18" t="n">
        <v>0.6</v>
      </c>
      <c r="H18" t="n">
        <v>1</v>
      </c>
      <c r="I18" t="n">
        <v>5</v>
      </c>
      <c r="J18" t="n">
        <v>0</v>
      </c>
      <c r="K18" t="n">
        <v>0</v>
      </c>
      <c r="L18" t="n">
        <v>1</v>
      </c>
      <c r="M18" t="n">
        <v>0</v>
      </c>
      <c r="N18" t="n">
        <v>0</v>
      </c>
      <c r="O18" t="n">
        <v>1</v>
      </c>
      <c r="P18" t="n">
        <v>1</v>
      </c>
      <c r="Q18" t="n">
        <v>7</v>
      </c>
      <c r="R18" s="2" t="inlineStr">
        <is>
          <t>Piggfjällskivling
Droppklibbskivling
Svart trolldruva
Svavelriska
Toppvaxskivling
Ängsvaxskivling
Blåsippa</t>
        </is>
      </c>
      <c r="S18">
        <f>HYPERLINK("https://klasma.github.io/Logging_SUNDSVALL/artfynd/A 48150-2020.xlsx")</f>
        <v/>
      </c>
      <c r="T18">
        <f>HYPERLINK("https://klasma.github.io/Logging_SUNDSVALL/kartor/A 48150-2020.png")</f>
        <v/>
      </c>
      <c r="V18">
        <f>HYPERLINK("https://klasma.github.io/Logging_SUNDSVALL/klagomål/A 48150-2020.docx")</f>
        <v/>
      </c>
      <c r="W18">
        <f>HYPERLINK("https://klasma.github.io/Logging_SUNDSVALL/klagomålsmail/A 48150-2020.docx")</f>
        <v/>
      </c>
      <c r="X18">
        <f>HYPERLINK("https://klasma.github.io/Logging_SUNDSVALL/tillsyn/A 48150-2020.docx")</f>
        <v/>
      </c>
      <c r="Y18">
        <f>HYPERLINK("https://klasma.github.io/Logging_SUNDSVALL/tillsynsmail/A 48150-2020.docx")</f>
        <v/>
      </c>
    </row>
    <row r="19" ht="15" customHeight="1">
      <c r="A19" t="inlineStr">
        <is>
          <t>A 25270-2022</t>
        </is>
      </c>
      <c r="B19" s="1" t="n">
        <v>44729</v>
      </c>
      <c r="C19" s="1" t="n">
        <v>45181</v>
      </c>
      <c r="D19" t="inlineStr">
        <is>
          <t>VÄSTERNORRLANDS LÄN</t>
        </is>
      </c>
      <c r="E19" t="inlineStr">
        <is>
          <t>SUNDSVALL</t>
        </is>
      </c>
      <c r="F19" t="inlineStr">
        <is>
          <t>SCA</t>
        </is>
      </c>
      <c r="G19" t="n">
        <v>6.2</v>
      </c>
      <c r="H19" t="n">
        <v>0</v>
      </c>
      <c r="I19" t="n">
        <v>5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7</v>
      </c>
      <c r="R19" s="2" t="inlineStr">
        <is>
          <t>Lunglav
Violmussling
Skogshakmossa
Stuplav
Trådticka
Vedticka
Ögonpyrola</t>
        </is>
      </c>
      <c r="S19">
        <f>HYPERLINK("https://klasma.github.io/Logging_SUNDSVALL/artfynd/A 25270-2022.xlsx")</f>
        <v/>
      </c>
      <c r="T19">
        <f>HYPERLINK("https://klasma.github.io/Logging_SUNDSVALL/kartor/A 25270-2022.png")</f>
        <v/>
      </c>
      <c r="V19">
        <f>HYPERLINK("https://klasma.github.io/Logging_SUNDSVALL/klagomål/A 25270-2022.docx")</f>
        <v/>
      </c>
      <c r="W19">
        <f>HYPERLINK("https://klasma.github.io/Logging_SUNDSVALL/klagomålsmail/A 25270-2022.docx")</f>
        <v/>
      </c>
      <c r="X19">
        <f>HYPERLINK("https://klasma.github.io/Logging_SUNDSVALL/tillsyn/A 25270-2022.docx")</f>
        <v/>
      </c>
      <c r="Y19">
        <f>HYPERLINK("https://klasma.github.io/Logging_SUNDSVALL/tillsynsmail/A 25270-2022.docx")</f>
        <v/>
      </c>
    </row>
    <row r="20" ht="15" customHeight="1">
      <c r="A20" t="inlineStr">
        <is>
          <t>A 51307-2022</t>
        </is>
      </c>
      <c r="B20" s="1" t="n">
        <v>44868</v>
      </c>
      <c r="C20" s="1" t="n">
        <v>45181</v>
      </c>
      <c r="D20" t="inlineStr">
        <is>
          <t>VÄSTERNORRLANDS LÄN</t>
        </is>
      </c>
      <c r="E20" t="inlineStr">
        <is>
          <t>SUNDSVALL</t>
        </is>
      </c>
      <c r="G20" t="n">
        <v>1.6</v>
      </c>
      <c r="H20" t="n">
        <v>1</v>
      </c>
      <c r="I20" t="n">
        <v>4</v>
      </c>
      <c r="J20" t="n">
        <v>2</v>
      </c>
      <c r="K20" t="n">
        <v>1</v>
      </c>
      <c r="L20" t="n">
        <v>0</v>
      </c>
      <c r="M20" t="n">
        <v>0</v>
      </c>
      <c r="N20" t="n">
        <v>0</v>
      </c>
      <c r="O20" t="n">
        <v>3</v>
      </c>
      <c r="P20" t="n">
        <v>1</v>
      </c>
      <c r="Q20" t="n">
        <v>7</v>
      </c>
      <c r="R20" s="2" t="inlineStr">
        <is>
          <t>Knärot
Ullticka
Vitgrynig nållav
Dropptaggsvamp
Mörk husmossa
Slät lönnlav
Stor aspticka</t>
        </is>
      </c>
      <c r="S20">
        <f>HYPERLINK("https://klasma.github.io/Logging_SUNDSVALL/artfynd/A 51307-2022.xlsx")</f>
        <v/>
      </c>
      <c r="T20">
        <f>HYPERLINK("https://klasma.github.io/Logging_SUNDSVALL/kartor/A 51307-2022.png")</f>
        <v/>
      </c>
      <c r="U20">
        <f>HYPERLINK("https://klasma.github.io/Logging_SUNDSVALL/knärot/A 51307-2022.png")</f>
        <v/>
      </c>
      <c r="V20">
        <f>HYPERLINK("https://klasma.github.io/Logging_SUNDSVALL/klagomål/A 51307-2022.docx")</f>
        <v/>
      </c>
      <c r="W20">
        <f>HYPERLINK("https://klasma.github.io/Logging_SUNDSVALL/klagomålsmail/A 51307-2022.docx")</f>
        <v/>
      </c>
      <c r="X20">
        <f>HYPERLINK("https://klasma.github.io/Logging_SUNDSVALL/tillsyn/A 51307-2022.docx")</f>
        <v/>
      </c>
      <c r="Y20">
        <f>HYPERLINK("https://klasma.github.io/Logging_SUNDSVALL/tillsynsmail/A 51307-2022.docx")</f>
        <v/>
      </c>
    </row>
    <row r="21" ht="15" customHeight="1">
      <c r="A21" t="inlineStr">
        <is>
          <t>A 30272-2023</t>
        </is>
      </c>
      <c r="B21" s="1" t="n">
        <v>45099</v>
      </c>
      <c r="C21" s="1" t="n">
        <v>45181</v>
      </c>
      <c r="D21" t="inlineStr">
        <is>
          <t>VÄSTERNORRLANDS LÄN</t>
        </is>
      </c>
      <c r="E21" t="inlineStr">
        <is>
          <t>SUNDSVALL</t>
        </is>
      </c>
      <c r="G21" t="n">
        <v>4.1</v>
      </c>
      <c r="H21" t="n">
        <v>2</v>
      </c>
      <c r="I21" t="n">
        <v>3</v>
      </c>
      <c r="J21" t="n">
        <v>3</v>
      </c>
      <c r="K21" t="n">
        <v>1</v>
      </c>
      <c r="L21" t="n">
        <v>0</v>
      </c>
      <c r="M21" t="n">
        <v>0</v>
      </c>
      <c r="N21" t="n">
        <v>0</v>
      </c>
      <c r="O21" t="n">
        <v>4</v>
      </c>
      <c r="P21" t="n">
        <v>1</v>
      </c>
      <c r="Q21" t="n">
        <v>7</v>
      </c>
      <c r="R21" s="2" t="inlineStr">
        <is>
          <t>Knärot
Järpe
Rosenticka
Ullticka
Bronshjon
Mörk husmossa
Vågbandad barkbock</t>
        </is>
      </c>
      <c r="S21">
        <f>HYPERLINK("https://klasma.github.io/Logging_SUNDSVALL/artfynd/A 30272-2023.xlsx")</f>
        <v/>
      </c>
      <c r="T21">
        <f>HYPERLINK("https://klasma.github.io/Logging_SUNDSVALL/kartor/A 30272-2023.png")</f>
        <v/>
      </c>
      <c r="U21">
        <f>HYPERLINK("https://klasma.github.io/Logging_SUNDSVALL/knärot/A 30272-2023.png")</f>
        <v/>
      </c>
      <c r="V21">
        <f>HYPERLINK("https://klasma.github.io/Logging_SUNDSVALL/klagomål/A 30272-2023.docx")</f>
        <v/>
      </c>
      <c r="W21">
        <f>HYPERLINK("https://klasma.github.io/Logging_SUNDSVALL/klagomålsmail/A 30272-2023.docx")</f>
        <v/>
      </c>
      <c r="X21">
        <f>HYPERLINK("https://klasma.github.io/Logging_SUNDSVALL/tillsyn/A 30272-2023.docx")</f>
        <v/>
      </c>
      <c r="Y21">
        <f>HYPERLINK("https://klasma.github.io/Logging_SUNDSVALL/tillsynsmail/A 30272-2023.docx")</f>
        <v/>
      </c>
    </row>
    <row r="22" ht="15" customHeight="1">
      <c r="A22" t="inlineStr">
        <is>
          <t>A 43457-2022</t>
        </is>
      </c>
      <c r="B22" s="1" t="n">
        <v>44835</v>
      </c>
      <c r="C22" s="1" t="n">
        <v>45181</v>
      </c>
      <c r="D22" t="inlineStr">
        <is>
          <t>VÄSTERNORRLANDS LÄN</t>
        </is>
      </c>
      <c r="E22" t="inlineStr">
        <is>
          <t>SUNDSVALL</t>
        </is>
      </c>
      <c r="F22" t="inlineStr">
        <is>
          <t>SCA</t>
        </is>
      </c>
      <c r="G22" t="n">
        <v>43.7</v>
      </c>
      <c r="H22" t="n">
        <v>2</v>
      </c>
      <c r="I22" t="n">
        <v>1</v>
      </c>
      <c r="J22" t="n">
        <v>3</v>
      </c>
      <c r="K22" t="n">
        <v>2</v>
      </c>
      <c r="L22" t="n">
        <v>0</v>
      </c>
      <c r="M22" t="n">
        <v>0</v>
      </c>
      <c r="N22" t="n">
        <v>0</v>
      </c>
      <c r="O22" t="n">
        <v>5</v>
      </c>
      <c r="P22" t="n">
        <v>2</v>
      </c>
      <c r="Q22" t="n">
        <v>6</v>
      </c>
      <c r="R22" s="2" t="inlineStr">
        <is>
          <t>Blackticka
Doftticka
Lunglav
Tretåig hackspett
Ullticka
Stuplav</t>
        </is>
      </c>
      <c r="S22">
        <f>HYPERLINK("https://klasma.github.io/Logging_SUNDSVALL/artfynd/A 43457-2022.xlsx")</f>
        <v/>
      </c>
      <c r="T22">
        <f>HYPERLINK("https://klasma.github.io/Logging_SUNDSVALL/kartor/A 43457-2022.png")</f>
        <v/>
      </c>
      <c r="V22">
        <f>HYPERLINK("https://klasma.github.io/Logging_SUNDSVALL/klagomål/A 43457-2022.docx")</f>
        <v/>
      </c>
      <c r="W22">
        <f>HYPERLINK("https://klasma.github.io/Logging_SUNDSVALL/klagomålsmail/A 43457-2022.docx")</f>
        <v/>
      </c>
      <c r="X22">
        <f>HYPERLINK("https://klasma.github.io/Logging_SUNDSVALL/tillsyn/A 43457-2022.docx")</f>
        <v/>
      </c>
      <c r="Y22">
        <f>HYPERLINK("https://klasma.github.io/Logging_SUNDSVALL/tillsynsmail/A 43457-2022.docx")</f>
        <v/>
      </c>
    </row>
    <row r="23" ht="15" customHeight="1">
      <c r="A23" t="inlineStr">
        <is>
          <t>A 19016-2023</t>
        </is>
      </c>
      <c r="B23" s="1" t="n">
        <v>45045</v>
      </c>
      <c r="C23" s="1" t="n">
        <v>45181</v>
      </c>
      <c r="D23" t="inlineStr">
        <is>
          <t>VÄSTERNORRLANDS LÄN</t>
        </is>
      </c>
      <c r="E23" t="inlineStr">
        <is>
          <t>SUNDSVALL</t>
        </is>
      </c>
      <c r="F23" t="inlineStr">
        <is>
          <t>SCA</t>
        </is>
      </c>
      <c r="G23" t="n">
        <v>13.1</v>
      </c>
      <c r="H23" t="n">
        <v>3</v>
      </c>
      <c r="I23" t="n">
        <v>2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6</v>
      </c>
      <c r="R23" s="2" t="inlineStr">
        <is>
          <t>Knärot
Granticka
Spillkråka
Bronshjon
Mörk husmossa
Blåsippa</t>
        </is>
      </c>
      <c r="S23">
        <f>HYPERLINK("https://klasma.github.io/Logging_SUNDSVALL/artfynd/A 19016-2023.xlsx")</f>
        <v/>
      </c>
      <c r="T23">
        <f>HYPERLINK("https://klasma.github.io/Logging_SUNDSVALL/kartor/A 19016-2023.png")</f>
        <v/>
      </c>
      <c r="U23">
        <f>HYPERLINK("https://klasma.github.io/Logging_SUNDSVALL/knärot/A 19016-2023.png")</f>
        <v/>
      </c>
      <c r="V23">
        <f>HYPERLINK("https://klasma.github.io/Logging_SUNDSVALL/klagomål/A 19016-2023.docx")</f>
        <v/>
      </c>
      <c r="W23">
        <f>HYPERLINK("https://klasma.github.io/Logging_SUNDSVALL/klagomålsmail/A 19016-2023.docx")</f>
        <v/>
      </c>
      <c r="X23">
        <f>HYPERLINK("https://klasma.github.io/Logging_SUNDSVALL/tillsyn/A 19016-2023.docx")</f>
        <v/>
      </c>
      <c r="Y23">
        <f>HYPERLINK("https://klasma.github.io/Logging_SUNDSVALL/tillsynsmail/A 19016-2023.docx")</f>
        <v/>
      </c>
    </row>
    <row r="24" ht="15" customHeight="1">
      <c r="A24" t="inlineStr">
        <is>
          <t>A 22228-2023</t>
        </is>
      </c>
      <c r="B24" s="1" t="n">
        <v>45069</v>
      </c>
      <c r="C24" s="1" t="n">
        <v>45181</v>
      </c>
      <c r="D24" t="inlineStr">
        <is>
          <t>VÄSTERNORRLANDS LÄN</t>
        </is>
      </c>
      <c r="E24" t="inlineStr">
        <is>
          <t>SUNDSVALL</t>
        </is>
      </c>
      <c r="F24" t="inlineStr">
        <is>
          <t>SCA</t>
        </is>
      </c>
      <c r="G24" t="n">
        <v>5.1</v>
      </c>
      <c r="H24" t="n">
        <v>1</v>
      </c>
      <c r="I24" t="n">
        <v>3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6</v>
      </c>
      <c r="R24" s="2" t="inlineStr">
        <is>
          <t>Garnlav
Lunglav
Ullticka
Plattlummer
Skinnlav
Stuplav</t>
        </is>
      </c>
      <c r="S24">
        <f>HYPERLINK("https://klasma.github.io/Logging_SUNDSVALL/artfynd/A 22228-2023.xlsx")</f>
        <v/>
      </c>
      <c r="T24">
        <f>HYPERLINK("https://klasma.github.io/Logging_SUNDSVALL/kartor/A 22228-2023.png")</f>
        <v/>
      </c>
      <c r="V24">
        <f>HYPERLINK("https://klasma.github.io/Logging_SUNDSVALL/klagomål/A 22228-2023.docx")</f>
        <v/>
      </c>
      <c r="W24">
        <f>HYPERLINK("https://klasma.github.io/Logging_SUNDSVALL/klagomålsmail/A 22228-2023.docx")</f>
        <v/>
      </c>
      <c r="X24">
        <f>HYPERLINK("https://klasma.github.io/Logging_SUNDSVALL/tillsyn/A 22228-2023.docx")</f>
        <v/>
      </c>
      <c r="Y24">
        <f>HYPERLINK("https://klasma.github.io/Logging_SUNDSVALL/tillsynsmail/A 22228-2023.docx")</f>
        <v/>
      </c>
    </row>
    <row r="25" ht="15" customHeight="1">
      <c r="A25" t="inlineStr">
        <is>
          <t>A 25692-2023</t>
        </is>
      </c>
      <c r="B25" s="1" t="n">
        <v>45089</v>
      </c>
      <c r="C25" s="1" t="n">
        <v>45181</v>
      </c>
      <c r="D25" t="inlineStr">
        <is>
          <t>VÄSTERNORRLANDS LÄN</t>
        </is>
      </c>
      <c r="E25" t="inlineStr">
        <is>
          <t>SUNDSVALL</t>
        </is>
      </c>
      <c r="F25" t="inlineStr">
        <is>
          <t>SCA</t>
        </is>
      </c>
      <c r="G25" t="n">
        <v>12.2</v>
      </c>
      <c r="H25" t="n">
        <v>3</v>
      </c>
      <c r="I25" t="n">
        <v>3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6</v>
      </c>
      <c r="R25" s="2" t="inlineStr">
        <is>
          <t>Garnlav
Skogsfru
Rödgul trumpetsvamp
Spindelblomster
Ögonpyrola
Fläcknycklar</t>
        </is>
      </c>
      <c r="S25">
        <f>HYPERLINK("https://klasma.github.io/Logging_SUNDSVALL/artfynd/A 25692-2023.xlsx")</f>
        <v/>
      </c>
      <c r="T25">
        <f>HYPERLINK("https://klasma.github.io/Logging_SUNDSVALL/kartor/A 25692-2023.png")</f>
        <v/>
      </c>
      <c r="V25">
        <f>HYPERLINK("https://klasma.github.io/Logging_SUNDSVALL/klagomål/A 25692-2023.docx")</f>
        <v/>
      </c>
      <c r="W25">
        <f>HYPERLINK("https://klasma.github.io/Logging_SUNDSVALL/klagomålsmail/A 25692-2023.docx")</f>
        <v/>
      </c>
      <c r="X25">
        <f>HYPERLINK("https://klasma.github.io/Logging_SUNDSVALL/tillsyn/A 25692-2023.docx")</f>
        <v/>
      </c>
      <c r="Y25">
        <f>HYPERLINK("https://klasma.github.io/Logging_SUNDSVALL/tillsynsmail/A 25692-2023.docx")</f>
        <v/>
      </c>
    </row>
    <row r="26" ht="15" customHeight="1">
      <c r="A26" t="inlineStr">
        <is>
          <t>A 49980-2019</t>
        </is>
      </c>
      <c r="B26" s="1" t="n">
        <v>43733</v>
      </c>
      <c r="C26" s="1" t="n">
        <v>45181</v>
      </c>
      <c r="D26" t="inlineStr">
        <is>
          <t>VÄSTERNORRLANDS LÄN</t>
        </is>
      </c>
      <c r="E26" t="inlineStr">
        <is>
          <t>SUNDSVALL</t>
        </is>
      </c>
      <c r="G26" t="n">
        <v>6.3</v>
      </c>
      <c r="H26" t="n">
        <v>1</v>
      </c>
      <c r="I26" t="n">
        <v>0</v>
      </c>
      <c r="J26" t="n">
        <v>3</v>
      </c>
      <c r="K26" t="n">
        <v>2</v>
      </c>
      <c r="L26" t="n">
        <v>0</v>
      </c>
      <c r="M26" t="n">
        <v>0</v>
      </c>
      <c r="N26" t="n">
        <v>0</v>
      </c>
      <c r="O26" t="n">
        <v>5</v>
      </c>
      <c r="P26" t="n">
        <v>2</v>
      </c>
      <c r="Q26" t="n">
        <v>5</v>
      </c>
      <c r="R26" s="2" t="inlineStr">
        <is>
          <t>Knärot
Rynkskinn
Lunglav
Rosenticka
Ullticka</t>
        </is>
      </c>
      <c r="S26">
        <f>HYPERLINK("https://klasma.github.io/Logging_SUNDSVALL/artfynd/A 49980-2019.xlsx")</f>
        <v/>
      </c>
      <c r="T26">
        <f>HYPERLINK("https://klasma.github.io/Logging_SUNDSVALL/kartor/A 49980-2019.png")</f>
        <v/>
      </c>
      <c r="U26">
        <f>HYPERLINK("https://klasma.github.io/Logging_SUNDSVALL/knärot/A 49980-2019.png")</f>
        <v/>
      </c>
      <c r="V26">
        <f>HYPERLINK("https://klasma.github.io/Logging_SUNDSVALL/klagomål/A 49980-2019.docx")</f>
        <v/>
      </c>
      <c r="W26">
        <f>HYPERLINK("https://klasma.github.io/Logging_SUNDSVALL/klagomålsmail/A 49980-2019.docx")</f>
        <v/>
      </c>
      <c r="X26">
        <f>HYPERLINK("https://klasma.github.io/Logging_SUNDSVALL/tillsyn/A 49980-2019.docx")</f>
        <v/>
      </c>
      <c r="Y26">
        <f>HYPERLINK("https://klasma.github.io/Logging_SUNDSVALL/tillsynsmail/A 49980-2019.docx")</f>
        <v/>
      </c>
    </row>
    <row r="27" ht="15" customHeight="1">
      <c r="A27" t="inlineStr">
        <is>
          <t>A 36967-2020</t>
        </is>
      </c>
      <c r="B27" s="1" t="n">
        <v>44053</v>
      </c>
      <c r="C27" s="1" t="n">
        <v>45181</v>
      </c>
      <c r="D27" t="inlineStr">
        <is>
          <t>VÄSTERNORRLANDS LÄN</t>
        </is>
      </c>
      <c r="E27" t="inlineStr">
        <is>
          <t>SUNDSVALL</t>
        </is>
      </c>
      <c r="F27" t="inlineStr">
        <is>
          <t>SCA</t>
        </is>
      </c>
      <c r="G27" t="n">
        <v>6.1</v>
      </c>
      <c r="H27" t="n">
        <v>1</v>
      </c>
      <c r="I27" t="n">
        <v>2</v>
      </c>
      <c r="J27" t="n">
        <v>2</v>
      </c>
      <c r="K27" t="n">
        <v>1</v>
      </c>
      <c r="L27" t="n">
        <v>0</v>
      </c>
      <c r="M27" t="n">
        <v>0</v>
      </c>
      <c r="N27" t="n">
        <v>0</v>
      </c>
      <c r="O27" t="n">
        <v>3</v>
      </c>
      <c r="P27" t="n">
        <v>1</v>
      </c>
      <c r="Q27" t="n">
        <v>5</v>
      </c>
      <c r="R27" s="2" t="inlineStr">
        <is>
          <t>Knärot
Granticka
Lunglav
Skogshakmossa
Stor aspticka</t>
        </is>
      </c>
      <c r="S27">
        <f>HYPERLINK("https://klasma.github.io/Logging_SUNDSVALL/artfynd/A 36967-2020.xlsx")</f>
        <v/>
      </c>
      <c r="T27">
        <f>HYPERLINK("https://klasma.github.io/Logging_SUNDSVALL/kartor/A 36967-2020.png")</f>
        <v/>
      </c>
      <c r="U27">
        <f>HYPERLINK("https://klasma.github.io/Logging_SUNDSVALL/knärot/A 36967-2020.png")</f>
        <v/>
      </c>
      <c r="V27">
        <f>HYPERLINK("https://klasma.github.io/Logging_SUNDSVALL/klagomål/A 36967-2020.docx")</f>
        <v/>
      </c>
      <c r="W27">
        <f>HYPERLINK("https://klasma.github.io/Logging_SUNDSVALL/klagomålsmail/A 36967-2020.docx")</f>
        <v/>
      </c>
      <c r="X27">
        <f>HYPERLINK("https://klasma.github.io/Logging_SUNDSVALL/tillsyn/A 36967-2020.docx")</f>
        <v/>
      </c>
      <c r="Y27">
        <f>HYPERLINK("https://klasma.github.io/Logging_SUNDSVALL/tillsynsmail/A 36967-2020.docx")</f>
        <v/>
      </c>
    </row>
    <row r="28" ht="15" customHeight="1">
      <c r="A28" t="inlineStr">
        <is>
          <t>A 44496-2020</t>
        </is>
      </c>
      <c r="B28" s="1" t="n">
        <v>44084</v>
      </c>
      <c r="C28" s="1" t="n">
        <v>45181</v>
      </c>
      <c r="D28" t="inlineStr">
        <is>
          <t>VÄSTERNORRLANDS LÄN</t>
        </is>
      </c>
      <c r="E28" t="inlineStr">
        <is>
          <t>SUNDSVALL</t>
        </is>
      </c>
      <c r="F28" t="inlineStr">
        <is>
          <t>SCA</t>
        </is>
      </c>
      <c r="G28" t="n">
        <v>5.9</v>
      </c>
      <c r="H28" t="n">
        <v>1</v>
      </c>
      <c r="I28" t="n">
        <v>0</v>
      </c>
      <c r="J28" t="n">
        <v>4</v>
      </c>
      <c r="K28" t="n">
        <v>1</v>
      </c>
      <c r="L28" t="n">
        <v>0</v>
      </c>
      <c r="M28" t="n">
        <v>0</v>
      </c>
      <c r="N28" t="n">
        <v>0</v>
      </c>
      <c r="O28" t="n">
        <v>5</v>
      </c>
      <c r="P28" t="n">
        <v>1</v>
      </c>
      <c r="Q28" t="n">
        <v>5</v>
      </c>
      <c r="R28" s="2" t="inlineStr">
        <is>
          <t>Knärot
Lunglav
Rosenticka
Skrovellav
Ullticka</t>
        </is>
      </c>
      <c r="S28">
        <f>HYPERLINK("https://klasma.github.io/Logging_SUNDSVALL/artfynd/A 44496-2020.xlsx")</f>
        <v/>
      </c>
      <c r="T28">
        <f>HYPERLINK("https://klasma.github.io/Logging_SUNDSVALL/kartor/A 44496-2020.png")</f>
        <v/>
      </c>
      <c r="U28">
        <f>HYPERLINK("https://klasma.github.io/Logging_SUNDSVALL/knärot/A 44496-2020.png")</f>
        <v/>
      </c>
      <c r="V28">
        <f>HYPERLINK("https://klasma.github.io/Logging_SUNDSVALL/klagomål/A 44496-2020.docx")</f>
        <v/>
      </c>
      <c r="W28">
        <f>HYPERLINK("https://klasma.github.io/Logging_SUNDSVALL/klagomålsmail/A 44496-2020.docx")</f>
        <v/>
      </c>
      <c r="X28">
        <f>HYPERLINK("https://klasma.github.io/Logging_SUNDSVALL/tillsyn/A 44496-2020.docx")</f>
        <v/>
      </c>
      <c r="Y28">
        <f>HYPERLINK("https://klasma.github.io/Logging_SUNDSVALL/tillsynsmail/A 44496-2020.docx")</f>
        <v/>
      </c>
    </row>
    <row r="29" ht="15" customHeight="1">
      <c r="A29" t="inlineStr">
        <is>
          <t>A 50152-2020</t>
        </is>
      </c>
      <c r="B29" s="1" t="n">
        <v>44104</v>
      </c>
      <c r="C29" s="1" t="n">
        <v>45181</v>
      </c>
      <c r="D29" t="inlineStr">
        <is>
          <t>VÄSTERNORRLANDS LÄN</t>
        </is>
      </c>
      <c r="E29" t="inlineStr">
        <is>
          <t>SUNDSVALL</t>
        </is>
      </c>
      <c r="G29" t="n">
        <v>9.199999999999999</v>
      </c>
      <c r="H29" t="n">
        <v>0</v>
      </c>
      <c r="I29" t="n">
        <v>0</v>
      </c>
      <c r="J29" t="n">
        <v>5</v>
      </c>
      <c r="K29" t="n">
        <v>0</v>
      </c>
      <c r="L29" t="n">
        <v>0</v>
      </c>
      <c r="M29" t="n">
        <v>0</v>
      </c>
      <c r="N29" t="n">
        <v>0</v>
      </c>
      <c r="O29" t="n">
        <v>5</v>
      </c>
      <c r="P29" t="n">
        <v>0</v>
      </c>
      <c r="Q29" t="n">
        <v>5</v>
      </c>
      <c r="R29" s="2" t="inlineStr">
        <is>
          <t>Garnlav
Kolflarnlav
Lunglav
Mörk kolflarnlav
Vaddporing</t>
        </is>
      </c>
      <c r="S29">
        <f>HYPERLINK("https://klasma.github.io/Logging_SUNDSVALL/artfynd/A 50152-2020.xlsx")</f>
        <v/>
      </c>
      <c r="T29">
        <f>HYPERLINK("https://klasma.github.io/Logging_SUNDSVALL/kartor/A 50152-2020.png")</f>
        <v/>
      </c>
      <c r="U29">
        <f>HYPERLINK("https://klasma.github.io/Logging_SUNDSVALL/knärot/A 50152-2020.png")</f>
        <v/>
      </c>
      <c r="V29">
        <f>HYPERLINK("https://klasma.github.io/Logging_SUNDSVALL/klagomål/A 50152-2020.docx")</f>
        <v/>
      </c>
      <c r="W29">
        <f>HYPERLINK("https://klasma.github.io/Logging_SUNDSVALL/klagomålsmail/A 50152-2020.docx")</f>
        <v/>
      </c>
      <c r="X29">
        <f>HYPERLINK("https://klasma.github.io/Logging_SUNDSVALL/tillsyn/A 50152-2020.docx")</f>
        <v/>
      </c>
      <c r="Y29">
        <f>HYPERLINK("https://klasma.github.io/Logging_SUNDSVALL/tillsynsmail/A 50152-2020.docx")</f>
        <v/>
      </c>
    </row>
    <row r="30" ht="15" customHeight="1">
      <c r="A30" t="inlineStr">
        <is>
          <t>A 58518-2022</t>
        </is>
      </c>
      <c r="B30" s="1" t="n">
        <v>44902</v>
      </c>
      <c r="C30" s="1" t="n">
        <v>45181</v>
      </c>
      <c r="D30" t="inlineStr">
        <is>
          <t>VÄSTERNORRLANDS LÄN</t>
        </is>
      </c>
      <c r="E30" t="inlineStr">
        <is>
          <t>SUNDSVALL</t>
        </is>
      </c>
      <c r="G30" t="n">
        <v>11.5</v>
      </c>
      <c r="H30" t="n">
        <v>5</v>
      </c>
      <c r="I30" t="n">
        <v>0</v>
      </c>
      <c r="J30" t="n">
        <v>5</v>
      </c>
      <c r="K30" t="n">
        <v>0</v>
      </c>
      <c r="L30" t="n">
        <v>0</v>
      </c>
      <c r="M30" t="n">
        <v>0</v>
      </c>
      <c r="N30" t="n">
        <v>0</v>
      </c>
      <c r="O30" t="n">
        <v>5</v>
      </c>
      <c r="P30" t="n">
        <v>0</v>
      </c>
      <c r="Q30" t="n">
        <v>5</v>
      </c>
      <c r="R30" s="2" t="inlineStr">
        <is>
          <t>Björktrast
Drillsnäppa
Spillkråka
Sötgräs
Tretåig hackspett</t>
        </is>
      </c>
      <c r="S30">
        <f>HYPERLINK("https://klasma.github.io/Logging_SUNDSVALL/artfynd/A 58518-2022.xlsx")</f>
        <v/>
      </c>
      <c r="T30">
        <f>HYPERLINK("https://klasma.github.io/Logging_SUNDSVALL/kartor/A 58518-2022.png")</f>
        <v/>
      </c>
      <c r="V30">
        <f>HYPERLINK("https://klasma.github.io/Logging_SUNDSVALL/klagomål/A 58518-2022.docx")</f>
        <v/>
      </c>
      <c r="W30">
        <f>HYPERLINK("https://klasma.github.io/Logging_SUNDSVALL/klagomålsmail/A 58518-2022.docx")</f>
        <v/>
      </c>
      <c r="X30">
        <f>HYPERLINK("https://klasma.github.io/Logging_SUNDSVALL/tillsyn/A 58518-2022.docx")</f>
        <v/>
      </c>
      <c r="Y30">
        <f>HYPERLINK("https://klasma.github.io/Logging_SUNDSVALL/tillsynsmail/A 58518-2022.docx")</f>
        <v/>
      </c>
    </row>
    <row r="31" ht="15" customHeight="1">
      <c r="A31" t="inlineStr">
        <is>
          <t>A 22578-2023</t>
        </is>
      </c>
      <c r="B31" s="1" t="n">
        <v>45071</v>
      </c>
      <c r="C31" s="1" t="n">
        <v>45181</v>
      </c>
      <c r="D31" t="inlineStr">
        <is>
          <t>VÄSTERNORRLANDS LÄN</t>
        </is>
      </c>
      <c r="E31" t="inlineStr">
        <is>
          <t>SUNDSVALL</t>
        </is>
      </c>
      <c r="F31" t="inlineStr">
        <is>
          <t>Holmen skog AB</t>
        </is>
      </c>
      <c r="G31" t="n">
        <v>4.2</v>
      </c>
      <c r="H31" t="n">
        <v>0</v>
      </c>
      <c r="I31" t="n">
        <v>3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5</v>
      </c>
      <c r="R31" s="2" t="inlineStr">
        <is>
          <t>Garnlav
Lunglav
Skinnlav
Stuplav
Tibast</t>
        </is>
      </c>
      <c r="S31">
        <f>HYPERLINK("https://klasma.github.io/Logging_SUNDSVALL/artfynd/A 22578-2023.xlsx")</f>
        <v/>
      </c>
      <c r="T31">
        <f>HYPERLINK("https://klasma.github.io/Logging_SUNDSVALL/kartor/A 22578-2023.png")</f>
        <v/>
      </c>
      <c r="V31">
        <f>HYPERLINK("https://klasma.github.io/Logging_SUNDSVALL/klagomål/A 22578-2023.docx")</f>
        <v/>
      </c>
      <c r="W31">
        <f>HYPERLINK("https://klasma.github.io/Logging_SUNDSVALL/klagomålsmail/A 22578-2023.docx")</f>
        <v/>
      </c>
      <c r="X31">
        <f>HYPERLINK("https://klasma.github.io/Logging_SUNDSVALL/tillsyn/A 22578-2023.docx")</f>
        <v/>
      </c>
      <c r="Y31">
        <f>HYPERLINK("https://klasma.github.io/Logging_SUNDSVALL/tillsynsmail/A 22578-2023.docx")</f>
        <v/>
      </c>
    </row>
    <row r="32" ht="15" customHeight="1">
      <c r="A32" t="inlineStr">
        <is>
          <t>A 4937-2019</t>
        </is>
      </c>
      <c r="B32" s="1" t="n">
        <v>43479</v>
      </c>
      <c r="C32" s="1" t="n">
        <v>45181</v>
      </c>
      <c r="D32" t="inlineStr">
        <is>
          <t>VÄSTERNORRLANDS LÄN</t>
        </is>
      </c>
      <c r="E32" t="inlineStr">
        <is>
          <t>SUNDSVALL</t>
        </is>
      </c>
      <c r="F32" t="inlineStr">
        <is>
          <t>SCA</t>
        </is>
      </c>
      <c r="G32" t="n">
        <v>20.3</v>
      </c>
      <c r="H32" t="n">
        <v>1</v>
      </c>
      <c r="I32" t="n">
        <v>1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4</v>
      </c>
      <c r="R32" s="2" t="inlineStr">
        <is>
          <t>Garnlav
Tretåig hackspett
Violettgrå tagellav
Skinnlav</t>
        </is>
      </c>
      <c r="S32">
        <f>HYPERLINK("https://klasma.github.io/Logging_SUNDSVALL/artfynd/A 4937-2019.xlsx")</f>
        <v/>
      </c>
      <c r="T32">
        <f>HYPERLINK("https://klasma.github.io/Logging_SUNDSVALL/kartor/A 4937-2019.png")</f>
        <v/>
      </c>
      <c r="V32">
        <f>HYPERLINK("https://klasma.github.io/Logging_SUNDSVALL/klagomål/A 4937-2019.docx")</f>
        <v/>
      </c>
      <c r="W32">
        <f>HYPERLINK("https://klasma.github.io/Logging_SUNDSVALL/klagomålsmail/A 4937-2019.docx")</f>
        <v/>
      </c>
      <c r="X32">
        <f>HYPERLINK("https://klasma.github.io/Logging_SUNDSVALL/tillsyn/A 4937-2019.docx")</f>
        <v/>
      </c>
      <c r="Y32">
        <f>HYPERLINK("https://klasma.github.io/Logging_SUNDSVALL/tillsynsmail/A 4937-2019.docx")</f>
        <v/>
      </c>
    </row>
    <row r="33" ht="15" customHeight="1">
      <c r="A33" t="inlineStr">
        <is>
          <t>A 34686-2019</t>
        </is>
      </c>
      <c r="B33" s="1" t="n">
        <v>43657</v>
      </c>
      <c r="C33" s="1" t="n">
        <v>45181</v>
      </c>
      <c r="D33" t="inlineStr">
        <is>
          <t>VÄSTERNORRLANDS LÄN</t>
        </is>
      </c>
      <c r="E33" t="inlineStr">
        <is>
          <t>SUNDSVALL</t>
        </is>
      </c>
      <c r="G33" t="n">
        <v>11.3</v>
      </c>
      <c r="H33" t="n">
        <v>0</v>
      </c>
      <c r="I33" t="n">
        <v>3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4</v>
      </c>
      <c r="R33" s="2" t="inlineStr">
        <is>
          <t>Narrvaxskivling
Fransig jordstjärna
Kamjordstjärna
Olivspindling</t>
        </is>
      </c>
      <c r="S33">
        <f>HYPERLINK("https://klasma.github.io/Logging_SUNDSVALL/artfynd/A 34686-2019.xlsx")</f>
        <v/>
      </c>
      <c r="T33">
        <f>HYPERLINK("https://klasma.github.io/Logging_SUNDSVALL/kartor/A 34686-2019.png")</f>
        <v/>
      </c>
      <c r="V33">
        <f>HYPERLINK("https://klasma.github.io/Logging_SUNDSVALL/klagomål/A 34686-2019.docx")</f>
        <v/>
      </c>
      <c r="W33">
        <f>HYPERLINK("https://klasma.github.io/Logging_SUNDSVALL/klagomålsmail/A 34686-2019.docx")</f>
        <v/>
      </c>
      <c r="X33">
        <f>HYPERLINK("https://klasma.github.io/Logging_SUNDSVALL/tillsyn/A 34686-2019.docx")</f>
        <v/>
      </c>
      <c r="Y33">
        <f>HYPERLINK("https://klasma.github.io/Logging_SUNDSVALL/tillsynsmail/A 34686-2019.docx")</f>
        <v/>
      </c>
    </row>
    <row r="34" ht="15" customHeight="1">
      <c r="A34" t="inlineStr">
        <is>
          <t>A 22480-2020</t>
        </is>
      </c>
      <c r="B34" s="1" t="n">
        <v>43963</v>
      </c>
      <c r="C34" s="1" t="n">
        <v>45181</v>
      </c>
      <c r="D34" t="inlineStr">
        <is>
          <t>VÄSTERNORRLANDS LÄN</t>
        </is>
      </c>
      <c r="E34" t="inlineStr">
        <is>
          <t>SUNDSVALL</t>
        </is>
      </c>
      <c r="G34" t="n">
        <v>8.300000000000001</v>
      </c>
      <c r="H34" t="n">
        <v>0</v>
      </c>
      <c r="I34" t="n">
        <v>3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4</v>
      </c>
      <c r="R34" s="2" t="inlineStr">
        <is>
          <t>Narrvaxskivling
Fransig jordstjärna
Kamjordstjärna
Olivspindling</t>
        </is>
      </c>
      <c r="S34">
        <f>HYPERLINK("https://klasma.github.io/Logging_SUNDSVALL/artfynd/A 22480-2020.xlsx")</f>
        <v/>
      </c>
      <c r="T34">
        <f>HYPERLINK("https://klasma.github.io/Logging_SUNDSVALL/kartor/A 22480-2020.png")</f>
        <v/>
      </c>
      <c r="V34">
        <f>HYPERLINK("https://klasma.github.io/Logging_SUNDSVALL/klagomål/A 22480-2020.docx")</f>
        <v/>
      </c>
      <c r="W34">
        <f>HYPERLINK("https://klasma.github.io/Logging_SUNDSVALL/klagomålsmail/A 22480-2020.docx")</f>
        <v/>
      </c>
      <c r="X34">
        <f>HYPERLINK("https://klasma.github.io/Logging_SUNDSVALL/tillsyn/A 22480-2020.docx")</f>
        <v/>
      </c>
      <c r="Y34">
        <f>HYPERLINK("https://klasma.github.io/Logging_SUNDSVALL/tillsynsmail/A 22480-2020.docx")</f>
        <v/>
      </c>
    </row>
    <row r="35" ht="15" customHeight="1">
      <c r="A35" t="inlineStr">
        <is>
          <t>A 36969-2020</t>
        </is>
      </c>
      <c r="B35" s="1" t="n">
        <v>44053</v>
      </c>
      <c r="C35" s="1" t="n">
        <v>45181</v>
      </c>
      <c r="D35" t="inlineStr">
        <is>
          <t>VÄSTERNORRLANDS LÄN</t>
        </is>
      </c>
      <c r="E35" t="inlineStr">
        <is>
          <t>SUNDSVALL</t>
        </is>
      </c>
      <c r="F35" t="inlineStr">
        <is>
          <t>SCA</t>
        </is>
      </c>
      <c r="G35" t="n">
        <v>17.4</v>
      </c>
      <c r="H35" t="n">
        <v>2</v>
      </c>
      <c r="I35" t="n">
        <v>0</v>
      </c>
      <c r="J35" t="n">
        <v>2</v>
      </c>
      <c r="K35" t="n">
        <v>1</v>
      </c>
      <c r="L35" t="n">
        <v>0</v>
      </c>
      <c r="M35" t="n">
        <v>0</v>
      </c>
      <c r="N35" t="n">
        <v>0</v>
      </c>
      <c r="O35" t="n">
        <v>3</v>
      </c>
      <c r="P35" t="n">
        <v>1</v>
      </c>
      <c r="Q35" t="n">
        <v>4</v>
      </c>
      <c r="R35" s="2" t="inlineStr">
        <is>
          <t>Knärot
Doftskinn
Lunglav
Nattviol</t>
        </is>
      </c>
      <c r="S35">
        <f>HYPERLINK("https://klasma.github.io/Logging_SUNDSVALL/artfynd/A 36969-2020.xlsx")</f>
        <v/>
      </c>
      <c r="T35">
        <f>HYPERLINK("https://klasma.github.io/Logging_SUNDSVALL/kartor/A 36969-2020.png")</f>
        <v/>
      </c>
      <c r="U35">
        <f>HYPERLINK("https://klasma.github.io/Logging_SUNDSVALL/knärot/A 36969-2020.png")</f>
        <v/>
      </c>
      <c r="V35">
        <f>HYPERLINK("https://klasma.github.io/Logging_SUNDSVALL/klagomål/A 36969-2020.docx")</f>
        <v/>
      </c>
      <c r="W35">
        <f>HYPERLINK("https://klasma.github.io/Logging_SUNDSVALL/klagomålsmail/A 36969-2020.docx")</f>
        <v/>
      </c>
      <c r="X35">
        <f>HYPERLINK("https://klasma.github.io/Logging_SUNDSVALL/tillsyn/A 36969-2020.docx")</f>
        <v/>
      </c>
      <c r="Y35">
        <f>HYPERLINK("https://klasma.github.io/Logging_SUNDSVALL/tillsynsmail/A 36969-2020.docx")</f>
        <v/>
      </c>
    </row>
    <row r="36" ht="15" customHeight="1">
      <c r="A36" t="inlineStr">
        <is>
          <t>A 36968-2020</t>
        </is>
      </c>
      <c r="B36" s="1" t="n">
        <v>44053</v>
      </c>
      <c r="C36" s="1" t="n">
        <v>45181</v>
      </c>
      <c r="D36" t="inlineStr">
        <is>
          <t>VÄSTERNORRLANDS LÄN</t>
        </is>
      </c>
      <c r="E36" t="inlineStr">
        <is>
          <t>SUNDSVALL</t>
        </is>
      </c>
      <c r="F36" t="inlineStr">
        <is>
          <t>SCA</t>
        </is>
      </c>
      <c r="G36" t="n">
        <v>5.8</v>
      </c>
      <c r="H36" t="n">
        <v>2</v>
      </c>
      <c r="I36" t="n">
        <v>1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4</v>
      </c>
      <c r="R36" s="2" t="inlineStr">
        <is>
          <t>Knärot
Lunglav
Stor aspticka
Nattviol</t>
        </is>
      </c>
      <c r="S36">
        <f>HYPERLINK("https://klasma.github.io/Logging_SUNDSVALL/artfynd/A 36968-2020.xlsx")</f>
        <v/>
      </c>
      <c r="T36">
        <f>HYPERLINK("https://klasma.github.io/Logging_SUNDSVALL/kartor/A 36968-2020.png")</f>
        <v/>
      </c>
      <c r="U36">
        <f>HYPERLINK("https://klasma.github.io/Logging_SUNDSVALL/knärot/A 36968-2020.png")</f>
        <v/>
      </c>
      <c r="V36">
        <f>HYPERLINK("https://klasma.github.io/Logging_SUNDSVALL/klagomål/A 36968-2020.docx")</f>
        <v/>
      </c>
      <c r="W36">
        <f>HYPERLINK("https://klasma.github.io/Logging_SUNDSVALL/klagomålsmail/A 36968-2020.docx")</f>
        <v/>
      </c>
      <c r="X36">
        <f>HYPERLINK("https://klasma.github.io/Logging_SUNDSVALL/tillsyn/A 36968-2020.docx")</f>
        <v/>
      </c>
      <c r="Y36">
        <f>HYPERLINK("https://klasma.github.io/Logging_SUNDSVALL/tillsynsmail/A 36968-2020.docx")</f>
        <v/>
      </c>
    </row>
    <row r="37" ht="15" customHeight="1">
      <c r="A37" t="inlineStr">
        <is>
          <t>A 44497-2020</t>
        </is>
      </c>
      <c r="B37" s="1" t="n">
        <v>44084</v>
      </c>
      <c r="C37" s="1" t="n">
        <v>45181</v>
      </c>
      <c r="D37" t="inlineStr">
        <is>
          <t>VÄSTERNORRLANDS LÄN</t>
        </is>
      </c>
      <c r="E37" t="inlineStr">
        <is>
          <t>SUNDSVALL</t>
        </is>
      </c>
      <c r="F37" t="inlineStr">
        <is>
          <t>SCA</t>
        </is>
      </c>
      <c r="G37" t="n">
        <v>20.1</v>
      </c>
      <c r="H37" t="n">
        <v>1</v>
      </c>
      <c r="I37" t="n">
        <v>2</v>
      </c>
      <c r="J37" t="n">
        <v>1</v>
      </c>
      <c r="K37" t="n">
        <v>1</v>
      </c>
      <c r="L37" t="n">
        <v>0</v>
      </c>
      <c r="M37" t="n">
        <v>0</v>
      </c>
      <c r="N37" t="n">
        <v>0</v>
      </c>
      <c r="O37" t="n">
        <v>2</v>
      </c>
      <c r="P37" t="n">
        <v>1</v>
      </c>
      <c r="Q37" t="n">
        <v>4</v>
      </c>
      <c r="R37" s="2" t="inlineStr">
        <is>
          <t>Knärot
Granticka
Korallblylav
Stor aspticka</t>
        </is>
      </c>
      <c r="S37">
        <f>HYPERLINK("https://klasma.github.io/Logging_SUNDSVALL/artfynd/A 44497-2020.xlsx")</f>
        <v/>
      </c>
      <c r="T37">
        <f>HYPERLINK("https://klasma.github.io/Logging_SUNDSVALL/kartor/A 44497-2020.png")</f>
        <v/>
      </c>
      <c r="U37">
        <f>HYPERLINK("https://klasma.github.io/Logging_SUNDSVALL/knärot/A 44497-2020.png")</f>
        <v/>
      </c>
      <c r="V37">
        <f>HYPERLINK("https://klasma.github.io/Logging_SUNDSVALL/klagomål/A 44497-2020.docx")</f>
        <v/>
      </c>
      <c r="W37">
        <f>HYPERLINK("https://klasma.github.io/Logging_SUNDSVALL/klagomålsmail/A 44497-2020.docx")</f>
        <v/>
      </c>
      <c r="X37">
        <f>HYPERLINK("https://klasma.github.io/Logging_SUNDSVALL/tillsyn/A 44497-2020.docx")</f>
        <v/>
      </c>
      <c r="Y37">
        <f>HYPERLINK("https://klasma.github.io/Logging_SUNDSVALL/tillsynsmail/A 44497-2020.docx")</f>
        <v/>
      </c>
    </row>
    <row r="38" ht="15" customHeight="1">
      <c r="A38" t="inlineStr">
        <is>
          <t>A 3094-2021</t>
        </is>
      </c>
      <c r="B38" s="1" t="n">
        <v>44216</v>
      </c>
      <c r="C38" s="1" t="n">
        <v>45181</v>
      </c>
      <c r="D38" t="inlineStr">
        <is>
          <t>VÄSTERNORRLANDS LÄN</t>
        </is>
      </c>
      <c r="E38" t="inlineStr">
        <is>
          <t>SUNDSVALL</t>
        </is>
      </c>
      <c r="G38" t="n">
        <v>7.3</v>
      </c>
      <c r="H38" t="n">
        <v>0</v>
      </c>
      <c r="I38" t="n">
        <v>1</v>
      </c>
      <c r="J38" t="n">
        <v>3</v>
      </c>
      <c r="K38" t="n">
        <v>0</v>
      </c>
      <c r="L38" t="n">
        <v>0</v>
      </c>
      <c r="M38" t="n">
        <v>0</v>
      </c>
      <c r="N38" t="n">
        <v>0</v>
      </c>
      <c r="O38" t="n">
        <v>3</v>
      </c>
      <c r="P38" t="n">
        <v>0</v>
      </c>
      <c r="Q38" t="n">
        <v>4</v>
      </c>
      <c r="R38" s="2" t="inlineStr">
        <is>
          <t>Lunglav
Tallticka
Ullticka
Skinnlav</t>
        </is>
      </c>
      <c r="S38">
        <f>HYPERLINK("https://klasma.github.io/Logging_SUNDSVALL/artfynd/A 3094-2021.xlsx")</f>
        <v/>
      </c>
      <c r="T38">
        <f>HYPERLINK("https://klasma.github.io/Logging_SUNDSVALL/kartor/A 3094-2021.png")</f>
        <v/>
      </c>
      <c r="V38">
        <f>HYPERLINK("https://klasma.github.io/Logging_SUNDSVALL/klagomål/A 3094-2021.docx")</f>
        <v/>
      </c>
      <c r="W38">
        <f>HYPERLINK("https://klasma.github.io/Logging_SUNDSVALL/klagomålsmail/A 3094-2021.docx")</f>
        <v/>
      </c>
      <c r="X38">
        <f>HYPERLINK("https://klasma.github.io/Logging_SUNDSVALL/tillsyn/A 3094-2021.docx")</f>
        <v/>
      </c>
      <c r="Y38">
        <f>HYPERLINK("https://klasma.github.io/Logging_SUNDSVALL/tillsynsmail/A 3094-2021.docx")</f>
        <v/>
      </c>
    </row>
    <row r="39" ht="15" customHeight="1">
      <c r="A39" t="inlineStr">
        <is>
          <t>A 49997-2021</t>
        </is>
      </c>
      <c r="B39" s="1" t="n">
        <v>44456</v>
      </c>
      <c r="C39" s="1" t="n">
        <v>45181</v>
      </c>
      <c r="D39" t="inlineStr">
        <is>
          <t>VÄSTERNORRLANDS LÄN</t>
        </is>
      </c>
      <c r="E39" t="inlineStr">
        <is>
          <t>SUNDSVALL</t>
        </is>
      </c>
      <c r="G39" t="n">
        <v>1.7</v>
      </c>
      <c r="H39" t="n">
        <v>0</v>
      </c>
      <c r="I39" t="n">
        <v>0</v>
      </c>
      <c r="J39" t="n">
        <v>3</v>
      </c>
      <c r="K39" t="n">
        <v>1</v>
      </c>
      <c r="L39" t="n">
        <v>0</v>
      </c>
      <c r="M39" t="n">
        <v>0</v>
      </c>
      <c r="N39" t="n">
        <v>0</v>
      </c>
      <c r="O39" t="n">
        <v>4</v>
      </c>
      <c r="P39" t="n">
        <v>1</v>
      </c>
      <c r="Q39" t="n">
        <v>4</v>
      </c>
      <c r="R39" s="2" t="inlineStr">
        <is>
          <t>Rynkskinn
Gränsticka
Rosenticka
Ullticka</t>
        </is>
      </c>
      <c r="S39">
        <f>HYPERLINK("https://klasma.github.io/Logging_SUNDSVALL/artfynd/A 49997-2021.xlsx")</f>
        <v/>
      </c>
      <c r="T39">
        <f>HYPERLINK("https://klasma.github.io/Logging_SUNDSVALL/kartor/A 49997-2021.png")</f>
        <v/>
      </c>
      <c r="V39">
        <f>HYPERLINK("https://klasma.github.io/Logging_SUNDSVALL/klagomål/A 49997-2021.docx")</f>
        <v/>
      </c>
      <c r="W39">
        <f>HYPERLINK("https://klasma.github.io/Logging_SUNDSVALL/klagomålsmail/A 49997-2021.docx")</f>
        <v/>
      </c>
      <c r="X39">
        <f>HYPERLINK("https://klasma.github.io/Logging_SUNDSVALL/tillsyn/A 49997-2021.docx")</f>
        <v/>
      </c>
      <c r="Y39">
        <f>HYPERLINK("https://klasma.github.io/Logging_SUNDSVALL/tillsynsmail/A 49997-2021.docx")</f>
        <v/>
      </c>
    </row>
    <row r="40" ht="15" customHeight="1">
      <c r="A40" t="inlineStr">
        <is>
          <t>A 48576-2022</t>
        </is>
      </c>
      <c r="B40" s="1" t="n">
        <v>44859</v>
      </c>
      <c r="C40" s="1" t="n">
        <v>45181</v>
      </c>
      <c r="D40" t="inlineStr">
        <is>
          <t>VÄSTERNORRLANDS LÄN</t>
        </is>
      </c>
      <c r="E40" t="inlineStr">
        <is>
          <t>SUNDSVALL</t>
        </is>
      </c>
      <c r="F40" t="inlineStr">
        <is>
          <t>Holmen skog AB</t>
        </is>
      </c>
      <c r="G40" t="n">
        <v>5</v>
      </c>
      <c r="H40" t="n">
        <v>0</v>
      </c>
      <c r="I40" t="n">
        <v>2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4</v>
      </c>
      <c r="R40" s="2" t="inlineStr">
        <is>
          <t>Garnlav
Lunglav
Källmossor
Källpraktmossa</t>
        </is>
      </c>
      <c r="S40">
        <f>HYPERLINK("https://klasma.github.io/Logging_SUNDSVALL/artfynd/A 48576-2022.xlsx")</f>
        <v/>
      </c>
      <c r="T40">
        <f>HYPERLINK("https://klasma.github.io/Logging_SUNDSVALL/kartor/A 48576-2022.png")</f>
        <v/>
      </c>
      <c r="V40">
        <f>HYPERLINK("https://klasma.github.io/Logging_SUNDSVALL/klagomål/A 48576-2022.docx")</f>
        <v/>
      </c>
      <c r="W40">
        <f>HYPERLINK("https://klasma.github.io/Logging_SUNDSVALL/klagomålsmail/A 48576-2022.docx")</f>
        <v/>
      </c>
      <c r="X40">
        <f>HYPERLINK("https://klasma.github.io/Logging_SUNDSVALL/tillsyn/A 48576-2022.docx")</f>
        <v/>
      </c>
      <c r="Y40">
        <f>HYPERLINK("https://klasma.github.io/Logging_SUNDSVALL/tillsynsmail/A 48576-2022.docx")</f>
        <v/>
      </c>
    </row>
    <row r="41" ht="15" customHeight="1">
      <c r="A41" t="inlineStr">
        <is>
          <t>A 53940-2022</t>
        </is>
      </c>
      <c r="B41" s="1" t="n">
        <v>44880</v>
      </c>
      <c r="C41" s="1" t="n">
        <v>45181</v>
      </c>
      <c r="D41" t="inlineStr">
        <is>
          <t>VÄSTERNORRLANDS LÄN</t>
        </is>
      </c>
      <c r="E41" t="inlineStr">
        <is>
          <t>SUNDSVALL</t>
        </is>
      </c>
      <c r="F41" t="inlineStr">
        <is>
          <t>SCA</t>
        </is>
      </c>
      <c r="G41" t="n">
        <v>12.1</v>
      </c>
      <c r="H41" t="n">
        <v>0</v>
      </c>
      <c r="I41" t="n">
        <v>1</v>
      </c>
      <c r="J41" t="n">
        <v>2</v>
      </c>
      <c r="K41" t="n">
        <v>1</v>
      </c>
      <c r="L41" t="n">
        <v>0</v>
      </c>
      <c r="M41" t="n">
        <v>0</v>
      </c>
      <c r="N41" t="n">
        <v>0</v>
      </c>
      <c r="O41" t="n">
        <v>3</v>
      </c>
      <c r="P41" t="n">
        <v>1</v>
      </c>
      <c r="Q41" t="n">
        <v>4</v>
      </c>
      <c r="R41" s="2" t="inlineStr">
        <is>
          <t>Aspgelélav
Garnlav
Lunglav
Skinnlav</t>
        </is>
      </c>
      <c r="S41">
        <f>HYPERLINK("https://klasma.github.io/Logging_SUNDSVALL/artfynd/A 53940-2022.xlsx")</f>
        <v/>
      </c>
      <c r="T41">
        <f>HYPERLINK("https://klasma.github.io/Logging_SUNDSVALL/kartor/A 53940-2022.png")</f>
        <v/>
      </c>
      <c r="V41">
        <f>HYPERLINK("https://klasma.github.io/Logging_SUNDSVALL/klagomål/A 53940-2022.docx")</f>
        <v/>
      </c>
      <c r="W41">
        <f>HYPERLINK("https://klasma.github.io/Logging_SUNDSVALL/klagomålsmail/A 53940-2022.docx")</f>
        <v/>
      </c>
      <c r="X41">
        <f>HYPERLINK("https://klasma.github.io/Logging_SUNDSVALL/tillsyn/A 53940-2022.docx")</f>
        <v/>
      </c>
      <c r="Y41">
        <f>HYPERLINK("https://klasma.github.io/Logging_SUNDSVALL/tillsynsmail/A 53940-2022.docx")</f>
        <v/>
      </c>
    </row>
    <row r="42" ht="15" customHeight="1">
      <c r="A42" t="inlineStr">
        <is>
          <t>A 15985-2023</t>
        </is>
      </c>
      <c r="B42" s="1" t="n">
        <v>45022</v>
      </c>
      <c r="C42" s="1" t="n">
        <v>45181</v>
      </c>
      <c r="D42" t="inlineStr">
        <is>
          <t>VÄSTERNORRLANDS LÄN</t>
        </is>
      </c>
      <c r="E42" t="inlineStr">
        <is>
          <t>SUNDSVALL</t>
        </is>
      </c>
      <c r="F42" t="inlineStr">
        <is>
          <t>SCA</t>
        </is>
      </c>
      <c r="G42" t="n">
        <v>7.3</v>
      </c>
      <c r="H42" t="n">
        <v>3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4</v>
      </c>
      <c r="R42" s="2" t="inlineStr">
        <is>
          <t>Lunglav
Fläcknycklar
Nattviol
Revlummer</t>
        </is>
      </c>
      <c r="S42">
        <f>HYPERLINK("https://klasma.github.io/Logging_SUNDSVALL/artfynd/A 15985-2023.xlsx")</f>
        <v/>
      </c>
      <c r="T42">
        <f>HYPERLINK("https://klasma.github.io/Logging_SUNDSVALL/kartor/A 15985-2023.png")</f>
        <v/>
      </c>
      <c r="V42">
        <f>HYPERLINK("https://klasma.github.io/Logging_SUNDSVALL/klagomål/A 15985-2023.docx")</f>
        <v/>
      </c>
      <c r="W42">
        <f>HYPERLINK("https://klasma.github.io/Logging_SUNDSVALL/klagomålsmail/A 15985-2023.docx")</f>
        <v/>
      </c>
      <c r="X42">
        <f>HYPERLINK("https://klasma.github.io/Logging_SUNDSVALL/tillsyn/A 15985-2023.docx")</f>
        <v/>
      </c>
      <c r="Y42">
        <f>HYPERLINK("https://klasma.github.io/Logging_SUNDSVALL/tillsynsmail/A 15985-2023.docx")</f>
        <v/>
      </c>
    </row>
    <row r="43" ht="15" customHeight="1">
      <c r="A43" t="inlineStr">
        <is>
          <t>A 16767-2023</t>
        </is>
      </c>
      <c r="B43" s="1" t="n">
        <v>45030</v>
      </c>
      <c r="C43" s="1" t="n">
        <v>45181</v>
      </c>
      <c r="D43" t="inlineStr">
        <is>
          <t>VÄSTERNORRLANDS LÄN</t>
        </is>
      </c>
      <c r="E43" t="inlineStr">
        <is>
          <t>SUNDSVALL</t>
        </is>
      </c>
      <c r="F43" t="inlineStr">
        <is>
          <t>SCA</t>
        </is>
      </c>
      <c r="G43" t="n">
        <v>5.2</v>
      </c>
      <c r="H43" t="n">
        <v>0</v>
      </c>
      <c r="I43" t="n">
        <v>1</v>
      </c>
      <c r="J43" t="n">
        <v>3</v>
      </c>
      <c r="K43" t="n">
        <v>0</v>
      </c>
      <c r="L43" t="n">
        <v>0</v>
      </c>
      <c r="M43" t="n">
        <v>0</v>
      </c>
      <c r="N43" t="n">
        <v>0</v>
      </c>
      <c r="O43" t="n">
        <v>3</v>
      </c>
      <c r="P43" t="n">
        <v>0</v>
      </c>
      <c r="Q43" t="n">
        <v>4</v>
      </c>
      <c r="R43" s="2" t="inlineStr">
        <is>
          <t>Garnlav
Lunglav
Violettgrå tagellav
Stor aspticka</t>
        </is>
      </c>
      <c r="S43">
        <f>HYPERLINK("https://klasma.github.io/Logging_SUNDSVALL/artfynd/A 16767-2023.xlsx")</f>
        <v/>
      </c>
      <c r="T43">
        <f>HYPERLINK("https://klasma.github.io/Logging_SUNDSVALL/kartor/A 16767-2023.png")</f>
        <v/>
      </c>
      <c r="V43">
        <f>HYPERLINK("https://klasma.github.io/Logging_SUNDSVALL/klagomål/A 16767-2023.docx")</f>
        <v/>
      </c>
      <c r="W43">
        <f>HYPERLINK("https://klasma.github.io/Logging_SUNDSVALL/klagomålsmail/A 16767-2023.docx")</f>
        <v/>
      </c>
      <c r="X43">
        <f>HYPERLINK("https://klasma.github.io/Logging_SUNDSVALL/tillsyn/A 16767-2023.docx")</f>
        <v/>
      </c>
      <c r="Y43">
        <f>HYPERLINK("https://klasma.github.io/Logging_SUNDSVALL/tillsynsmail/A 16767-2023.docx")</f>
        <v/>
      </c>
    </row>
    <row r="44" ht="15" customHeight="1">
      <c r="A44" t="inlineStr">
        <is>
          <t>A 18375-2023</t>
        </is>
      </c>
      <c r="B44" s="1" t="n">
        <v>45041</v>
      </c>
      <c r="C44" s="1" t="n">
        <v>45181</v>
      </c>
      <c r="D44" t="inlineStr">
        <is>
          <t>VÄSTERNORRLANDS LÄN</t>
        </is>
      </c>
      <c r="E44" t="inlineStr">
        <is>
          <t>SUNDSVALL</t>
        </is>
      </c>
      <c r="F44" t="inlineStr">
        <is>
          <t>SCA</t>
        </is>
      </c>
      <c r="G44" t="n">
        <v>13.1</v>
      </c>
      <c r="H44" t="n">
        <v>1</v>
      </c>
      <c r="I44" t="n">
        <v>2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4</v>
      </c>
      <c r="R44" s="2" t="inlineStr">
        <is>
          <t>Garnlav
Lunglav
Dropptaggsvamp
Plattlummer</t>
        </is>
      </c>
      <c r="S44">
        <f>HYPERLINK("https://klasma.github.io/Logging_SUNDSVALL/artfynd/A 18375-2023.xlsx")</f>
        <v/>
      </c>
      <c r="T44">
        <f>HYPERLINK("https://klasma.github.io/Logging_SUNDSVALL/kartor/A 18375-2023.png")</f>
        <v/>
      </c>
      <c r="V44">
        <f>HYPERLINK("https://klasma.github.io/Logging_SUNDSVALL/klagomål/A 18375-2023.docx")</f>
        <v/>
      </c>
      <c r="W44">
        <f>HYPERLINK("https://klasma.github.io/Logging_SUNDSVALL/klagomålsmail/A 18375-2023.docx")</f>
        <v/>
      </c>
      <c r="X44">
        <f>HYPERLINK("https://klasma.github.io/Logging_SUNDSVALL/tillsyn/A 18375-2023.docx")</f>
        <v/>
      </c>
      <c r="Y44">
        <f>HYPERLINK("https://klasma.github.io/Logging_SUNDSVALL/tillsynsmail/A 18375-2023.docx")</f>
        <v/>
      </c>
    </row>
    <row r="45" ht="15" customHeight="1">
      <c r="A45" t="inlineStr">
        <is>
          <t>A 4931-2019</t>
        </is>
      </c>
      <c r="B45" s="1" t="n">
        <v>43479</v>
      </c>
      <c r="C45" s="1" t="n">
        <v>45181</v>
      </c>
      <c r="D45" t="inlineStr">
        <is>
          <t>VÄSTERNORRLANDS LÄN</t>
        </is>
      </c>
      <c r="E45" t="inlineStr">
        <is>
          <t>SUNDSVALL</t>
        </is>
      </c>
      <c r="F45" t="inlineStr">
        <is>
          <t>SCA</t>
        </is>
      </c>
      <c r="G45" t="n">
        <v>15.4</v>
      </c>
      <c r="H45" t="n">
        <v>1</v>
      </c>
      <c r="I45" t="n">
        <v>0</v>
      </c>
      <c r="J45" t="n">
        <v>3</v>
      </c>
      <c r="K45" t="n">
        <v>0</v>
      </c>
      <c r="L45" t="n">
        <v>0</v>
      </c>
      <c r="M45" t="n">
        <v>0</v>
      </c>
      <c r="N45" t="n">
        <v>0</v>
      </c>
      <c r="O45" t="n">
        <v>3</v>
      </c>
      <c r="P45" t="n">
        <v>0</v>
      </c>
      <c r="Q45" t="n">
        <v>3</v>
      </c>
      <c r="R45" s="2" t="inlineStr">
        <is>
          <t>Garnlav
Granticka
Tretåig hackspett</t>
        </is>
      </c>
      <c r="S45">
        <f>HYPERLINK("https://klasma.github.io/Logging_SUNDSVALL/artfynd/A 4931-2019.xlsx")</f>
        <v/>
      </c>
      <c r="T45">
        <f>HYPERLINK("https://klasma.github.io/Logging_SUNDSVALL/kartor/A 4931-2019.png")</f>
        <v/>
      </c>
      <c r="V45">
        <f>HYPERLINK("https://klasma.github.io/Logging_SUNDSVALL/klagomål/A 4931-2019.docx")</f>
        <v/>
      </c>
      <c r="W45">
        <f>HYPERLINK("https://klasma.github.io/Logging_SUNDSVALL/klagomålsmail/A 4931-2019.docx")</f>
        <v/>
      </c>
      <c r="X45">
        <f>HYPERLINK("https://klasma.github.io/Logging_SUNDSVALL/tillsyn/A 4931-2019.docx")</f>
        <v/>
      </c>
      <c r="Y45">
        <f>HYPERLINK("https://klasma.github.io/Logging_SUNDSVALL/tillsynsmail/A 4931-2019.docx")</f>
        <v/>
      </c>
    </row>
    <row r="46" ht="15" customHeight="1">
      <c r="A46" t="inlineStr">
        <is>
          <t>A 14725-2019</t>
        </is>
      </c>
      <c r="B46" s="1" t="n">
        <v>43535</v>
      </c>
      <c r="C46" s="1" t="n">
        <v>45181</v>
      </c>
      <c r="D46" t="inlineStr">
        <is>
          <t>VÄSTERNORRLANDS LÄN</t>
        </is>
      </c>
      <c r="E46" t="inlineStr">
        <is>
          <t>SUNDSVALL</t>
        </is>
      </c>
      <c r="F46" t="inlineStr">
        <is>
          <t>SCA</t>
        </is>
      </c>
      <c r="G46" t="n">
        <v>8.199999999999999</v>
      </c>
      <c r="H46" t="n">
        <v>2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3</v>
      </c>
      <c r="R46" s="2" t="inlineStr">
        <is>
          <t>Lunglav
Fläcknycklar
Revlummer</t>
        </is>
      </c>
      <c r="S46">
        <f>HYPERLINK("https://klasma.github.io/Logging_SUNDSVALL/artfynd/A 14725-2019.xlsx")</f>
        <v/>
      </c>
      <c r="T46">
        <f>HYPERLINK("https://klasma.github.io/Logging_SUNDSVALL/kartor/A 14725-2019.png")</f>
        <v/>
      </c>
      <c r="V46">
        <f>HYPERLINK("https://klasma.github.io/Logging_SUNDSVALL/klagomål/A 14725-2019.docx")</f>
        <v/>
      </c>
      <c r="W46">
        <f>HYPERLINK("https://klasma.github.io/Logging_SUNDSVALL/klagomålsmail/A 14725-2019.docx")</f>
        <v/>
      </c>
      <c r="X46">
        <f>HYPERLINK("https://klasma.github.io/Logging_SUNDSVALL/tillsyn/A 14725-2019.docx")</f>
        <v/>
      </c>
      <c r="Y46">
        <f>HYPERLINK("https://klasma.github.io/Logging_SUNDSVALL/tillsynsmail/A 14725-2019.docx")</f>
        <v/>
      </c>
    </row>
    <row r="47" ht="15" customHeight="1">
      <c r="A47" t="inlineStr">
        <is>
          <t>A 65041-2019</t>
        </is>
      </c>
      <c r="B47" s="1" t="n">
        <v>43801</v>
      </c>
      <c r="C47" s="1" t="n">
        <v>45181</v>
      </c>
      <c r="D47" t="inlineStr">
        <is>
          <t>VÄSTERNORRLANDS LÄN</t>
        </is>
      </c>
      <c r="E47" t="inlineStr">
        <is>
          <t>SUNDSVALL</t>
        </is>
      </c>
      <c r="F47" t="inlineStr">
        <is>
          <t>Naturvårdsverket</t>
        </is>
      </c>
      <c r="G47" t="n">
        <v>33.1</v>
      </c>
      <c r="H47" t="n">
        <v>2</v>
      </c>
      <c r="I47" t="n">
        <v>0</v>
      </c>
      <c r="J47" t="n">
        <v>3</v>
      </c>
      <c r="K47" t="n">
        <v>0</v>
      </c>
      <c r="L47" t="n">
        <v>0</v>
      </c>
      <c r="M47" t="n">
        <v>0</v>
      </c>
      <c r="N47" t="n">
        <v>0</v>
      </c>
      <c r="O47" t="n">
        <v>3</v>
      </c>
      <c r="P47" t="n">
        <v>0</v>
      </c>
      <c r="Q47" t="n">
        <v>3</v>
      </c>
      <c r="R47" s="2" t="inlineStr">
        <is>
          <t>Dvärgbägarlav
Spillkråka
Tretåig hackspett</t>
        </is>
      </c>
      <c r="S47">
        <f>HYPERLINK("https://klasma.github.io/Logging_SUNDSVALL/artfynd/A 65041-2019.xlsx")</f>
        <v/>
      </c>
      <c r="T47">
        <f>HYPERLINK("https://klasma.github.io/Logging_SUNDSVALL/kartor/A 65041-2019.png")</f>
        <v/>
      </c>
      <c r="V47">
        <f>HYPERLINK("https://klasma.github.io/Logging_SUNDSVALL/klagomål/A 65041-2019.docx")</f>
        <v/>
      </c>
      <c r="W47">
        <f>HYPERLINK("https://klasma.github.io/Logging_SUNDSVALL/klagomålsmail/A 65041-2019.docx")</f>
        <v/>
      </c>
      <c r="X47">
        <f>HYPERLINK("https://klasma.github.io/Logging_SUNDSVALL/tillsyn/A 65041-2019.docx")</f>
        <v/>
      </c>
      <c r="Y47">
        <f>HYPERLINK("https://klasma.github.io/Logging_SUNDSVALL/tillsynsmail/A 65041-2019.docx")</f>
        <v/>
      </c>
    </row>
    <row r="48" ht="15" customHeight="1">
      <c r="A48" t="inlineStr">
        <is>
          <t>A 22407-2020</t>
        </is>
      </c>
      <c r="B48" s="1" t="n">
        <v>43962</v>
      </c>
      <c r="C48" s="1" t="n">
        <v>45181</v>
      </c>
      <c r="D48" t="inlineStr">
        <is>
          <t>VÄSTERNORRLANDS LÄN</t>
        </is>
      </c>
      <c r="E48" t="inlineStr">
        <is>
          <t>SUNDSVALL</t>
        </is>
      </c>
      <c r="G48" t="n">
        <v>1</v>
      </c>
      <c r="H48" t="n">
        <v>0</v>
      </c>
      <c r="I48" t="n">
        <v>1</v>
      </c>
      <c r="J48" t="n">
        <v>2</v>
      </c>
      <c r="K48" t="n">
        <v>0</v>
      </c>
      <c r="L48" t="n">
        <v>0</v>
      </c>
      <c r="M48" t="n">
        <v>0</v>
      </c>
      <c r="N48" t="n">
        <v>0</v>
      </c>
      <c r="O48" t="n">
        <v>2</v>
      </c>
      <c r="P48" t="n">
        <v>0</v>
      </c>
      <c r="Q48" t="n">
        <v>3</v>
      </c>
      <c r="R48" s="2" t="inlineStr">
        <is>
          <t>Slåtterfibbla
Ullticka
Dropptaggsvamp</t>
        </is>
      </c>
      <c r="S48">
        <f>HYPERLINK("https://klasma.github.io/Logging_SUNDSVALL/artfynd/A 22407-2020.xlsx")</f>
        <v/>
      </c>
      <c r="T48">
        <f>HYPERLINK("https://klasma.github.io/Logging_SUNDSVALL/kartor/A 22407-2020.png")</f>
        <v/>
      </c>
      <c r="U48">
        <f>HYPERLINK("https://klasma.github.io/Logging_SUNDSVALL/knärot/A 22407-2020.png")</f>
        <v/>
      </c>
      <c r="V48">
        <f>HYPERLINK("https://klasma.github.io/Logging_SUNDSVALL/klagomål/A 22407-2020.docx")</f>
        <v/>
      </c>
      <c r="W48">
        <f>HYPERLINK("https://klasma.github.io/Logging_SUNDSVALL/klagomålsmail/A 22407-2020.docx")</f>
        <v/>
      </c>
      <c r="X48">
        <f>HYPERLINK("https://klasma.github.io/Logging_SUNDSVALL/tillsyn/A 22407-2020.docx")</f>
        <v/>
      </c>
      <c r="Y48">
        <f>HYPERLINK("https://klasma.github.io/Logging_SUNDSVALL/tillsynsmail/A 22407-2020.docx")</f>
        <v/>
      </c>
    </row>
    <row r="49" ht="15" customHeight="1">
      <c r="A49" t="inlineStr">
        <is>
          <t>A 24268-2021</t>
        </is>
      </c>
      <c r="B49" s="1" t="n">
        <v>44336</v>
      </c>
      <c r="C49" s="1" t="n">
        <v>45181</v>
      </c>
      <c r="D49" t="inlineStr">
        <is>
          <t>VÄSTERNORRLANDS LÄN</t>
        </is>
      </c>
      <c r="E49" t="inlineStr">
        <is>
          <t>SUNDSVALL</t>
        </is>
      </c>
      <c r="F49" t="inlineStr">
        <is>
          <t>SCA</t>
        </is>
      </c>
      <c r="G49" t="n">
        <v>5.4</v>
      </c>
      <c r="H49" t="n">
        <v>2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3</v>
      </c>
      <c r="R49" s="2" t="inlineStr">
        <is>
          <t>Lunglav
Fläcknycklar
Revlummer</t>
        </is>
      </c>
      <c r="S49">
        <f>HYPERLINK("https://klasma.github.io/Logging_SUNDSVALL/artfynd/A 24268-2021.xlsx")</f>
        <v/>
      </c>
      <c r="T49">
        <f>HYPERLINK("https://klasma.github.io/Logging_SUNDSVALL/kartor/A 24268-2021.png")</f>
        <v/>
      </c>
      <c r="V49">
        <f>HYPERLINK("https://klasma.github.io/Logging_SUNDSVALL/klagomål/A 24268-2021.docx")</f>
        <v/>
      </c>
      <c r="W49">
        <f>HYPERLINK("https://klasma.github.io/Logging_SUNDSVALL/klagomålsmail/A 24268-2021.docx")</f>
        <v/>
      </c>
      <c r="X49">
        <f>HYPERLINK("https://klasma.github.io/Logging_SUNDSVALL/tillsyn/A 24268-2021.docx")</f>
        <v/>
      </c>
      <c r="Y49">
        <f>HYPERLINK("https://klasma.github.io/Logging_SUNDSVALL/tillsynsmail/A 24268-2021.docx")</f>
        <v/>
      </c>
    </row>
    <row r="50" ht="15" customHeight="1">
      <c r="A50" t="inlineStr">
        <is>
          <t>A 11351-2022</t>
        </is>
      </c>
      <c r="B50" s="1" t="n">
        <v>44630</v>
      </c>
      <c r="C50" s="1" t="n">
        <v>45181</v>
      </c>
      <c r="D50" t="inlineStr">
        <is>
          <t>VÄSTERNORRLANDS LÄN</t>
        </is>
      </c>
      <c r="E50" t="inlineStr">
        <is>
          <t>SUNDSVALL</t>
        </is>
      </c>
      <c r="G50" t="n">
        <v>12.1</v>
      </c>
      <c r="H50" t="n">
        <v>1</v>
      </c>
      <c r="I50" t="n">
        <v>1</v>
      </c>
      <c r="J50" t="n">
        <v>1</v>
      </c>
      <c r="K50" t="n">
        <v>1</v>
      </c>
      <c r="L50" t="n">
        <v>0</v>
      </c>
      <c r="M50" t="n">
        <v>0</v>
      </c>
      <c r="N50" t="n">
        <v>0</v>
      </c>
      <c r="O50" t="n">
        <v>2</v>
      </c>
      <c r="P50" t="n">
        <v>1</v>
      </c>
      <c r="Q50" t="n">
        <v>3</v>
      </c>
      <c r="R50" s="2" t="inlineStr">
        <is>
          <t>Knärot
Vedskivlav
Kornig nållav</t>
        </is>
      </c>
      <c r="S50">
        <f>HYPERLINK("https://klasma.github.io/Logging_SUNDSVALL/artfynd/A 11351-2022.xlsx")</f>
        <v/>
      </c>
      <c r="T50">
        <f>HYPERLINK("https://klasma.github.io/Logging_SUNDSVALL/kartor/A 11351-2022.png")</f>
        <v/>
      </c>
      <c r="U50">
        <f>HYPERLINK("https://klasma.github.io/Logging_SUNDSVALL/knärot/A 11351-2022.png")</f>
        <v/>
      </c>
      <c r="V50">
        <f>HYPERLINK("https://klasma.github.io/Logging_SUNDSVALL/klagomål/A 11351-2022.docx")</f>
        <v/>
      </c>
      <c r="W50">
        <f>HYPERLINK("https://klasma.github.io/Logging_SUNDSVALL/klagomålsmail/A 11351-2022.docx")</f>
        <v/>
      </c>
      <c r="X50">
        <f>HYPERLINK("https://klasma.github.io/Logging_SUNDSVALL/tillsyn/A 11351-2022.docx")</f>
        <v/>
      </c>
      <c r="Y50">
        <f>HYPERLINK("https://klasma.github.io/Logging_SUNDSVALL/tillsynsmail/A 11351-2022.docx")</f>
        <v/>
      </c>
    </row>
    <row r="51" ht="15" customHeight="1">
      <c r="A51" t="inlineStr">
        <is>
          <t>A 14677-2022</t>
        </is>
      </c>
      <c r="B51" s="1" t="n">
        <v>44655</v>
      </c>
      <c r="C51" s="1" t="n">
        <v>45181</v>
      </c>
      <c r="D51" t="inlineStr">
        <is>
          <t>VÄSTERNORRLANDS LÄN</t>
        </is>
      </c>
      <c r="E51" t="inlineStr">
        <is>
          <t>SUNDSVALL</t>
        </is>
      </c>
      <c r="G51" t="n">
        <v>12.9</v>
      </c>
      <c r="H51" t="n">
        <v>2</v>
      </c>
      <c r="I51" t="n">
        <v>0</v>
      </c>
      <c r="J51" t="n">
        <v>2</v>
      </c>
      <c r="K51" t="n">
        <v>1</v>
      </c>
      <c r="L51" t="n">
        <v>0</v>
      </c>
      <c r="M51" t="n">
        <v>0</v>
      </c>
      <c r="N51" t="n">
        <v>0</v>
      </c>
      <c r="O51" t="n">
        <v>3</v>
      </c>
      <c r="P51" t="n">
        <v>1</v>
      </c>
      <c r="Q51" t="n">
        <v>3</v>
      </c>
      <c r="R51" s="2" t="inlineStr">
        <is>
          <t>Knärot
Gammelgransskål
Tretåig hackspett</t>
        </is>
      </c>
      <c r="S51">
        <f>HYPERLINK("https://klasma.github.io/Logging_SUNDSVALL/artfynd/A 14677-2022.xlsx")</f>
        <v/>
      </c>
      <c r="T51">
        <f>HYPERLINK("https://klasma.github.io/Logging_SUNDSVALL/kartor/A 14677-2022.png")</f>
        <v/>
      </c>
      <c r="U51">
        <f>HYPERLINK("https://klasma.github.io/Logging_SUNDSVALL/knärot/A 14677-2022.png")</f>
        <v/>
      </c>
      <c r="V51">
        <f>HYPERLINK("https://klasma.github.io/Logging_SUNDSVALL/klagomål/A 14677-2022.docx")</f>
        <v/>
      </c>
      <c r="W51">
        <f>HYPERLINK("https://klasma.github.io/Logging_SUNDSVALL/klagomålsmail/A 14677-2022.docx")</f>
        <v/>
      </c>
      <c r="X51">
        <f>HYPERLINK("https://klasma.github.io/Logging_SUNDSVALL/tillsyn/A 14677-2022.docx")</f>
        <v/>
      </c>
      <c r="Y51">
        <f>HYPERLINK("https://klasma.github.io/Logging_SUNDSVALL/tillsynsmail/A 14677-2022.docx")</f>
        <v/>
      </c>
    </row>
    <row r="52" ht="15" customHeight="1">
      <c r="A52" t="inlineStr">
        <is>
          <t>A 21662-2022</t>
        </is>
      </c>
      <c r="B52" s="1" t="n">
        <v>44706</v>
      </c>
      <c r="C52" s="1" t="n">
        <v>45181</v>
      </c>
      <c r="D52" t="inlineStr">
        <is>
          <t>VÄSTERNORRLANDS LÄN</t>
        </is>
      </c>
      <c r="E52" t="inlineStr">
        <is>
          <t>SUNDSVALL</t>
        </is>
      </c>
      <c r="F52" t="inlineStr">
        <is>
          <t>SCA</t>
        </is>
      </c>
      <c r="G52" t="n">
        <v>3.2</v>
      </c>
      <c r="H52" t="n">
        <v>1</v>
      </c>
      <c r="I52" t="n">
        <v>0</v>
      </c>
      <c r="J52" t="n">
        <v>2</v>
      </c>
      <c r="K52" t="n">
        <v>0</v>
      </c>
      <c r="L52" t="n">
        <v>0</v>
      </c>
      <c r="M52" t="n">
        <v>0</v>
      </c>
      <c r="N52" t="n">
        <v>0</v>
      </c>
      <c r="O52" t="n">
        <v>2</v>
      </c>
      <c r="P52" t="n">
        <v>0</v>
      </c>
      <c r="Q52" t="n">
        <v>3</v>
      </c>
      <c r="R52" s="2" t="inlineStr">
        <is>
          <t>Garnlav
Vedtrappmossa
Revlummer</t>
        </is>
      </c>
      <c r="S52">
        <f>HYPERLINK("https://klasma.github.io/Logging_SUNDSVALL/artfynd/A 21662-2022.xlsx")</f>
        <v/>
      </c>
      <c r="T52">
        <f>HYPERLINK("https://klasma.github.io/Logging_SUNDSVALL/kartor/A 21662-2022.png")</f>
        <v/>
      </c>
      <c r="V52">
        <f>HYPERLINK("https://klasma.github.io/Logging_SUNDSVALL/klagomål/A 21662-2022.docx")</f>
        <v/>
      </c>
      <c r="W52">
        <f>HYPERLINK("https://klasma.github.io/Logging_SUNDSVALL/klagomålsmail/A 21662-2022.docx")</f>
        <v/>
      </c>
      <c r="X52">
        <f>HYPERLINK("https://klasma.github.io/Logging_SUNDSVALL/tillsyn/A 21662-2022.docx")</f>
        <v/>
      </c>
      <c r="Y52">
        <f>HYPERLINK("https://klasma.github.io/Logging_SUNDSVALL/tillsynsmail/A 21662-2022.docx")</f>
        <v/>
      </c>
    </row>
    <row r="53" ht="15" customHeight="1">
      <c r="A53" t="inlineStr">
        <is>
          <t>A 55854-2022</t>
        </is>
      </c>
      <c r="B53" s="1" t="n">
        <v>44886</v>
      </c>
      <c r="C53" s="1" t="n">
        <v>45181</v>
      </c>
      <c r="D53" t="inlineStr">
        <is>
          <t>VÄSTERNORRLANDS LÄN</t>
        </is>
      </c>
      <c r="E53" t="inlineStr">
        <is>
          <t>SUNDSVALL</t>
        </is>
      </c>
      <c r="G53" t="n">
        <v>3.8</v>
      </c>
      <c r="H53" t="n">
        <v>1</v>
      </c>
      <c r="I53" t="n">
        <v>0</v>
      </c>
      <c r="J53" t="n">
        <v>1</v>
      </c>
      <c r="K53" t="n">
        <v>1</v>
      </c>
      <c r="L53" t="n">
        <v>0</v>
      </c>
      <c r="M53" t="n">
        <v>0</v>
      </c>
      <c r="N53" t="n">
        <v>0</v>
      </c>
      <c r="O53" t="n">
        <v>2</v>
      </c>
      <c r="P53" t="n">
        <v>1</v>
      </c>
      <c r="Q53" t="n">
        <v>3</v>
      </c>
      <c r="R53" s="2" t="inlineStr">
        <is>
          <t>Sanddraba
Vårstarr
Gullviva</t>
        </is>
      </c>
      <c r="S53">
        <f>HYPERLINK("https://klasma.github.io/Logging_SUNDSVALL/artfynd/A 55854-2022.xlsx")</f>
        <v/>
      </c>
      <c r="T53">
        <f>HYPERLINK("https://klasma.github.io/Logging_SUNDSVALL/kartor/A 55854-2022.png")</f>
        <v/>
      </c>
      <c r="V53">
        <f>HYPERLINK("https://klasma.github.io/Logging_SUNDSVALL/klagomål/A 55854-2022.docx")</f>
        <v/>
      </c>
      <c r="W53">
        <f>HYPERLINK("https://klasma.github.io/Logging_SUNDSVALL/klagomålsmail/A 55854-2022.docx")</f>
        <v/>
      </c>
      <c r="X53">
        <f>HYPERLINK("https://klasma.github.io/Logging_SUNDSVALL/tillsyn/A 55854-2022.docx")</f>
        <v/>
      </c>
      <c r="Y53">
        <f>HYPERLINK("https://klasma.github.io/Logging_SUNDSVALL/tillsynsmail/A 55854-2022.docx")</f>
        <v/>
      </c>
    </row>
    <row r="54" ht="15" customHeight="1">
      <c r="A54" t="inlineStr">
        <is>
          <t>A 8680-2023</t>
        </is>
      </c>
      <c r="B54" s="1" t="n">
        <v>44977</v>
      </c>
      <c r="C54" s="1" t="n">
        <v>45181</v>
      </c>
      <c r="D54" t="inlineStr">
        <is>
          <t>VÄSTERNORRLANDS LÄN</t>
        </is>
      </c>
      <c r="E54" t="inlineStr">
        <is>
          <t>SUNDSVALL</t>
        </is>
      </c>
      <c r="F54" t="inlineStr">
        <is>
          <t>Naturvårdsverket</t>
        </is>
      </c>
      <c r="G54" t="n">
        <v>10.1</v>
      </c>
      <c r="H54" t="n">
        <v>0</v>
      </c>
      <c r="I54" t="n">
        <v>0</v>
      </c>
      <c r="J54" t="n">
        <v>3</v>
      </c>
      <c r="K54" t="n">
        <v>0</v>
      </c>
      <c r="L54" t="n">
        <v>0</v>
      </c>
      <c r="M54" t="n">
        <v>0</v>
      </c>
      <c r="N54" t="n">
        <v>0</v>
      </c>
      <c r="O54" t="n">
        <v>3</v>
      </c>
      <c r="P54" t="n">
        <v>0</v>
      </c>
      <c r="Q54" t="n">
        <v>3</v>
      </c>
      <c r="R54" s="2" t="inlineStr">
        <is>
          <t>Dvärgbägarlav
Kolflarnlav
Ullticka</t>
        </is>
      </c>
      <c r="S54">
        <f>HYPERLINK("https://klasma.github.io/Logging_SUNDSVALL/artfynd/A 8680-2023.xlsx")</f>
        <v/>
      </c>
      <c r="T54">
        <f>HYPERLINK("https://klasma.github.io/Logging_SUNDSVALL/kartor/A 8680-2023.png")</f>
        <v/>
      </c>
      <c r="V54">
        <f>HYPERLINK("https://klasma.github.io/Logging_SUNDSVALL/klagomål/A 8680-2023.docx")</f>
        <v/>
      </c>
      <c r="W54">
        <f>HYPERLINK("https://klasma.github.io/Logging_SUNDSVALL/klagomålsmail/A 8680-2023.docx")</f>
        <v/>
      </c>
      <c r="X54">
        <f>HYPERLINK("https://klasma.github.io/Logging_SUNDSVALL/tillsyn/A 8680-2023.docx")</f>
        <v/>
      </c>
      <c r="Y54">
        <f>HYPERLINK("https://klasma.github.io/Logging_SUNDSVALL/tillsynsmail/A 8680-2023.docx")</f>
        <v/>
      </c>
    </row>
    <row r="55" ht="15" customHeight="1">
      <c r="A55" t="inlineStr">
        <is>
          <t>A 16377-2023</t>
        </is>
      </c>
      <c r="B55" s="1" t="n">
        <v>45028</v>
      </c>
      <c r="C55" s="1" t="n">
        <v>45181</v>
      </c>
      <c r="D55" t="inlineStr">
        <is>
          <t>VÄSTERNORRLANDS LÄN</t>
        </is>
      </c>
      <c r="E55" t="inlineStr">
        <is>
          <t>SUNDSVALL</t>
        </is>
      </c>
      <c r="F55" t="inlineStr">
        <is>
          <t>SCA</t>
        </is>
      </c>
      <c r="G55" t="n">
        <v>4.9</v>
      </c>
      <c r="H55" t="n">
        <v>1</v>
      </c>
      <c r="I55" t="n">
        <v>2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3</v>
      </c>
      <c r="R55" s="2" t="inlineStr">
        <is>
          <t>Lunglav
Plattlummer
Skinnlav</t>
        </is>
      </c>
      <c r="S55">
        <f>HYPERLINK("https://klasma.github.io/Logging_SUNDSVALL/artfynd/A 16377-2023.xlsx")</f>
        <v/>
      </c>
      <c r="T55">
        <f>HYPERLINK("https://klasma.github.io/Logging_SUNDSVALL/kartor/A 16377-2023.png")</f>
        <v/>
      </c>
      <c r="V55">
        <f>HYPERLINK("https://klasma.github.io/Logging_SUNDSVALL/klagomål/A 16377-2023.docx")</f>
        <v/>
      </c>
      <c r="W55">
        <f>HYPERLINK("https://klasma.github.io/Logging_SUNDSVALL/klagomålsmail/A 16377-2023.docx")</f>
        <v/>
      </c>
      <c r="X55">
        <f>HYPERLINK("https://klasma.github.io/Logging_SUNDSVALL/tillsyn/A 16377-2023.docx")</f>
        <v/>
      </c>
      <c r="Y55">
        <f>HYPERLINK("https://klasma.github.io/Logging_SUNDSVALL/tillsynsmail/A 16377-2023.docx")</f>
        <v/>
      </c>
    </row>
    <row r="56" ht="15" customHeight="1">
      <c r="A56" t="inlineStr">
        <is>
          <t>A 24051-2023</t>
        </is>
      </c>
      <c r="B56" s="1" t="n">
        <v>45078</v>
      </c>
      <c r="C56" s="1" t="n">
        <v>45181</v>
      </c>
      <c r="D56" t="inlineStr">
        <is>
          <t>VÄSTERNORRLANDS LÄN</t>
        </is>
      </c>
      <c r="E56" t="inlineStr">
        <is>
          <t>SUNDSVALL</t>
        </is>
      </c>
      <c r="G56" t="n">
        <v>7.5</v>
      </c>
      <c r="H56" t="n">
        <v>2</v>
      </c>
      <c r="I56" t="n">
        <v>0</v>
      </c>
      <c r="J56" t="n">
        <v>1</v>
      </c>
      <c r="K56" t="n">
        <v>1</v>
      </c>
      <c r="L56" t="n">
        <v>0</v>
      </c>
      <c r="M56" t="n">
        <v>0</v>
      </c>
      <c r="N56" t="n">
        <v>0</v>
      </c>
      <c r="O56" t="n">
        <v>2</v>
      </c>
      <c r="P56" t="n">
        <v>1</v>
      </c>
      <c r="Q56" t="n">
        <v>3</v>
      </c>
      <c r="R56" s="2" t="inlineStr">
        <is>
          <t>Knärot
Garnlav
Nattviol</t>
        </is>
      </c>
      <c r="S56">
        <f>HYPERLINK("https://klasma.github.io/Logging_SUNDSVALL/artfynd/A 24051-2023.xlsx")</f>
        <v/>
      </c>
      <c r="T56">
        <f>HYPERLINK("https://klasma.github.io/Logging_SUNDSVALL/kartor/A 24051-2023.png")</f>
        <v/>
      </c>
      <c r="U56">
        <f>HYPERLINK("https://klasma.github.io/Logging_SUNDSVALL/knärot/A 24051-2023.png")</f>
        <v/>
      </c>
      <c r="V56">
        <f>HYPERLINK("https://klasma.github.io/Logging_SUNDSVALL/klagomål/A 24051-2023.docx")</f>
        <v/>
      </c>
      <c r="W56">
        <f>HYPERLINK("https://klasma.github.io/Logging_SUNDSVALL/klagomålsmail/A 24051-2023.docx")</f>
        <v/>
      </c>
      <c r="X56">
        <f>HYPERLINK("https://klasma.github.io/Logging_SUNDSVALL/tillsyn/A 24051-2023.docx")</f>
        <v/>
      </c>
      <c r="Y56">
        <f>HYPERLINK("https://klasma.github.io/Logging_SUNDSVALL/tillsynsmail/A 24051-2023.docx")</f>
        <v/>
      </c>
    </row>
    <row r="57" ht="15" customHeight="1">
      <c r="A57" t="inlineStr">
        <is>
          <t>A 27390-2023</t>
        </is>
      </c>
      <c r="B57" s="1" t="n">
        <v>45096</v>
      </c>
      <c r="C57" s="1" t="n">
        <v>45181</v>
      </c>
      <c r="D57" t="inlineStr">
        <is>
          <t>VÄSTERNORRLANDS LÄN</t>
        </is>
      </c>
      <c r="E57" t="inlineStr">
        <is>
          <t>SUNDSVALL</t>
        </is>
      </c>
      <c r="F57" t="inlineStr">
        <is>
          <t>SCA</t>
        </is>
      </c>
      <c r="G57" t="n">
        <v>14.3</v>
      </c>
      <c r="H57" t="n">
        <v>1</v>
      </c>
      <c r="I57" t="n">
        <v>1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3</v>
      </c>
      <c r="R57" s="2" t="inlineStr">
        <is>
          <t>Lunglav
Vedticka
Blåsippa</t>
        </is>
      </c>
      <c r="S57">
        <f>HYPERLINK("https://klasma.github.io/Logging_SUNDSVALL/artfynd/A 27390-2023.xlsx")</f>
        <v/>
      </c>
      <c r="T57">
        <f>HYPERLINK("https://klasma.github.io/Logging_SUNDSVALL/kartor/A 27390-2023.png")</f>
        <v/>
      </c>
      <c r="V57">
        <f>HYPERLINK("https://klasma.github.io/Logging_SUNDSVALL/klagomål/A 27390-2023.docx")</f>
        <v/>
      </c>
      <c r="W57">
        <f>HYPERLINK("https://klasma.github.io/Logging_SUNDSVALL/klagomålsmail/A 27390-2023.docx")</f>
        <v/>
      </c>
      <c r="X57">
        <f>HYPERLINK("https://klasma.github.io/Logging_SUNDSVALL/tillsyn/A 27390-2023.docx")</f>
        <v/>
      </c>
      <c r="Y57">
        <f>HYPERLINK("https://klasma.github.io/Logging_SUNDSVALL/tillsynsmail/A 27390-2023.docx")</f>
        <v/>
      </c>
    </row>
    <row r="58" ht="15" customHeight="1">
      <c r="A58" t="inlineStr">
        <is>
          <t>A 38096-2023</t>
        </is>
      </c>
      <c r="B58" s="1" t="n">
        <v>45160</v>
      </c>
      <c r="C58" s="1" t="n">
        <v>45181</v>
      </c>
      <c r="D58" t="inlineStr">
        <is>
          <t>VÄSTERNORRLANDS LÄN</t>
        </is>
      </c>
      <c r="E58" t="inlineStr">
        <is>
          <t>SUNDSVALL</t>
        </is>
      </c>
      <c r="F58" t="inlineStr">
        <is>
          <t>SCA</t>
        </is>
      </c>
      <c r="G58" t="n">
        <v>3.6</v>
      </c>
      <c r="H58" t="n">
        <v>0</v>
      </c>
      <c r="I58" t="n">
        <v>1</v>
      </c>
      <c r="J58" t="n">
        <v>2</v>
      </c>
      <c r="K58" t="n">
        <v>0</v>
      </c>
      <c r="L58" t="n">
        <v>0</v>
      </c>
      <c r="M58" t="n">
        <v>0</v>
      </c>
      <c r="N58" t="n">
        <v>0</v>
      </c>
      <c r="O58" t="n">
        <v>2</v>
      </c>
      <c r="P58" t="n">
        <v>0</v>
      </c>
      <c r="Q58" t="n">
        <v>3</v>
      </c>
      <c r="R58" s="2" t="inlineStr">
        <is>
          <t>Blå taggsvamp
Lunglav
Dropptaggsvamp</t>
        </is>
      </c>
      <c r="S58">
        <f>HYPERLINK("https://klasma.github.io/Logging_SUNDSVALL/artfynd/A 38096-2023.xlsx")</f>
        <v/>
      </c>
      <c r="T58">
        <f>HYPERLINK("https://klasma.github.io/Logging_SUNDSVALL/kartor/A 38096-2023.png")</f>
        <v/>
      </c>
      <c r="V58">
        <f>HYPERLINK("https://klasma.github.io/Logging_SUNDSVALL/klagomål/A 38096-2023.docx")</f>
        <v/>
      </c>
      <c r="W58">
        <f>HYPERLINK("https://klasma.github.io/Logging_SUNDSVALL/klagomålsmail/A 38096-2023.docx")</f>
        <v/>
      </c>
      <c r="X58">
        <f>HYPERLINK("https://klasma.github.io/Logging_SUNDSVALL/tillsyn/A 38096-2023.docx")</f>
        <v/>
      </c>
      <c r="Y58">
        <f>HYPERLINK("https://klasma.github.io/Logging_SUNDSVALL/tillsynsmail/A 38096-2023.docx")</f>
        <v/>
      </c>
    </row>
    <row r="59" ht="15" customHeight="1">
      <c r="A59" t="inlineStr">
        <is>
          <t>A 60182-2018</t>
        </is>
      </c>
      <c r="B59" s="1" t="n">
        <v>43412</v>
      </c>
      <c r="C59" s="1" t="n">
        <v>45181</v>
      </c>
      <c r="D59" t="inlineStr">
        <is>
          <t>VÄSTERNORRLANDS LÄN</t>
        </is>
      </c>
      <c r="E59" t="inlineStr">
        <is>
          <t>SUNDSVALL</t>
        </is>
      </c>
      <c r="G59" t="n">
        <v>5.5</v>
      </c>
      <c r="H59" t="n">
        <v>1</v>
      </c>
      <c r="I59" t="n">
        <v>0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2</v>
      </c>
      <c r="R59" s="2" t="inlineStr">
        <is>
          <t>Mindre hackspett
Rödprick</t>
        </is>
      </c>
      <c r="S59">
        <f>HYPERLINK("https://klasma.github.io/Logging_SUNDSVALL/artfynd/A 60182-2018.xlsx")</f>
        <v/>
      </c>
      <c r="T59">
        <f>HYPERLINK("https://klasma.github.io/Logging_SUNDSVALL/kartor/A 60182-2018.png")</f>
        <v/>
      </c>
      <c r="V59">
        <f>HYPERLINK("https://klasma.github.io/Logging_SUNDSVALL/klagomål/A 60182-2018.docx")</f>
        <v/>
      </c>
      <c r="W59">
        <f>HYPERLINK("https://klasma.github.io/Logging_SUNDSVALL/klagomålsmail/A 60182-2018.docx")</f>
        <v/>
      </c>
      <c r="X59">
        <f>HYPERLINK("https://klasma.github.io/Logging_SUNDSVALL/tillsyn/A 60182-2018.docx")</f>
        <v/>
      </c>
      <c r="Y59">
        <f>HYPERLINK("https://klasma.github.io/Logging_SUNDSVALL/tillsynsmail/A 60182-2018.docx")</f>
        <v/>
      </c>
    </row>
    <row r="60" ht="15" customHeight="1">
      <c r="A60" t="inlineStr">
        <is>
          <t>A 9516-2019</t>
        </is>
      </c>
      <c r="B60" s="1" t="n">
        <v>43507</v>
      </c>
      <c r="C60" s="1" t="n">
        <v>45181</v>
      </c>
      <c r="D60" t="inlineStr">
        <is>
          <t>VÄSTERNORRLANDS LÄN</t>
        </is>
      </c>
      <c r="E60" t="inlineStr">
        <is>
          <t>SUNDSVALL</t>
        </is>
      </c>
      <c r="F60" t="inlineStr">
        <is>
          <t>SCA</t>
        </is>
      </c>
      <c r="G60" t="n">
        <v>35.2</v>
      </c>
      <c r="H60" t="n">
        <v>0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2</v>
      </c>
      <c r="R60" s="2" t="inlineStr">
        <is>
          <t>Gränsticka
Lunglav</t>
        </is>
      </c>
      <c r="S60">
        <f>HYPERLINK("https://klasma.github.io/Logging_SUNDSVALL/artfynd/A 9516-2019.xlsx")</f>
        <v/>
      </c>
      <c r="T60">
        <f>HYPERLINK("https://klasma.github.io/Logging_SUNDSVALL/kartor/A 9516-2019.png")</f>
        <v/>
      </c>
      <c r="V60">
        <f>HYPERLINK("https://klasma.github.io/Logging_SUNDSVALL/klagomål/A 9516-2019.docx")</f>
        <v/>
      </c>
      <c r="W60">
        <f>HYPERLINK("https://klasma.github.io/Logging_SUNDSVALL/klagomålsmail/A 9516-2019.docx")</f>
        <v/>
      </c>
      <c r="X60">
        <f>HYPERLINK("https://klasma.github.io/Logging_SUNDSVALL/tillsyn/A 9516-2019.docx")</f>
        <v/>
      </c>
      <c r="Y60">
        <f>HYPERLINK("https://klasma.github.io/Logging_SUNDSVALL/tillsynsmail/A 9516-2019.docx")</f>
        <v/>
      </c>
    </row>
    <row r="61" ht="15" customHeight="1">
      <c r="A61" t="inlineStr">
        <is>
          <t>A 47808-2019</t>
        </is>
      </c>
      <c r="B61" s="1" t="n">
        <v>43724</v>
      </c>
      <c r="C61" s="1" t="n">
        <v>45181</v>
      </c>
      <c r="D61" t="inlineStr">
        <is>
          <t>VÄSTERNORRLANDS LÄN</t>
        </is>
      </c>
      <c r="E61" t="inlineStr">
        <is>
          <t>SUNDSVALL</t>
        </is>
      </c>
      <c r="F61" t="inlineStr">
        <is>
          <t>SCA</t>
        </is>
      </c>
      <c r="G61" t="n">
        <v>3.6</v>
      </c>
      <c r="H61" t="n">
        <v>0</v>
      </c>
      <c r="I61" t="n">
        <v>1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2</v>
      </c>
      <c r="R61" s="2" t="inlineStr">
        <is>
          <t>Lunglav
Stuplav</t>
        </is>
      </c>
      <c r="S61">
        <f>HYPERLINK("https://klasma.github.io/Logging_SUNDSVALL/artfynd/A 47808-2019.xlsx")</f>
        <v/>
      </c>
      <c r="T61">
        <f>HYPERLINK("https://klasma.github.io/Logging_SUNDSVALL/kartor/A 47808-2019.png")</f>
        <v/>
      </c>
      <c r="V61">
        <f>HYPERLINK("https://klasma.github.io/Logging_SUNDSVALL/klagomål/A 47808-2019.docx")</f>
        <v/>
      </c>
      <c r="W61">
        <f>HYPERLINK("https://klasma.github.io/Logging_SUNDSVALL/klagomålsmail/A 47808-2019.docx")</f>
        <v/>
      </c>
      <c r="X61">
        <f>HYPERLINK("https://klasma.github.io/Logging_SUNDSVALL/tillsyn/A 47808-2019.docx")</f>
        <v/>
      </c>
      <c r="Y61">
        <f>HYPERLINK("https://klasma.github.io/Logging_SUNDSVALL/tillsynsmail/A 47808-2019.docx")</f>
        <v/>
      </c>
    </row>
    <row r="62" ht="15" customHeight="1">
      <c r="A62" t="inlineStr">
        <is>
          <t>A 39080-2020</t>
        </is>
      </c>
      <c r="B62" s="1" t="n">
        <v>44062</v>
      </c>
      <c r="C62" s="1" t="n">
        <v>45181</v>
      </c>
      <c r="D62" t="inlineStr">
        <is>
          <t>VÄSTERNORRLANDS LÄN</t>
        </is>
      </c>
      <c r="E62" t="inlineStr">
        <is>
          <t>SUNDSVALL</t>
        </is>
      </c>
      <c r="F62" t="inlineStr">
        <is>
          <t>SCA</t>
        </is>
      </c>
      <c r="G62" t="n">
        <v>4.5</v>
      </c>
      <c r="H62" t="n">
        <v>1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2</v>
      </c>
      <c r="R62" s="2" t="inlineStr">
        <is>
          <t>Skrovellav
Blåsippa</t>
        </is>
      </c>
      <c r="S62">
        <f>HYPERLINK("https://klasma.github.io/Logging_SUNDSVALL/artfynd/A 39080-2020.xlsx")</f>
        <v/>
      </c>
      <c r="T62">
        <f>HYPERLINK("https://klasma.github.io/Logging_SUNDSVALL/kartor/A 39080-2020.png")</f>
        <v/>
      </c>
      <c r="V62">
        <f>HYPERLINK("https://klasma.github.io/Logging_SUNDSVALL/klagomål/A 39080-2020.docx")</f>
        <v/>
      </c>
      <c r="W62">
        <f>HYPERLINK("https://klasma.github.io/Logging_SUNDSVALL/klagomålsmail/A 39080-2020.docx")</f>
        <v/>
      </c>
      <c r="X62">
        <f>HYPERLINK("https://klasma.github.io/Logging_SUNDSVALL/tillsyn/A 39080-2020.docx")</f>
        <v/>
      </c>
      <c r="Y62">
        <f>HYPERLINK("https://klasma.github.io/Logging_SUNDSVALL/tillsynsmail/A 39080-2020.docx")</f>
        <v/>
      </c>
    </row>
    <row r="63" ht="15" customHeight="1">
      <c r="A63" t="inlineStr">
        <is>
          <t>A 50336-2020</t>
        </is>
      </c>
      <c r="B63" s="1" t="n">
        <v>44110</v>
      </c>
      <c r="C63" s="1" t="n">
        <v>45181</v>
      </c>
      <c r="D63" t="inlineStr">
        <is>
          <t>VÄSTERNORRLANDS LÄN</t>
        </is>
      </c>
      <c r="E63" t="inlineStr">
        <is>
          <t>SUNDSVALL</t>
        </is>
      </c>
      <c r="F63" t="inlineStr">
        <is>
          <t>Kommuner</t>
        </is>
      </c>
      <c r="G63" t="n">
        <v>6.9</v>
      </c>
      <c r="H63" t="n">
        <v>2</v>
      </c>
      <c r="I63" t="n">
        <v>0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2</v>
      </c>
      <c r="R63" s="2" t="inlineStr">
        <is>
          <t>Kråka
Rödvingetrast</t>
        </is>
      </c>
      <c r="S63">
        <f>HYPERLINK("https://klasma.github.io/Logging_SUNDSVALL/artfynd/A 50336-2020.xlsx")</f>
        <v/>
      </c>
      <c r="T63">
        <f>HYPERLINK("https://klasma.github.io/Logging_SUNDSVALL/kartor/A 50336-2020.png")</f>
        <v/>
      </c>
      <c r="V63">
        <f>HYPERLINK("https://klasma.github.io/Logging_SUNDSVALL/klagomål/A 50336-2020.docx")</f>
        <v/>
      </c>
      <c r="W63">
        <f>HYPERLINK("https://klasma.github.io/Logging_SUNDSVALL/klagomålsmail/A 50336-2020.docx")</f>
        <v/>
      </c>
      <c r="X63">
        <f>HYPERLINK("https://klasma.github.io/Logging_SUNDSVALL/tillsyn/A 50336-2020.docx")</f>
        <v/>
      </c>
      <c r="Y63">
        <f>HYPERLINK("https://klasma.github.io/Logging_SUNDSVALL/tillsynsmail/A 50336-2020.docx")</f>
        <v/>
      </c>
    </row>
    <row r="64" ht="15" customHeight="1">
      <c r="A64" t="inlineStr">
        <is>
          <t>A 60400-2020</t>
        </is>
      </c>
      <c r="B64" s="1" t="n">
        <v>44152</v>
      </c>
      <c r="C64" s="1" t="n">
        <v>45181</v>
      </c>
      <c r="D64" t="inlineStr">
        <is>
          <t>VÄSTERNORRLANDS LÄN</t>
        </is>
      </c>
      <c r="E64" t="inlineStr">
        <is>
          <t>SUNDSVALL</t>
        </is>
      </c>
      <c r="F64" t="inlineStr">
        <is>
          <t>SCA</t>
        </is>
      </c>
      <c r="G64" t="n">
        <v>1.5</v>
      </c>
      <c r="H64" t="n">
        <v>0</v>
      </c>
      <c r="I64" t="n">
        <v>0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2</v>
      </c>
      <c r="R64" s="2" t="inlineStr">
        <is>
          <t>Garnlav
Lunglav</t>
        </is>
      </c>
      <c r="S64">
        <f>HYPERLINK("https://klasma.github.io/Logging_SUNDSVALL/artfynd/A 60400-2020.xlsx")</f>
        <v/>
      </c>
      <c r="T64">
        <f>HYPERLINK("https://klasma.github.io/Logging_SUNDSVALL/kartor/A 60400-2020.png")</f>
        <v/>
      </c>
      <c r="V64">
        <f>HYPERLINK("https://klasma.github.io/Logging_SUNDSVALL/klagomål/A 60400-2020.docx")</f>
        <v/>
      </c>
      <c r="W64">
        <f>HYPERLINK("https://klasma.github.io/Logging_SUNDSVALL/klagomålsmail/A 60400-2020.docx")</f>
        <v/>
      </c>
      <c r="X64">
        <f>HYPERLINK("https://klasma.github.io/Logging_SUNDSVALL/tillsyn/A 60400-2020.docx")</f>
        <v/>
      </c>
      <c r="Y64">
        <f>HYPERLINK("https://klasma.github.io/Logging_SUNDSVALL/tillsynsmail/A 60400-2020.docx")</f>
        <v/>
      </c>
    </row>
    <row r="65" ht="15" customHeight="1">
      <c r="A65" t="inlineStr">
        <is>
          <t>A 7567-2021</t>
        </is>
      </c>
      <c r="B65" s="1" t="n">
        <v>44239</v>
      </c>
      <c r="C65" s="1" t="n">
        <v>45181</v>
      </c>
      <c r="D65" t="inlineStr">
        <is>
          <t>VÄSTERNORRLANDS LÄN</t>
        </is>
      </c>
      <c r="E65" t="inlineStr">
        <is>
          <t>SUNDSVALL</t>
        </is>
      </c>
      <c r="G65" t="n">
        <v>6.8</v>
      </c>
      <c r="H65" t="n">
        <v>0</v>
      </c>
      <c r="I65" t="n">
        <v>1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2</v>
      </c>
      <c r="R65" s="2" t="inlineStr">
        <is>
          <t>Lunglav
Vedticka</t>
        </is>
      </c>
      <c r="S65">
        <f>HYPERLINK("https://klasma.github.io/Logging_SUNDSVALL/artfynd/A 7567-2021.xlsx")</f>
        <v/>
      </c>
      <c r="T65">
        <f>HYPERLINK("https://klasma.github.io/Logging_SUNDSVALL/kartor/A 7567-2021.png")</f>
        <v/>
      </c>
      <c r="V65">
        <f>HYPERLINK("https://klasma.github.io/Logging_SUNDSVALL/klagomål/A 7567-2021.docx")</f>
        <v/>
      </c>
      <c r="W65">
        <f>HYPERLINK("https://klasma.github.io/Logging_SUNDSVALL/klagomålsmail/A 7567-2021.docx")</f>
        <v/>
      </c>
      <c r="X65">
        <f>HYPERLINK("https://klasma.github.io/Logging_SUNDSVALL/tillsyn/A 7567-2021.docx")</f>
        <v/>
      </c>
      <c r="Y65">
        <f>HYPERLINK("https://klasma.github.io/Logging_SUNDSVALL/tillsynsmail/A 7567-2021.docx")</f>
        <v/>
      </c>
    </row>
    <row r="66" ht="15" customHeight="1">
      <c r="A66" t="inlineStr">
        <is>
          <t>A 43196-2021</t>
        </is>
      </c>
      <c r="B66" s="1" t="n">
        <v>44431</v>
      </c>
      <c r="C66" s="1" t="n">
        <v>45181</v>
      </c>
      <c r="D66" t="inlineStr">
        <is>
          <t>VÄSTERNORRLANDS LÄN</t>
        </is>
      </c>
      <c r="E66" t="inlineStr">
        <is>
          <t>SUNDSVALL</t>
        </is>
      </c>
      <c r="G66" t="n">
        <v>1.9</v>
      </c>
      <c r="H66" t="n">
        <v>1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2</v>
      </c>
      <c r="R66" s="2" t="inlineStr">
        <is>
          <t>Garnlav
Revlummer</t>
        </is>
      </c>
      <c r="S66">
        <f>HYPERLINK("https://klasma.github.io/Logging_SUNDSVALL/artfynd/A 43196-2021.xlsx")</f>
        <v/>
      </c>
      <c r="T66">
        <f>HYPERLINK("https://klasma.github.io/Logging_SUNDSVALL/kartor/A 43196-2021.png")</f>
        <v/>
      </c>
      <c r="V66">
        <f>HYPERLINK("https://klasma.github.io/Logging_SUNDSVALL/klagomål/A 43196-2021.docx")</f>
        <v/>
      </c>
      <c r="W66">
        <f>HYPERLINK("https://klasma.github.io/Logging_SUNDSVALL/klagomålsmail/A 43196-2021.docx")</f>
        <v/>
      </c>
      <c r="X66">
        <f>HYPERLINK("https://klasma.github.io/Logging_SUNDSVALL/tillsyn/A 43196-2021.docx")</f>
        <v/>
      </c>
      <c r="Y66">
        <f>HYPERLINK("https://klasma.github.io/Logging_SUNDSVALL/tillsynsmail/A 43196-2021.docx")</f>
        <v/>
      </c>
    </row>
    <row r="67" ht="15" customHeight="1">
      <c r="A67" t="inlineStr">
        <is>
          <t>A 64919-2021</t>
        </is>
      </c>
      <c r="B67" s="1" t="n">
        <v>44512</v>
      </c>
      <c r="C67" s="1" t="n">
        <v>45181</v>
      </c>
      <c r="D67" t="inlineStr">
        <is>
          <t>VÄSTERNORRLANDS LÄN</t>
        </is>
      </c>
      <c r="E67" t="inlineStr">
        <is>
          <t>SUNDSVALL</t>
        </is>
      </c>
      <c r="F67" t="inlineStr">
        <is>
          <t>Kommuner</t>
        </is>
      </c>
      <c r="G67" t="n">
        <v>4.1</v>
      </c>
      <c r="H67" t="n">
        <v>1</v>
      </c>
      <c r="I67" t="n">
        <v>1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2</v>
      </c>
      <c r="R67" s="2" t="inlineStr">
        <is>
          <t>Mindre hackspett
Scharlakansskål</t>
        </is>
      </c>
      <c r="S67">
        <f>HYPERLINK("https://klasma.github.io/Logging_SUNDSVALL/artfynd/A 64919-2021.xlsx")</f>
        <v/>
      </c>
      <c r="T67">
        <f>HYPERLINK("https://klasma.github.io/Logging_SUNDSVALL/kartor/A 64919-2021.png")</f>
        <v/>
      </c>
      <c r="V67">
        <f>HYPERLINK("https://klasma.github.io/Logging_SUNDSVALL/klagomål/A 64919-2021.docx")</f>
        <v/>
      </c>
      <c r="W67">
        <f>HYPERLINK("https://klasma.github.io/Logging_SUNDSVALL/klagomålsmail/A 64919-2021.docx")</f>
        <v/>
      </c>
      <c r="X67">
        <f>HYPERLINK("https://klasma.github.io/Logging_SUNDSVALL/tillsyn/A 64919-2021.docx")</f>
        <v/>
      </c>
      <c r="Y67">
        <f>HYPERLINK("https://klasma.github.io/Logging_SUNDSVALL/tillsynsmail/A 64919-2021.docx")</f>
        <v/>
      </c>
    </row>
    <row r="68" ht="15" customHeight="1">
      <c r="A68" t="inlineStr">
        <is>
          <t>A 5115-2022</t>
        </is>
      </c>
      <c r="B68" s="1" t="n">
        <v>44593</v>
      </c>
      <c r="C68" s="1" t="n">
        <v>45181</v>
      </c>
      <c r="D68" t="inlineStr">
        <is>
          <t>VÄSTERNORRLANDS LÄN</t>
        </is>
      </c>
      <c r="E68" t="inlineStr">
        <is>
          <t>SUNDSVALL</t>
        </is>
      </c>
      <c r="F68" t="inlineStr">
        <is>
          <t>SCA</t>
        </is>
      </c>
      <c r="G68" t="n">
        <v>13.6</v>
      </c>
      <c r="H68" t="n">
        <v>0</v>
      </c>
      <c r="I68" t="n">
        <v>1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2</v>
      </c>
      <c r="R68" s="2" t="inlineStr">
        <is>
          <t>Lunglav
Norrlandslav</t>
        </is>
      </c>
      <c r="S68">
        <f>HYPERLINK("https://klasma.github.io/Logging_SUNDSVALL/artfynd/A 5115-2022.xlsx")</f>
        <v/>
      </c>
      <c r="T68">
        <f>HYPERLINK("https://klasma.github.io/Logging_SUNDSVALL/kartor/A 5115-2022.png")</f>
        <v/>
      </c>
      <c r="V68">
        <f>HYPERLINK("https://klasma.github.io/Logging_SUNDSVALL/klagomål/A 5115-2022.docx")</f>
        <v/>
      </c>
      <c r="W68">
        <f>HYPERLINK("https://klasma.github.io/Logging_SUNDSVALL/klagomålsmail/A 5115-2022.docx")</f>
        <v/>
      </c>
      <c r="X68">
        <f>HYPERLINK("https://klasma.github.io/Logging_SUNDSVALL/tillsyn/A 5115-2022.docx")</f>
        <v/>
      </c>
      <c r="Y68">
        <f>HYPERLINK("https://klasma.github.io/Logging_SUNDSVALL/tillsynsmail/A 5115-2022.docx")</f>
        <v/>
      </c>
    </row>
    <row r="69" ht="15" customHeight="1">
      <c r="A69" t="inlineStr">
        <is>
          <t>A 22567-2022</t>
        </is>
      </c>
      <c r="B69" s="1" t="n">
        <v>44713</v>
      </c>
      <c r="C69" s="1" t="n">
        <v>45181</v>
      </c>
      <c r="D69" t="inlineStr">
        <is>
          <t>VÄSTERNORRLANDS LÄN</t>
        </is>
      </c>
      <c r="E69" t="inlineStr">
        <is>
          <t>SUNDSVALL</t>
        </is>
      </c>
      <c r="F69" t="inlineStr">
        <is>
          <t>SCA</t>
        </is>
      </c>
      <c r="G69" t="n">
        <v>4.5</v>
      </c>
      <c r="H69" t="n">
        <v>0</v>
      </c>
      <c r="I69" t="n">
        <v>0</v>
      </c>
      <c r="J69" t="n">
        <v>2</v>
      </c>
      <c r="K69" t="n">
        <v>0</v>
      </c>
      <c r="L69" t="n">
        <v>0</v>
      </c>
      <c r="M69" t="n">
        <v>0</v>
      </c>
      <c r="N69" t="n">
        <v>0</v>
      </c>
      <c r="O69" t="n">
        <v>2</v>
      </c>
      <c r="P69" t="n">
        <v>0</v>
      </c>
      <c r="Q69" t="n">
        <v>2</v>
      </c>
      <c r="R69" s="2" t="inlineStr">
        <is>
          <t>Garnlav
Granticka</t>
        </is>
      </c>
      <c r="S69">
        <f>HYPERLINK("https://klasma.github.io/Logging_SUNDSVALL/artfynd/A 22567-2022.xlsx")</f>
        <v/>
      </c>
      <c r="T69">
        <f>HYPERLINK("https://klasma.github.io/Logging_SUNDSVALL/kartor/A 22567-2022.png")</f>
        <v/>
      </c>
      <c r="V69">
        <f>HYPERLINK("https://klasma.github.io/Logging_SUNDSVALL/klagomål/A 22567-2022.docx")</f>
        <v/>
      </c>
      <c r="W69">
        <f>HYPERLINK("https://klasma.github.io/Logging_SUNDSVALL/klagomålsmail/A 22567-2022.docx")</f>
        <v/>
      </c>
      <c r="X69">
        <f>HYPERLINK("https://klasma.github.io/Logging_SUNDSVALL/tillsyn/A 22567-2022.docx")</f>
        <v/>
      </c>
      <c r="Y69">
        <f>HYPERLINK("https://klasma.github.io/Logging_SUNDSVALL/tillsynsmail/A 22567-2022.docx")</f>
        <v/>
      </c>
    </row>
    <row r="70" ht="15" customHeight="1">
      <c r="A70" t="inlineStr">
        <is>
          <t>A 32766-2022</t>
        </is>
      </c>
      <c r="B70" s="1" t="n">
        <v>44783</v>
      </c>
      <c r="C70" s="1" t="n">
        <v>45181</v>
      </c>
      <c r="D70" t="inlineStr">
        <is>
          <t>VÄSTERNORRLANDS LÄN</t>
        </is>
      </c>
      <c r="E70" t="inlineStr">
        <is>
          <t>SUNDSVALL</t>
        </is>
      </c>
      <c r="F70" t="inlineStr">
        <is>
          <t>SCA</t>
        </is>
      </c>
      <c r="G70" t="n">
        <v>6.3</v>
      </c>
      <c r="H70" t="n">
        <v>0</v>
      </c>
      <c r="I70" t="n">
        <v>1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2</v>
      </c>
      <c r="R70" s="2" t="inlineStr">
        <is>
          <t>Lunglav
Stor aspticka</t>
        </is>
      </c>
      <c r="S70">
        <f>HYPERLINK("https://klasma.github.io/Logging_SUNDSVALL/artfynd/A 32766-2022.xlsx")</f>
        <v/>
      </c>
      <c r="T70">
        <f>HYPERLINK("https://klasma.github.io/Logging_SUNDSVALL/kartor/A 32766-2022.png")</f>
        <v/>
      </c>
      <c r="V70">
        <f>HYPERLINK("https://klasma.github.io/Logging_SUNDSVALL/klagomål/A 32766-2022.docx")</f>
        <v/>
      </c>
      <c r="W70">
        <f>HYPERLINK("https://klasma.github.io/Logging_SUNDSVALL/klagomålsmail/A 32766-2022.docx")</f>
        <v/>
      </c>
      <c r="X70">
        <f>HYPERLINK("https://klasma.github.io/Logging_SUNDSVALL/tillsyn/A 32766-2022.docx")</f>
        <v/>
      </c>
      <c r="Y70">
        <f>HYPERLINK("https://klasma.github.io/Logging_SUNDSVALL/tillsynsmail/A 32766-2022.docx")</f>
        <v/>
      </c>
    </row>
    <row r="71" ht="15" customHeight="1">
      <c r="A71" t="inlineStr">
        <is>
          <t>A 41814-2022</t>
        </is>
      </c>
      <c r="B71" s="1" t="n">
        <v>44827</v>
      </c>
      <c r="C71" s="1" t="n">
        <v>45181</v>
      </c>
      <c r="D71" t="inlineStr">
        <is>
          <t>VÄSTERNORRLANDS LÄN</t>
        </is>
      </c>
      <c r="E71" t="inlineStr">
        <is>
          <t>SUNDSVALL</t>
        </is>
      </c>
      <c r="F71" t="inlineStr">
        <is>
          <t>SCA</t>
        </is>
      </c>
      <c r="G71" t="n">
        <v>3.8</v>
      </c>
      <c r="H71" t="n">
        <v>1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2</v>
      </c>
      <c r="R71" s="2" t="inlineStr">
        <is>
          <t>Lunglav
Revlummer</t>
        </is>
      </c>
      <c r="S71">
        <f>HYPERLINK("https://klasma.github.io/Logging_SUNDSVALL/artfynd/A 41814-2022.xlsx")</f>
        <v/>
      </c>
      <c r="T71">
        <f>HYPERLINK("https://klasma.github.io/Logging_SUNDSVALL/kartor/A 41814-2022.png")</f>
        <v/>
      </c>
      <c r="V71">
        <f>HYPERLINK("https://klasma.github.io/Logging_SUNDSVALL/klagomål/A 41814-2022.docx")</f>
        <v/>
      </c>
      <c r="W71">
        <f>HYPERLINK("https://klasma.github.io/Logging_SUNDSVALL/klagomålsmail/A 41814-2022.docx")</f>
        <v/>
      </c>
      <c r="X71">
        <f>HYPERLINK("https://klasma.github.io/Logging_SUNDSVALL/tillsyn/A 41814-2022.docx")</f>
        <v/>
      </c>
      <c r="Y71">
        <f>HYPERLINK("https://klasma.github.io/Logging_SUNDSVALL/tillsynsmail/A 41814-2022.docx")</f>
        <v/>
      </c>
    </row>
    <row r="72" ht="15" customHeight="1">
      <c r="A72" t="inlineStr">
        <is>
          <t>A 51087-2022</t>
        </is>
      </c>
      <c r="B72" s="1" t="n">
        <v>44865</v>
      </c>
      <c r="C72" s="1" t="n">
        <v>45181</v>
      </c>
      <c r="D72" t="inlineStr">
        <is>
          <t>VÄSTERNORRLANDS LÄN</t>
        </is>
      </c>
      <c r="E72" t="inlineStr">
        <is>
          <t>SUNDSVALL</t>
        </is>
      </c>
      <c r="G72" t="n">
        <v>3.5</v>
      </c>
      <c r="H72" t="n">
        <v>2</v>
      </c>
      <c r="I72" t="n">
        <v>0</v>
      </c>
      <c r="J72" t="n">
        <v>0</v>
      </c>
      <c r="K72" t="n">
        <v>1</v>
      </c>
      <c r="L72" t="n">
        <v>0</v>
      </c>
      <c r="M72" t="n">
        <v>0</v>
      </c>
      <c r="N72" t="n">
        <v>0</v>
      </c>
      <c r="O72" t="n">
        <v>1</v>
      </c>
      <c r="P72" t="n">
        <v>1</v>
      </c>
      <c r="Q72" t="n">
        <v>2</v>
      </c>
      <c r="R72" s="2" t="inlineStr">
        <is>
          <t>Knärot
Blåsippa</t>
        </is>
      </c>
      <c r="S72">
        <f>HYPERLINK("https://klasma.github.io/Logging_SUNDSVALL/artfynd/A 51087-2022.xlsx")</f>
        <v/>
      </c>
      <c r="T72">
        <f>HYPERLINK("https://klasma.github.io/Logging_SUNDSVALL/kartor/A 51087-2022.png")</f>
        <v/>
      </c>
      <c r="U72">
        <f>HYPERLINK("https://klasma.github.io/Logging_SUNDSVALL/knärot/A 51087-2022.png")</f>
        <v/>
      </c>
      <c r="V72">
        <f>HYPERLINK("https://klasma.github.io/Logging_SUNDSVALL/klagomål/A 51087-2022.docx")</f>
        <v/>
      </c>
      <c r="W72">
        <f>HYPERLINK("https://klasma.github.io/Logging_SUNDSVALL/klagomålsmail/A 51087-2022.docx")</f>
        <v/>
      </c>
      <c r="X72">
        <f>HYPERLINK("https://klasma.github.io/Logging_SUNDSVALL/tillsyn/A 51087-2022.docx")</f>
        <v/>
      </c>
      <c r="Y72">
        <f>HYPERLINK("https://klasma.github.io/Logging_SUNDSVALL/tillsynsmail/A 51087-2022.docx")</f>
        <v/>
      </c>
    </row>
    <row r="73" ht="15" customHeight="1">
      <c r="A73" t="inlineStr">
        <is>
          <t>A 52350-2022</t>
        </is>
      </c>
      <c r="B73" s="1" t="n">
        <v>44873</v>
      </c>
      <c r="C73" s="1" t="n">
        <v>45181</v>
      </c>
      <c r="D73" t="inlineStr">
        <is>
          <t>VÄSTERNORRLANDS LÄN</t>
        </is>
      </c>
      <c r="E73" t="inlineStr">
        <is>
          <t>SUNDSVALL</t>
        </is>
      </c>
      <c r="F73" t="inlineStr">
        <is>
          <t>SCA</t>
        </is>
      </c>
      <c r="G73" t="n">
        <v>4.4</v>
      </c>
      <c r="H73" t="n">
        <v>0</v>
      </c>
      <c r="I73" t="n">
        <v>0</v>
      </c>
      <c r="J73" t="n">
        <v>2</v>
      </c>
      <c r="K73" t="n">
        <v>0</v>
      </c>
      <c r="L73" t="n">
        <v>0</v>
      </c>
      <c r="M73" t="n">
        <v>0</v>
      </c>
      <c r="N73" t="n">
        <v>0</v>
      </c>
      <c r="O73" t="n">
        <v>2</v>
      </c>
      <c r="P73" t="n">
        <v>0</v>
      </c>
      <c r="Q73" t="n">
        <v>2</v>
      </c>
      <c r="R73" s="2" t="inlineStr">
        <is>
          <t>Lunglav
Ullticka</t>
        </is>
      </c>
      <c r="S73">
        <f>HYPERLINK("https://klasma.github.io/Logging_SUNDSVALL/artfynd/A 52350-2022.xlsx")</f>
        <v/>
      </c>
      <c r="T73">
        <f>HYPERLINK("https://klasma.github.io/Logging_SUNDSVALL/kartor/A 52350-2022.png")</f>
        <v/>
      </c>
      <c r="V73">
        <f>HYPERLINK("https://klasma.github.io/Logging_SUNDSVALL/klagomål/A 52350-2022.docx")</f>
        <v/>
      </c>
      <c r="W73">
        <f>HYPERLINK("https://klasma.github.io/Logging_SUNDSVALL/klagomålsmail/A 52350-2022.docx")</f>
        <v/>
      </c>
      <c r="X73">
        <f>HYPERLINK("https://klasma.github.io/Logging_SUNDSVALL/tillsyn/A 52350-2022.docx")</f>
        <v/>
      </c>
      <c r="Y73">
        <f>HYPERLINK("https://klasma.github.io/Logging_SUNDSVALL/tillsynsmail/A 52350-2022.docx")</f>
        <v/>
      </c>
    </row>
    <row r="74" ht="15" customHeight="1">
      <c r="A74" t="inlineStr">
        <is>
          <t>A 52741-2022</t>
        </is>
      </c>
      <c r="B74" s="1" t="n">
        <v>44874</v>
      </c>
      <c r="C74" s="1" t="n">
        <v>45181</v>
      </c>
      <c r="D74" t="inlineStr">
        <is>
          <t>VÄSTERNORRLANDS LÄN</t>
        </is>
      </c>
      <c r="E74" t="inlineStr">
        <is>
          <t>SUNDSVALL</t>
        </is>
      </c>
      <c r="F74" t="inlineStr">
        <is>
          <t>SCA</t>
        </is>
      </c>
      <c r="G74" t="n">
        <v>5.2</v>
      </c>
      <c r="H74" t="n">
        <v>1</v>
      </c>
      <c r="I74" t="n">
        <v>1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2</v>
      </c>
      <c r="R74" s="2" t="inlineStr">
        <is>
          <t>Videsparv
Skuggblåslav</t>
        </is>
      </c>
      <c r="S74">
        <f>HYPERLINK("https://klasma.github.io/Logging_SUNDSVALL/artfynd/A 52741-2022.xlsx")</f>
        <v/>
      </c>
      <c r="T74">
        <f>HYPERLINK("https://klasma.github.io/Logging_SUNDSVALL/kartor/A 52741-2022.png")</f>
        <v/>
      </c>
      <c r="V74">
        <f>HYPERLINK("https://klasma.github.io/Logging_SUNDSVALL/klagomål/A 52741-2022.docx")</f>
        <v/>
      </c>
      <c r="W74">
        <f>HYPERLINK("https://klasma.github.io/Logging_SUNDSVALL/klagomålsmail/A 52741-2022.docx")</f>
        <v/>
      </c>
      <c r="X74">
        <f>HYPERLINK("https://klasma.github.io/Logging_SUNDSVALL/tillsyn/A 52741-2022.docx")</f>
        <v/>
      </c>
      <c r="Y74">
        <f>HYPERLINK("https://klasma.github.io/Logging_SUNDSVALL/tillsynsmail/A 52741-2022.docx")</f>
        <v/>
      </c>
    </row>
    <row r="75" ht="15" customHeight="1">
      <c r="A75" t="inlineStr">
        <is>
          <t>A 53942-2022</t>
        </is>
      </c>
      <c r="B75" s="1" t="n">
        <v>44880</v>
      </c>
      <c r="C75" s="1" t="n">
        <v>45181</v>
      </c>
      <c r="D75" t="inlineStr">
        <is>
          <t>VÄSTERNORRLANDS LÄN</t>
        </is>
      </c>
      <c r="E75" t="inlineStr">
        <is>
          <t>SUNDSVALL</t>
        </is>
      </c>
      <c r="F75" t="inlineStr">
        <is>
          <t>SCA</t>
        </is>
      </c>
      <c r="G75" t="n">
        <v>3.5</v>
      </c>
      <c r="H75" t="n">
        <v>0</v>
      </c>
      <c r="I75" t="n">
        <v>1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2</v>
      </c>
      <c r="R75" s="2" t="inlineStr">
        <is>
          <t>Lunglav
Vedticka</t>
        </is>
      </c>
      <c r="S75">
        <f>HYPERLINK("https://klasma.github.io/Logging_SUNDSVALL/artfynd/A 53942-2022.xlsx")</f>
        <v/>
      </c>
      <c r="T75">
        <f>HYPERLINK("https://klasma.github.io/Logging_SUNDSVALL/kartor/A 53942-2022.png")</f>
        <v/>
      </c>
      <c r="V75">
        <f>HYPERLINK("https://klasma.github.io/Logging_SUNDSVALL/klagomål/A 53942-2022.docx")</f>
        <v/>
      </c>
      <c r="W75">
        <f>HYPERLINK("https://klasma.github.io/Logging_SUNDSVALL/klagomålsmail/A 53942-2022.docx")</f>
        <v/>
      </c>
      <c r="X75">
        <f>HYPERLINK("https://klasma.github.io/Logging_SUNDSVALL/tillsyn/A 53942-2022.docx")</f>
        <v/>
      </c>
      <c r="Y75">
        <f>HYPERLINK("https://klasma.github.io/Logging_SUNDSVALL/tillsynsmail/A 53942-2022.docx")</f>
        <v/>
      </c>
    </row>
    <row r="76" ht="15" customHeight="1">
      <c r="A76" t="inlineStr">
        <is>
          <t>A 58191-2022</t>
        </is>
      </c>
      <c r="B76" s="1" t="n">
        <v>44900</v>
      </c>
      <c r="C76" s="1" t="n">
        <v>45181</v>
      </c>
      <c r="D76" t="inlineStr">
        <is>
          <t>VÄSTERNORRLANDS LÄN</t>
        </is>
      </c>
      <c r="E76" t="inlineStr">
        <is>
          <t>SUNDSVALL</t>
        </is>
      </c>
      <c r="F76" t="inlineStr">
        <is>
          <t>SCA</t>
        </is>
      </c>
      <c r="G76" t="n">
        <v>2</v>
      </c>
      <c r="H76" t="n">
        <v>1</v>
      </c>
      <c r="I76" t="n">
        <v>2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2</v>
      </c>
      <c r="R76" s="2" t="inlineStr">
        <is>
          <t>Korallrot
Vedticka</t>
        </is>
      </c>
      <c r="S76">
        <f>HYPERLINK("https://klasma.github.io/Logging_SUNDSVALL/artfynd/A 58191-2022.xlsx")</f>
        <v/>
      </c>
      <c r="T76">
        <f>HYPERLINK("https://klasma.github.io/Logging_SUNDSVALL/kartor/A 58191-2022.png")</f>
        <v/>
      </c>
      <c r="U76">
        <f>HYPERLINK("https://klasma.github.io/Logging_SUNDSVALL/knärot/A 58191-2022.png")</f>
        <v/>
      </c>
      <c r="V76">
        <f>HYPERLINK("https://klasma.github.io/Logging_SUNDSVALL/klagomål/A 58191-2022.docx")</f>
        <v/>
      </c>
      <c r="W76">
        <f>HYPERLINK("https://klasma.github.io/Logging_SUNDSVALL/klagomålsmail/A 58191-2022.docx")</f>
        <v/>
      </c>
      <c r="X76">
        <f>HYPERLINK("https://klasma.github.io/Logging_SUNDSVALL/tillsyn/A 58191-2022.docx")</f>
        <v/>
      </c>
      <c r="Y76">
        <f>HYPERLINK("https://klasma.github.io/Logging_SUNDSVALL/tillsynsmail/A 58191-2022.docx")</f>
        <v/>
      </c>
    </row>
    <row r="77" ht="15" customHeight="1">
      <c r="A77" t="inlineStr">
        <is>
          <t>A 18991-2023</t>
        </is>
      </c>
      <c r="B77" s="1" t="n">
        <v>45044</v>
      </c>
      <c r="C77" s="1" t="n">
        <v>45181</v>
      </c>
      <c r="D77" t="inlineStr">
        <is>
          <t>VÄSTERNORRLANDS LÄN</t>
        </is>
      </c>
      <c r="E77" t="inlineStr">
        <is>
          <t>SUNDSVALL</t>
        </is>
      </c>
      <c r="F77" t="inlineStr">
        <is>
          <t>SCA</t>
        </is>
      </c>
      <c r="G77" t="n">
        <v>10</v>
      </c>
      <c r="H77" t="n">
        <v>0</v>
      </c>
      <c r="I77" t="n">
        <v>1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2</v>
      </c>
      <c r="R77" s="2" t="inlineStr">
        <is>
          <t>Ullticka
Vedticka</t>
        </is>
      </c>
      <c r="S77">
        <f>HYPERLINK("https://klasma.github.io/Logging_SUNDSVALL/artfynd/A 18991-2023.xlsx")</f>
        <v/>
      </c>
      <c r="T77">
        <f>HYPERLINK("https://klasma.github.io/Logging_SUNDSVALL/kartor/A 18991-2023.png")</f>
        <v/>
      </c>
      <c r="V77">
        <f>HYPERLINK("https://klasma.github.io/Logging_SUNDSVALL/klagomål/A 18991-2023.docx")</f>
        <v/>
      </c>
      <c r="W77">
        <f>HYPERLINK("https://klasma.github.io/Logging_SUNDSVALL/klagomålsmail/A 18991-2023.docx")</f>
        <v/>
      </c>
      <c r="X77">
        <f>HYPERLINK("https://klasma.github.io/Logging_SUNDSVALL/tillsyn/A 18991-2023.docx")</f>
        <v/>
      </c>
      <c r="Y77">
        <f>HYPERLINK("https://klasma.github.io/Logging_SUNDSVALL/tillsynsmail/A 18991-2023.docx")</f>
        <v/>
      </c>
    </row>
    <row r="78" ht="15" customHeight="1">
      <c r="A78" t="inlineStr">
        <is>
          <t>A 18998-2023</t>
        </is>
      </c>
      <c r="B78" s="1" t="n">
        <v>45044</v>
      </c>
      <c r="C78" s="1" t="n">
        <v>45181</v>
      </c>
      <c r="D78" t="inlineStr">
        <is>
          <t>VÄSTERNORRLANDS LÄN</t>
        </is>
      </c>
      <c r="E78" t="inlineStr">
        <is>
          <t>SUNDSVALL</t>
        </is>
      </c>
      <c r="F78" t="inlineStr">
        <is>
          <t>SCA</t>
        </is>
      </c>
      <c r="G78" t="n">
        <v>17.7</v>
      </c>
      <c r="H78" t="n">
        <v>1</v>
      </c>
      <c r="I78" t="n">
        <v>0</v>
      </c>
      <c r="J78" t="n">
        <v>1</v>
      </c>
      <c r="K78" t="n">
        <v>1</v>
      </c>
      <c r="L78" t="n">
        <v>0</v>
      </c>
      <c r="M78" t="n">
        <v>0</v>
      </c>
      <c r="N78" t="n">
        <v>0</v>
      </c>
      <c r="O78" t="n">
        <v>2</v>
      </c>
      <c r="P78" t="n">
        <v>1</v>
      </c>
      <c r="Q78" t="n">
        <v>2</v>
      </c>
      <c r="R78" s="2" t="inlineStr">
        <is>
          <t>Knärot
Ullticka</t>
        </is>
      </c>
      <c r="S78">
        <f>HYPERLINK("https://klasma.github.io/Logging_SUNDSVALL/artfynd/A 18998-2023.xlsx")</f>
        <v/>
      </c>
      <c r="T78">
        <f>HYPERLINK("https://klasma.github.io/Logging_SUNDSVALL/kartor/A 18998-2023.png")</f>
        <v/>
      </c>
      <c r="U78">
        <f>HYPERLINK("https://klasma.github.io/Logging_SUNDSVALL/knärot/A 18998-2023.png")</f>
        <v/>
      </c>
      <c r="V78">
        <f>HYPERLINK("https://klasma.github.io/Logging_SUNDSVALL/klagomål/A 18998-2023.docx")</f>
        <v/>
      </c>
      <c r="W78">
        <f>HYPERLINK("https://klasma.github.io/Logging_SUNDSVALL/klagomålsmail/A 18998-2023.docx")</f>
        <v/>
      </c>
      <c r="X78">
        <f>HYPERLINK("https://klasma.github.io/Logging_SUNDSVALL/tillsyn/A 18998-2023.docx")</f>
        <v/>
      </c>
      <c r="Y78">
        <f>HYPERLINK("https://klasma.github.io/Logging_SUNDSVALL/tillsynsmail/A 18998-2023.docx")</f>
        <v/>
      </c>
    </row>
    <row r="79" ht="15" customHeight="1">
      <c r="A79" t="inlineStr">
        <is>
          <t>A 20888-2023</t>
        </is>
      </c>
      <c r="B79" s="1" t="n">
        <v>45058</v>
      </c>
      <c r="C79" s="1" t="n">
        <v>45181</v>
      </c>
      <c r="D79" t="inlineStr">
        <is>
          <t>VÄSTERNORRLANDS LÄN</t>
        </is>
      </c>
      <c r="E79" t="inlineStr">
        <is>
          <t>SUNDSVALL</t>
        </is>
      </c>
      <c r="F79" t="inlineStr">
        <is>
          <t>SCA</t>
        </is>
      </c>
      <c r="G79" t="n">
        <v>3.3</v>
      </c>
      <c r="H79" t="n">
        <v>0</v>
      </c>
      <c r="I79" t="n">
        <v>1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2</v>
      </c>
      <c r="R79" s="2" t="inlineStr">
        <is>
          <t>Småflikig brosklav
Skinnlav</t>
        </is>
      </c>
      <c r="S79">
        <f>HYPERLINK("https://klasma.github.io/Logging_SUNDSVALL/artfynd/A 20888-2023.xlsx")</f>
        <v/>
      </c>
      <c r="T79">
        <f>HYPERLINK("https://klasma.github.io/Logging_SUNDSVALL/kartor/A 20888-2023.png")</f>
        <v/>
      </c>
      <c r="V79">
        <f>HYPERLINK("https://klasma.github.io/Logging_SUNDSVALL/klagomål/A 20888-2023.docx")</f>
        <v/>
      </c>
      <c r="W79">
        <f>HYPERLINK("https://klasma.github.io/Logging_SUNDSVALL/klagomålsmail/A 20888-2023.docx")</f>
        <v/>
      </c>
      <c r="X79">
        <f>HYPERLINK("https://klasma.github.io/Logging_SUNDSVALL/tillsyn/A 20888-2023.docx")</f>
        <v/>
      </c>
      <c r="Y79">
        <f>HYPERLINK("https://klasma.github.io/Logging_SUNDSVALL/tillsynsmail/A 20888-2023.docx")</f>
        <v/>
      </c>
    </row>
    <row r="80" ht="15" customHeight="1">
      <c r="A80" t="inlineStr">
        <is>
          <t>A 27385-2023</t>
        </is>
      </c>
      <c r="B80" s="1" t="n">
        <v>45096</v>
      </c>
      <c r="C80" s="1" t="n">
        <v>45181</v>
      </c>
      <c r="D80" t="inlineStr">
        <is>
          <t>VÄSTERNORRLANDS LÄN</t>
        </is>
      </c>
      <c r="E80" t="inlineStr">
        <is>
          <t>SUNDSVALL</t>
        </is>
      </c>
      <c r="F80" t="inlineStr">
        <is>
          <t>SCA</t>
        </is>
      </c>
      <c r="G80" t="n">
        <v>11</v>
      </c>
      <c r="H80" t="n">
        <v>1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2</v>
      </c>
      <c r="R80" s="2" t="inlineStr">
        <is>
          <t>Lunglav
Revlummer</t>
        </is>
      </c>
      <c r="S80">
        <f>HYPERLINK("https://klasma.github.io/Logging_SUNDSVALL/artfynd/A 27385-2023.xlsx")</f>
        <v/>
      </c>
      <c r="T80">
        <f>HYPERLINK("https://klasma.github.io/Logging_SUNDSVALL/kartor/A 27385-2023.png")</f>
        <v/>
      </c>
      <c r="V80">
        <f>HYPERLINK("https://klasma.github.io/Logging_SUNDSVALL/klagomål/A 27385-2023.docx")</f>
        <v/>
      </c>
      <c r="W80">
        <f>HYPERLINK("https://klasma.github.io/Logging_SUNDSVALL/klagomålsmail/A 27385-2023.docx")</f>
        <v/>
      </c>
      <c r="X80">
        <f>HYPERLINK("https://klasma.github.io/Logging_SUNDSVALL/tillsyn/A 27385-2023.docx")</f>
        <v/>
      </c>
      <c r="Y80">
        <f>HYPERLINK("https://klasma.github.io/Logging_SUNDSVALL/tillsynsmail/A 27385-2023.docx")</f>
        <v/>
      </c>
    </row>
    <row r="81" ht="15" customHeight="1">
      <c r="A81" t="inlineStr">
        <is>
          <t>A 27380-2023</t>
        </is>
      </c>
      <c r="B81" s="1" t="n">
        <v>45096</v>
      </c>
      <c r="C81" s="1" t="n">
        <v>45181</v>
      </c>
      <c r="D81" t="inlineStr">
        <is>
          <t>VÄSTERNORRLANDS LÄN</t>
        </is>
      </c>
      <c r="E81" t="inlineStr">
        <is>
          <t>SUNDSVALL</t>
        </is>
      </c>
      <c r="F81" t="inlineStr">
        <is>
          <t>Naturvårdsverket</t>
        </is>
      </c>
      <c r="G81" t="n">
        <v>6.2</v>
      </c>
      <c r="H81" t="n">
        <v>0</v>
      </c>
      <c r="I81" t="n">
        <v>0</v>
      </c>
      <c r="J81" t="n">
        <v>2</v>
      </c>
      <c r="K81" t="n">
        <v>0</v>
      </c>
      <c r="L81" t="n">
        <v>0</v>
      </c>
      <c r="M81" t="n">
        <v>0</v>
      </c>
      <c r="N81" t="n">
        <v>0</v>
      </c>
      <c r="O81" t="n">
        <v>2</v>
      </c>
      <c r="P81" t="n">
        <v>0</v>
      </c>
      <c r="Q81" t="n">
        <v>2</v>
      </c>
      <c r="R81" s="2" t="inlineStr">
        <is>
          <t>Granticka
Gränsticka</t>
        </is>
      </c>
      <c r="S81">
        <f>HYPERLINK("https://klasma.github.io/Logging_SUNDSVALL/artfynd/A 27380-2023.xlsx")</f>
        <v/>
      </c>
      <c r="T81">
        <f>HYPERLINK("https://klasma.github.io/Logging_SUNDSVALL/kartor/A 27380-2023.png")</f>
        <v/>
      </c>
      <c r="V81">
        <f>HYPERLINK("https://klasma.github.io/Logging_SUNDSVALL/klagomål/A 27380-2023.docx")</f>
        <v/>
      </c>
      <c r="W81">
        <f>HYPERLINK("https://klasma.github.io/Logging_SUNDSVALL/klagomålsmail/A 27380-2023.docx")</f>
        <v/>
      </c>
      <c r="X81">
        <f>HYPERLINK("https://klasma.github.io/Logging_SUNDSVALL/tillsyn/A 27380-2023.docx")</f>
        <v/>
      </c>
      <c r="Y81">
        <f>HYPERLINK("https://klasma.github.io/Logging_SUNDSVALL/tillsynsmail/A 27380-2023.docx")</f>
        <v/>
      </c>
    </row>
    <row r="82" ht="15" customHeight="1">
      <c r="A82" t="inlineStr">
        <is>
          <t>A 28010-2023</t>
        </is>
      </c>
      <c r="B82" s="1" t="n">
        <v>45098</v>
      </c>
      <c r="C82" s="1" t="n">
        <v>45181</v>
      </c>
      <c r="D82" t="inlineStr">
        <is>
          <t>VÄSTERNORRLANDS LÄN</t>
        </is>
      </c>
      <c r="E82" t="inlineStr">
        <is>
          <t>SUNDSVALL</t>
        </is>
      </c>
      <c r="F82" t="inlineStr">
        <is>
          <t>SCA</t>
        </is>
      </c>
      <c r="G82" t="n">
        <v>8.4</v>
      </c>
      <c r="H82" t="n">
        <v>1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2</v>
      </c>
      <c r="R82" s="2" t="inlineStr">
        <is>
          <t>Lunglav
Revlummer</t>
        </is>
      </c>
      <c r="S82">
        <f>HYPERLINK("https://klasma.github.io/Logging_SUNDSVALL/artfynd/A 28010-2023.xlsx")</f>
        <v/>
      </c>
      <c r="T82">
        <f>HYPERLINK("https://klasma.github.io/Logging_SUNDSVALL/kartor/A 28010-2023.png")</f>
        <v/>
      </c>
      <c r="V82">
        <f>HYPERLINK("https://klasma.github.io/Logging_SUNDSVALL/klagomål/A 28010-2023.docx")</f>
        <v/>
      </c>
      <c r="W82">
        <f>HYPERLINK("https://klasma.github.io/Logging_SUNDSVALL/klagomålsmail/A 28010-2023.docx")</f>
        <v/>
      </c>
      <c r="X82">
        <f>HYPERLINK("https://klasma.github.io/Logging_SUNDSVALL/tillsyn/A 28010-2023.docx")</f>
        <v/>
      </c>
      <c r="Y82">
        <f>HYPERLINK("https://klasma.github.io/Logging_SUNDSVALL/tillsynsmail/A 28010-2023.docx")</f>
        <v/>
      </c>
    </row>
    <row r="83" ht="15" customHeight="1">
      <c r="A83" t="inlineStr">
        <is>
          <t>A 42954-2018</t>
        </is>
      </c>
      <c r="B83" s="1" t="n">
        <v>43355</v>
      </c>
      <c r="C83" s="1" t="n">
        <v>45181</v>
      </c>
      <c r="D83" t="inlineStr">
        <is>
          <t>VÄSTERNORRLANDS LÄN</t>
        </is>
      </c>
      <c r="E83" t="inlineStr">
        <is>
          <t>SUNDSVALL</t>
        </is>
      </c>
      <c r="G83" t="n">
        <v>2.1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Desmeknopp</t>
        </is>
      </c>
      <c r="S83">
        <f>HYPERLINK("https://klasma.github.io/Logging_SUNDSVALL/artfynd/A 42954-2018.xlsx")</f>
        <v/>
      </c>
      <c r="T83">
        <f>HYPERLINK("https://klasma.github.io/Logging_SUNDSVALL/kartor/A 42954-2018.png")</f>
        <v/>
      </c>
      <c r="V83">
        <f>HYPERLINK("https://klasma.github.io/Logging_SUNDSVALL/klagomål/A 42954-2018.docx")</f>
        <v/>
      </c>
      <c r="W83">
        <f>HYPERLINK("https://klasma.github.io/Logging_SUNDSVALL/klagomålsmail/A 42954-2018.docx")</f>
        <v/>
      </c>
      <c r="X83">
        <f>HYPERLINK("https://klasma.github.io/Logging_SUNDSVALL/tillsyn/A 42954-2018.docx")</f>
        <v/>
      </c>
      <c r="Y83">
        <f>HYPERLINK("https://klasma.github.io/Logging_SUNDSVALL/tillsynsmail/A 42954-2018.docx")</f>
        <v/>
      </c>
    </row>
    <row r="84" ht="15" customHeight="1">
      <c r="A84" t="inlineStr">
        <is>
          <t>A 49231-2018</t>
        </is>
      </c>
      <c r="B84" s="1" t="n">
        <v>43374</v>
      </c>
      <c r="C84" s="1" t="n">
        <v>45181</v>
      </c>
      <c r="D84" t="inlineStr">
        <is>
          <t>VÄSTERNORRLANDS LÄN</t>
        </is>
      </c>
      <c r="E84" t="inlineStr">
        <is>
          <t>SUNDSVALL</t>
        </is>
      </c>
      <c r="G84" t="n">
        <v>1.2</v>
      </c>
      <c r="H84" t="n">
        <v>1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1</v>
      </c>
      <c r="R84" s="2" t="inlineStr">
        <is>
          <t>Blåsippa</t>
        </is>
      </c>
      <c r="S84">
        <f>HYPERLINK("https://klasma.github.io/Logging_SUNDSVALL/artfynd/A 49231-2018.xlsx")</f>
        <v/>
      </c>
      <c r="T84">
        <f>HYPERLINK("https://klasma.github.io/Logging_SUNDSVALL/kartor/A 49231-2018.png")</f>
        <v/>
      </c>
      <c r="V84">
        <f>HYPERLINK("https://klasma.github.io/Logging_SUNDSVALL/klagomål/A 49231-2018.docx")</f>
        <v/>
      </c>
      <c r="W84">
        <f>HYPERLINK("https://klasma.github.io/Logging_SUNDSVALL/klagomålsmail/A 49231-2018.docx")</f>
        <v/>
      </c>
      <c r="X84">
        <f>HYPERLINK("https://klasma.github.io/Logging_SUNDSVALL/tillsyn/A 49231-2018.docx")</f>
        <v/>
      </c>
      <c r="Y84">
        <f>HYPERLINK("https://klasma.github.io/Logging_SUNDSVALL/tillsynsmail/A 49231-2018.docx")</f>
        <v/>
      </c>
    </row>
    <row r="85" ht="15" customHeight="1">
      <c r="A85" t="inlineStr">
        <is>
          <t>A 60181-2018</t>
        </is>
      </c>
      <c r="B85" s="1" t="n">
        <v>43412</v>
      </c>
      <c r="C85" s="1" t="n">
        <v>45181</v>
      </c>
      <c r="D85" t="inlineStr">
        <is>
          <t>VÄSTERNORRLANDS LÄN</t>
        </is>
      </c>
      <c r="E85" t="inlineStr">
        <is>
          <t>SUNDSVALL</t>
        </is>
      </c>
      <c r="G85" t="n">
        <v>7.7</v>
      </c>
      <c r="H85" t="n">
        <v>1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Talltita</t>
        </is>
      </c>
      <c r="S85">
        <f>HYPERLINK("https://klasma.github.io/Logging_SUNDSVALL/artfynd/A 60181-2018.xlsx")</f>
        <v/>
      </c>
      <c r="T85">
        <f>HYPERLINK("https://klasma.github.io/Logging_SUNDSVALL/kartor/A 60181-2018.png")</f>
        <v/>
      </c>
      <c r="V85">
        <f>HYPERLINK("https://klasma.github.io/Logging_SUNDSVALL/klagomål/A 60181-2018.docx")</f>
        <v/>
      </c>
      <c r="W85">
        <f>HYPERLINK("https://klasma.github.io/Logging_SUNDSVALL/klagomålsmail/A 60181-2018.docx")</f>
        <v/>
      </c>
      <c r="X85">
        <f>HYPERLINK("https://klasma.github.io/Logging_SUNDSVALL/tillsyn/A 60181-2018.docx")</f>
        <v/>
      </c>
      <c r="Y85">
        <f>HYPERLINK("https://klasma.github.io/Logging_SUNDSVALL/tillsynsmail/A 60181-2018.docx")</f>
        <v/>
      </c>
    </row>
    <row r="86" ht="15" customHeight="1">
      <c r="A86" t="inlineStr">
        <is>
          <t>A 1191-2019</t>
        </is>
      </c>
      <c r="B86" s="1" t="n">
        <v>43473</v>
      </c>
      <c r="C86" s="1" t="n">
        <v>45181</v>
      </c>
      <c r="D86" t="inlineStr">
        <is>
          <t>VÄSTERNORRLANDS LÄN</t>
        </is>
      </c>
      <c r="E86" t="inlineStr">
        <is>
          <t>SUNDSVALL</t>
        </is>
      </c>
      <c r="G86" t="n">
        <v>2</v>
      </c>
      <c r="H86" t="n">
        <v>0</v>
      </c>
      <c r="I86" t="n">
        <v>1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Nästlav</t>
        </is>
      </c>
      <c r="S86">
        <f>HYPERLINK("https://klasma.github.io/Logging_SUNDSVALL/artfynd/A 1191-2019.xlsx")</f>
        <v/>
      </c>
      <c r="T86">
        <f>HYPERLINK("https://klasma.github.io/Logging_SUNDSVALL/kartor/A 1191-2019.png")</f>
        <v/>
      </c>
      <c r="V86">
        <f>HYPERLINK("https://klasma.github.io/Logging_SUNDSVALL/klagomål/A 1191-2019.docx")</f>
        <v/>
      </c>
      <c r="W86">
        <f>HYPERLINK("https://klasma.github.io/Logging_SUNDSVALL/klagomålsmail/A 1191-2019.docx")</f>
        <v/>
      </c>
      <c r="X86">
        <f>HYPERLINK("https://klasma.github.io/Logging_SUNDSVALL/tillsyn/A 1191-2019.docx")</f>
        <v/>
      </c>
      <c r="Y86">
        <f>HYPERLINK("https://klasma.github.io/Logging_SUNDSVALL/tillsynsmail/A 1191-2019.docx")</f>
        <v/>
      </c>
    </row>
    <row r="87" ht="15" customHeight="1">
      <c r="A87" t="inlineStr">
        <is>
          <t>A 4918-2019</t>
        </is>
      </c>
      <c r="B87" s="1" t="n">
        <v>43479</v>
      </c>
      <c r="C87" s="1" t="n">
        <v>45181</v>
      </c>
      <c r="D87" t="inlineStr">
        <is>
          <t>VÄSTERNORRLANDS LÄN</t>
        </is>
      </c>
      <c r="E87" t="inlineStr">
        <is>
          <t>SUNDSVALL</t>
        </is>
      </c>
      <c r="F87" t="inlineStr">
        <is>
          <t>SCA</t>
        </is>
      </c>
      <c r="G87" t="n">
        <v>62.7</v>
      </c>
      <c r="H87" t="n">
        <v>0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1</v>
      </c>
      <c r="R87" s="2" t="inlineStr">
        <is>
          <t>Lunglav</t>
        </is>
      </c>
      <c r="S87">
        <f>HYPERLINK("https://klasma.github.io/Logging_SUNDSVALL/artfynd/A 4918-2019.xlsx")</f>
        <v/>
      </c>
      <c r="T87">
        <f>HYPERLINK("https://klasma.github.io/Logging_SUNDSVALL/kartor/A 4918-2019.png")</f>
        <v/>
      </c>
      <c r="V87">
        <f>HYPERLINK("https://klasma.github.io/Logging_SUNDSVALL/klagomål/A 4918-2019.docx")</f>
        <v/>
      </c>
      <c r="W87">
        <f>HYPERLINK("https://klasma.github.io/Logging_SUNDSVALL/klagomålsmail/A 4918-2019.docx")</f>
        <v/>
      </c>
      <c r="X87">
        <f>HYPERLINK("https://klasma.github.io/Logging_SUNDSVALL/tillsyn/A 4918-2019.docx")</f>
        <v/>
      </c>
      <c r="Y87">
        <f>HYPERLINK("https://klasma.github.io/Logging_SUNDSVALL/tillsynsmail/A 4918-2019.docx")</f>
        <v/>
      </c>
    </row>
    <row r="88" ht="15" customHeight="1">
      <c r="A88" t="inlineStr">
        <is>
          <t>A 27216-2019</t>
        </is>
      </c>
      <c r="B88" s="1" t="n">
        <v>43614</v>
      </c>
      <c r="C88" s="1" t="n">
        <v>45181</v>
      </c>
      <c r="D88" t="inlineStr">
        <is>
          <t>VÄSTERNORRLANDS LÄN</t>
        </is>
      </c>
      <c r="E88" t="inlineStr">
        <is>
          <t>SUNDSVALL</t>
        </is>
      </c>
      <c r="G88" t="n">
        <v>3.7</v>
      </c>
      <c r="H88" t="n">
        <v>1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Blåsippa</t>
        </is>
      </c>
      <c r="S88">
        <f>HYPERLINK("https://klasma.github.io/Logging_SUNDSVALL/artfynd/A 27216-2019.xlsx")</f>
        <v/>
      </c>
      <c r="T88">
        <f>HYPERLINK("https://klasma.github.io/Logging_SUNDSVALL/kartor/A 27216-2019.png")</f>
        <v/>
      </c>
      <c r="V88">
        <f>HYPERLINK("https://klasma.github.io/Logging_SUNDSVALL/klagomål/A 27216-2019.docx")</f>
        <v/>
      </c>
      <c r="W88">
        <f>HYPERLINK("https://klasma.github.io/Logging_SUNDSVALL/klagomålsmail/A 27216-2019.docx")</f>
        <v/>
      </c>
      <c r="X88">
        <f>HYPERLINK("https://klasma.github.io/Logging_SUNDSVALL/tillsyn/A 27216-2019.docx")</f>
        <v/>
      </c>
      <c r="Y88">
        <f>HYPERLINK("https://klasma.github.io/Logging_SUNDSVALL/tillsynsmail/A 27216-2019.docx")</f>
        <v/>
      </c>
    </row>
    <row r="89" ht="15" customHeight="1">
      <c r="A89" t="inlineStr">
        <is>
          <t>A 44607-2019</t>
        </is>
      </c>
      <c r="B89" s="1" t="n">
        <v>43711</v>
      </c>
      <c r="C89" s="1" t="n">
        <v>45181</v>
      </c>
      <c r="D89" t="inlineStr">
        <is>
          <t>VÄSTERNORRLANDS LÄN</t>
        </is>
      </c>
      <c r="E89" t="inlineStr">
        <is>
          <t>SUNDSVALL</t>
        </is>
      </c>
      <c r="G89" t="n">
        <v>1.6</v>
      </c>
      <c r="H89" t="n">
        <v>1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1</v>
      </c>
      <c r="R89" s="2" t="inlineStr">
        <is>
          <t>Järpe</t>
        </is>
      </c>
      <c r="S89">
        <f>HYPERLINK("https://klasma.github.io/Logging_SUNDSVALL/artfynd/A 44607-2019.xlsx")</f>
        <v/>
      </c>
      <c r="T89">
        <f>HYPERLINK("https://klasma.github.io/Logging_SUNDSVALL/kartor/A 44607-2019.png")</f>
        <v/>
      </c>
      <c r="V89">
        <f>HYPERLINK("https://klasma.github.io/Logging_SUNDSVALL/klagomål/A 44607-2019.docx")</f>
        <v/>
      </c>
      <c r="W89">
        <f>HYPERLINK("https://klasma.github.io/Logging_SUNDSVALL/klagomålsmail/A 44607-2019.docx")</f>
        <v/>
      </c>
      <c r="X89">
        <f>HYPERLINK("https://klasma.github.io/Logging_SUNDSVALL/tillsyn/A 44607-2019.docx")</f>
        <v/>
      </c>
      <c r="Y89">
        <f>HYPERLINK("https://klasma.github.io/Logging_SUNDSVALL/tillsynsmail/A 44607-2019.docx")</f>
        <v/>
      </c>
    </row>
    <row r="90" ht="15" customHeight="1">
      <c r="A90" t="inlineStr">
        <is>
          <t>A 970-2020</t>
        </is>
      </c>
      <c r="B90" s="1" t="n">
        <v>43839</v>
      </c>
      <c r="C90" s="1" t="n">
        <v>45181</v>
      </c>
      <c r="D90" t="inlineStr">
        <is>
          <t>VÄSTERNORRLANDS LÄN</t>
        </is>
      </c>
      <c r="E90" t="inlineStr">
        <is>
          <t>SUNDSVALL</t>
        </is>
      </c>
      <c r="F90" t="inlineStr">
        <is>
          <t>Kommuner</t>
        </is>
      </c>
      <c r="G90" t="n">
        <v>0.8</v>
      </c>
      <c r="H90" t="n">
        <v>1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Rosenfink</t>
        </is>
      </c>
      <c r="S90">
        <f>HYPERLINK("https://klasma.github.io/Logging_SUNDSVALL/artfynd/A 970-2020.xlsx")</f>
        <v/>
      </c>
      <c r="T90">
        <f>HYPERLINK("https://klasma.github.io/Logging_SUNDSVALL/kartor/A 970-2020.png")</f>
        <v/>
      </c>
      <c r="V90">
        <f>HYPERLINK("https://klasma.github.io/Logging_SUNDSVALL/klagomål/A 970-2020.docx")</f>
        <v/>
      </c>
      <c r="W90">
        <f>HYPERLINK("https://klasma.github.io/Logging_SUNDSVALL/klagomålsmail/A 970-2020.docx")</f>
        <v/>
      </c>
      <c r="X90">
        <f>HYPERLINK("https://klasma.github.io/Logging_SUNDSVALL/tillsyn/A 970-2020.docx")</f>
        <v/>
      </c>
      <c r="Y90">
        <f>HYPERLINK("https://klasma.github.io/Logging_SUNDSVALL/tillsynsmail/A 970-2020.docx")</f>
        <v/>
      </c>
    </row>
    <row r="91" ht="15" customHeight="1">
      <c r="A91" t="inlineStr">
        <is>
          <t>A 8894-2020</t>
        </is>
      </c>
      <c r="B91" s="1" t="n">
        <v>43878</v>
      </c>
      <c r="C91" s="1" t="n">
        <v>45181</v>
      </c>
      <c r="D91" t="inlineStr">
        <is>
          <t>VÄSTERNORRLANDS LÄN</t>
        </is>
      </c>
      <c r="E91" t="inlineStr">
        <is>
          <t>SUNDSVALL</t>
        </is>
      </c>
      <c r="G91" t="n">
        <v>7.2</v>
      </c>
      <c r="H91" t="n">
        <v>1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Utter</t>
        </is>
      </c>
      <c r="S91">
        <f>HYPERLINK("https://klasma.github.io/Logging_SUNDSVALL/artfynd/A 8894-2020.xlsx")</f>
        <v/>
      </c>
      <c r="T91">
        <f>HYPERLINK("https://klasma.github.io/Logging_SUNDSVALL/kartor/A 8894-2020.png")</f>
        <v/>
      </c>
      <c r="V91">
        <f>HYPERLINK("https://klasma.github.io/Logging_SUNDSVALL/klagomål/A 8894-2020.docx")</f>
        <v/>
      </c>
      <c r="W91">
        <f>HYPERLINK("https://klasma.github.io/Logging_SUNDSVALL/klagomålsmail/A 8894-2020.docx")</f>
        <v/>
      </c>
      <c r="X91">
        <f>HYPERLINK("https://klasma.github.io/Logging_SUNDSVALL/tillsyn/A 8894-2020.docx")</f>
        <v/>
      </c>
      <c r="Y91">
        <f>HYPERLINK("https://klasma.github.io/Logging_SUNDSVALL/tillsynsmail/A 8894-2020.docx")</f>
        <v/>
      </c>
    </row>
    <row r="92" ht="15" customHeight="1">
      <c r="A92" t="inlineStr">
        <is>
          <t>A 28764-2020</t>
        </is>
      </c>
      <c r="B92" s="1" t="n">
        <v>43999</v>
      </c>
      <c r="C92" s="1" t="n">
        <v>45181</v>
      </c>
      <c r="D92" t="inlineStr">
        <is>
          <t>VÄSTERNORRLANDS LÄN</t>
        </is>
      </c>
      <c r="E92" t="inlineStr">
        <is>
          <t>SUNDSVALL</t>
        </is>
      </c>
      <c r="F92" t="inlineStr">
        <is>
          <t>SCA</t>
        </is>
      </c>
      <c r="G92" t="n">
        <v>2.7</v>
      </c>
      <c r="H92" t="n">
        <v>1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1</v>
      </c>
      <c r="R92" s="2" t="inlineStr">
        <is>
          <t>Utter</t>
        </is>
      </c>
      <c r="S92">
        <f>HYPERLINK("https://klasma.github.io/Logging_SUNDSVALL/artfynd/A 28764-2020.xlsx")</f>
        <v/>
      </c>
      <c r="T92">
        <f>HYPERLINK("https://klasma.github.io/Logging_SUNDSVALL/kartor/A 28764-2020.png")</f>
        <v/>
      </c>
      <c r="V92">
        <f>HYPERLINK("https://klasma.github.io/Logging_SUNDSVALL/klagomål/A 28764-2020.docx")</f>
        <v/>
      </c>
      <c r="W92">
        <f>HYPERLINK("https://klasma.github.io/Logging_SUNDSVALL/klagomålsmail/A 28764-2020.docx")</f>
        <v/>
      </c>
      <c r="X92">
        <f>HYPERLINK("https://klasma.github.io/Logging_SUNDSVALL/tillsyn/A 28764-2020.docx")</f>
        <v/>
      </c>
      <c r="Y92">
        <f>HYPERLINK("https://klasma.github.io/Logging_SUNDSVALL/tillsynsmail/A 28764-2020.docx")</f>
        <v/>
      </c>
    </row>
    <row r="93" ht="15" customHeight="1">
      <c r="A93" t="inlineStr">
        <is>
          <t>A 50469-2020</t>
        </is>
      </c>
      <c r="B93" s="1" t="n">
        <v>44104</v>
      </c>
      <c r="C93" s="1" t="n">
        <v>45181</v>
      </c>
      <c r="D93" t="inlineStr">
        <is>
          <t>VÄSTERNORRLANDS LÄN</t>
        </is>
      </c>
      <c r="E93" t="inlineStr">
        <is>
          <t>SUNDSVALL</t>
        </is>
      </c>
      <c r="G93" t="n">
        <v>1.8</v>
      </c>
      <c r="H93" t="n">
        <v>1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1</v>
      </c>
      <c r="R93" s="2" t="inlineStr">
        <is>
          <t>Sötgräs</t>
        </is>
      </c>
      <c r="S93">
        <f>HYPERLINK("https://klasma.github.io/Logging_SUNDSVALL/artfynd/A 50469-2020.xlsx")</f>
        <v/>
      </c>
      <c r="T93">
        <f>HYPERLINK("https://klasma.github.io/Logging_SUNDSVALL/kartor/A 50469-2020.png")</f>
        <v/>
      </c>
      <c r="V93">
        <f>HYPERLINK("https://klasma.github.io/Logging_SUNDSVALL/klagomål/A 50469-2020.docx")</f>
        <v/>
      </c>
      <c r="W93">
        <f>HYPERLINK("https://klasma.github.io/Logging_SUNDSVALL/klagomålsmail/A 50469-2020.docx")</f>
        <v/>
      </c>
      <c r="X93">
        <f>HYPERLINK("https://klasma.github.io/Logging_SUNDSVALL/tillsyn/A 50469-2020.docx")</f>
        <v/>
      </c>
      <c r="Y93">
        <f>HYPERLINK("https://klasma.github.io/Logging_SUNDSVALL/tillsynsmail/A 50469-2020.docx")</f>
        <v/>
      </c>
    </row>
    <row r="94" ht="15" customHeight="1">
      <c r="A94" t="inlineStr">
        <is>
          <t>A 65632-2020</t>
        </is>
      </c>
      <c r="B94" s="1" t="n">
        <v>44173</v>
      </c>
      <c r="C94" s="1" t="n">
        <v>45181</v>
      </c>
      <c r="D94" t="inlineStr">
        <is>
          <t>VÄSTERNORRLANDS LÄN</t>
        </is>
      </c>
      <c r="E94" t="inlineStr">
        <is>
          <t>SUNDSVALL</t>
        </is>
      </c>
      <c r="F94" t="inlineStr">
        <is>
          <t>SCA</t>
        </is>
      </c>
      <c r="G94" t="n">
        <v>3.2</v>
      </c>
      <c r="H94" t="n">
        <v>0</v>
      </c>
      <c r="I94" t="n">
        <v>1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1</v>
      </c>
      <c r="R94" s="2" t="inlineStr">
        <is>
          <t>Dropptaggsvamp</t>
        </is>
      </c>
      <c r="S94">
        <f>HYPERLINK("https://klasma.github.io/Logging_SUNDSVALL/artfynd/A 65632-2020.xlsx")</f>
        <v/>
      </c>
      <c r="T94">
        <f>HYPERLINK("https://klasma.github.io/Logging_SUNDSVALL/kartor/A 65632-2020.png")</f>
        <v/>
      </c>
      <c r="V94">
        <f>HYPERLINK("https://klasma.github.io/Logging_SUNDSVALL/klagomål/A 65632-2020.docx")</f>
        <v/>
      </c>
      <c r="W94">
        <f>HYPERLINK("https://klasma.github.io/Logging_SUNDSVALL/klagomålsmail/A 65632-2020.docx")</f>
        <v/>
      </c>
      <c r="X94">
        <f>HYPERLINK("https://klasma.github.io/Logging_SUNDSVALL/tillsyn/A 65632-2020.docx")</f>
        <v/>
      </c>
      <c r="Y94">
        <f>HYPERLINK("https://klasma.github.io/Logging_SUNDSVALL/tillsynsmail/A 65632-2020.docx")</f>
        <v/>
      </c>
    </row>
    <row r="95" ht="15" customHeight="1">
      <c r="A95" t="inlineStr">
        <is>
          <t>A 15775-2021</t>
        </is>
      </c>
      <c r="B95" s="1" t="n">
        <v>44286</v>
      </c>
      <c r="C95" s="1" t="n">
        <v>45181</v>
      </c>
      <c r="D95" t="inlineStr">
        <is>
          <t>VÄSTERNORRLANDS LÄN</t>
        </is>
      </c>
      <c r="E95" t="inlineStr">
        <is>
          <t>SUNDSVALL</t>
        </is>
      </c>
      <c r="F95" t="inlineStr">
        <is>
          <t>Kommuner</t>
        </is>
      </c>
      <c r="G95" t="n">
        <v>8.4</v>
      </c>
      <c r="H95" t="n">
        <v>1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s="2" t="inlineStr">
        <is>
          <t>Vanlig padda</t>
        </is>
      </c>
      <c r="S95">
        <f>HYPERLINK("https://klasma.github.io/Logging_SUNDSVALL/artfynd/A 15775-2021.xlsx")</f>
        <v/>
      </c>
      <c r="T95">
        <f>HYPERLINK("https://klasma.github.io/Logging_SUNDSVALL/kartor/A 15775-2021.png")</f>
        <v/>
      </c>
      <c r="V95">
        <f>HYPERLINK("https://klasma.github.io/Logging_SUNDSVALL/klagomål/A 15775-2021.docx")</f>
        <v/>
      </c>
      <c r="W95">
        <f>HYPERLINK("https://klasma.github.io/Logging_SUNDSVALL/klagomålsmail/A 15775-2021.docx")</f>
        <v/>
      </c>
      <c r="X95">
        <f>HYPERLINK("https://klasma.github.io/Logging_SUNDSVALL/tillsyn/A 15775-2021.docx")</f>
        <v/>
      </c>
      <c r="Y95">
        <f>HYPERLINK("https://klasma.github.io/Logging_SUNDSVALL/tillsynsmail/A 15775-2021.docx")</f>
        <v/>
      </c>
    </row>
    <row r="96" ht="15" customHeight="1">
      <c r="A96" t="inlineStr">
        <is>
          <t>A 17333-2021</t>
        </is>
      </c>
      <c r="B96" s="1" t="n">
        <v>44298</v>
      </c>
      <c r="C96" s="1" t="n">
        <v>45181</v>
      </c>
      <c r="D96" t="inlineStr">
        <is>
          <t>VÄSTERNORRLANDS LÄN</t>
        </is>
      </c>
      <c r="E96" t="inlineStr">
        <is>
          <t>SUNDSVALL</t>
        </is>
      </c>
      <c r="G96" t="n">
        <v>6.7</v>
      </c>
      <c r="H96" t="n">
        <v>1</v>
      </c>
      <c r="I96" t="n">
        <v>0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1</v>
      </c>
      <c r="R96" s="2" t="inlineStr">
        <is>
          <t>Mindre hackspett</t>
        </is>
      </c>
      <c r="S96">
        <f>HYPERLINK("https://klasma.github.io/Logging_SUNDSVALL/artfynd/A 17333-2021.xlsx")</f>
        <v/>
      </c>
      <c r="T96">
        <f>HYPERLINK("https://klasma.github.io/Logging_SUNDSVALL/kartor/A 17333-2021.png")</f>
        <v/>
      </c>
      <c r="V96">
        <f>HYPERLINK("https://klasma.github.io/Logging_SUNDSVALL/klagomål/A 17333-2021.docx")</f>
        <v/>
      </c>
      <c r="W96">
        <f>HYPERLINK("https://klasma.github.io/Logging_SUNDSVALL/klagomålsmail/A 17333-2021.docx")</f>
        <v/>
      </c>
      <c r="X96">
        <f>HYPERLINK("https://klasma.github.io/Logging_SUNDSVALL/tillsyn/A 17333-2021.docx")</f>
        <v/>
      </c>
      <c r="Y96">
        <f>HYPERLINK("https://klasma.github.io/Logging_SUNDSVALL/tillsynsmail/A 17333-2021.docx")</f>
        <v/>
      </c>
    </row>
    <row r="97" ht="15" customHeight="1">
      <c r="A97" t="inlineStr">
        <is>
          <t>A 17331-2021</t>
        </is>
      </c>
      <c r="B97" s="1" t="n">
        <v>44298</v>
      </c>
      <c r="C97" s="1" t="n">
        <v>45181</v>
      </c>
      <c r="D97" t="inlineStr">
        <is>
          <t>VÄSTERNORRLANDS LÄN</t>
        </is>
      </c>
      <c r="E97" t="inlineStr">
        <is>
          <t>SUNDSVALL</t>
        </is>
      </c>
      <c r="G97" t="n">
        <v>3.7</v>
      </c>
      <c r="H97" t="n">
        <v>0</v>
      </c>
      <c r="I97" t="n">
        <v>0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1</v>
      </c>
      <c r="R97" s="2" t="inlineStr">
        <is>
          <t>Myskmåra</t>
        </is>
      </c>
      <c r="S97">
        <f>HYPERLINK("https://klasma.github.io/Logging_SUNDSVALL/artfynd/A 17331-2021.xlsx")</f>
        <v/>
      </c>
      <c r="T97">
        <f>HYPERLINK("https://klasma.github.io/Logging_SUNDSVALL/kartor/A 17331-2021.png")</f>
        <v/>
      </c>
      <c r="V97">
        <f>HYPERLINK("https://klasma.github.io/Logging_SUNDSVALL/klagomål/A 17331-2021.docx")</f>
        <v/>
      </c>
      <c r="W97">
        <f>HYPERLINK("https://klasma.github.io/Logging_SUNDSVALL/klagomålsmail/A 17331-2021.docx")</f>
        <v/>
      </c>
      <c r="X97">
        <f>HYPERLINK("https://klasma.github.io/Logging_SUNDSVALL/tillsyn/A 17331-2021.docx")</f>
        <v/>
      </c>
      <c r="Y97">
        <f>HYPERLINK("https://klasma.github.io/Logging_SUNDSVALL/tillsynsmail/A 17331-2021.docx")</f>
        <v/>
      </c>
    </row>
    <row r="98" ht="15" customHeight="1">
      <c r="A98" t="inlineStr">
        <is>
          <t>A 35913-2021</t>
        </is>
      </c>
      <c r="B98" s="1" t="n">
        <v>44387</v>
      </c>
      <c r="C98" s="1" t="n">
        <v>45181</v>
      </c>
      <c r="D98" t="inlineStr">
        <is>
          <t>VÄSTERNORRLANDS LÄN</t>
        </is>
      </c>
      <c r="E98" t="inlineStr">
        <is>
          <t>SUNDSVALL</t>
        </is>
      </c>
      <c r="G98" t="n">
        <v>4.4</v>
      </c>
      <c r="H98" t="n">
        <v>0</v>
      </c>
      <c r="I98" t="n">
        <v>0</v>
      </c>
      <c r="J98" t="n">
        <v>0</v>
      </c>
      <c r="K98" t="n">
        <v>1</v>
      </c>
      <c r="L98" t="n">
        <v>0</v>
      </c>
      <c r="M98" t="n">
        <v>0</v>
      </c>
      <c r="N98" t="n">
        <v>0</v>
      </c>
      <c r="O98" t="n">
        <v>1</v>
      </c>
      <c r="P98" t="n">
        <v>1</v>
      </c>
      <c r="Q98" t="n">
        <v>1</v>
      </c>
      <c r="R98" s="2" t="inlineStr">
        <is>
          <t>Rynkskinn</t>
        </is>
      </c>
      <c r="S98">
        <f>HYPERLINK("https://klasma.github.io/Logging_SUNDSVALL/artfynd/A 35913-2021.xlsx")</f>
        <v/>
      </c>
      <c r="T98">
        <f>HYPERLINK("https://klasma.github.io/Logging_SUNDSVALL/kartor/A 35913-2021.png")</f>
        <v/>
      </c>
      <c r="V98">
        <f>HYPERLINK("https://klasma.github.io/Logging_SUNDSVALL/klagomål/A 35913-2021.docx")</f>
        <v/>
      </c>
      <c r="W98">
        <f>HYPERLINK("https://klasma.github.io/Logging_SUNDSVALL/klagomålsmail/A 35913-2021.docx")</f>
        <v/>
      </c>
      <c r="X98">
        <f>HYPERLINK("https://klasma.github.io/Logging_SUNDSVALL/tillsyn/A 35913-2021.docx")</f>
        <v/>
      </c>
      <c r="Y98">
        <f>HYPERLINK("https://klasma.github.io/Logging_SUNDSVALL/tillsynsmail/A 35913-2021.docx")</f>
        <v/>
      </c>
    </row>
    <row r="99" ht="15" customHeight="1">
      <c r="A99" t="inlineStr">
        <is>
          <t>A 37614-2021</t>
        </is>
      </c>
      <c r="B99" s="1" t="n">
        <v>44399</v>
      </c>
      <c r="C99" s="1" t="n">
        <v>45181</v>
      </c>
      <c r="D99" t="inlineStr">
        <is>
          <t>VÄSTERNORRLANDS LÄN</t>
        </is>
      </c>
      <c r="E99" t="inlineStr">
        <is>
          <t>SUNDSVALL</t>
        </is>
      </c>
      <c r="F99" t="inlineStr">
        <is>
          <t>Naturvårdsverket</t>
        </is>
      </c>
      <c r="G99" t="n">
        <v>12</v>
      </c>
      <c r="H99" t="n">
        <v>0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Harticka</t>
        </is>
      </c>
      <c r="S99">
        <f>HYPERLINK("https://klasma.github.io/Logging_SUNDSVALL/artfynd/A 37614-2021.xlsx")</f>
        <v/>
      </c>
      <c r="T99">
        <f>HYPERLINK("https://klasma.github.io/Logging_SUNDSVALL/kartor/A 37614-2021.png")</f>
        <v/>
      </c>
      <c r="V99">
        <f>HYPERLINK("https://klasma.github.io/Logging_SUNDSVALL/klagomål/A 37614-2021.docx")</f>
        <v/>
      </c>
      <c r="W99">
        <f>HYPERLINK("https://klasma.github.io/Logging_SUNDSVALL/klagomålsmail/A 37614-2021.docx")</f>
        <v/>
      </c>
      <c r="X99">
        <f>HYPERLINK("https://klasma.github.io/Logging_SUNDSVALL/tillsyn/A 37614-2021.docx")</f>
        <v/>
      </c>
      <c r="Y99">
        <f>HYPERLINK("https://klasma.github.io/Logging_SUNDSVALL/tillsynsmail/A 37614-2021.docx")</f>
        <v/>
      </c>
    </row>
    <row r="100" ht="15" customHeight="1">
      <c r="A100" t="inlineStr">
        <is>
          <t>A 40123-2021</t>
        </is>
      </c>
      <c r="B100" s="1" t="n">
        <v>44418</v>
      </c>
      <c r="C100" s="1" t="n">
        <v>45181</v>
      </c>
      <c r="D100" t="inlineStr">
        <is>
          <t>VÄSTERNORRLANDS LÄN</t>
        </is>
      </c>
      <c r="E100" t="inlineStr">
        <is>
          <t>SUNDSVALL</t>
        </is>
      </c>
      <c r="G100" t="n">
        <v>12.2</v>
      </c>
      <c r="H100" t="n">
        <v>1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1</v>
      </c>
      <c r="R100" s="2" t="inlineStr">
        <is>
          <t>Skogsfru</t>
        </is>
      </c>
      <c r="S100">
        <f>HYPERLINK("https://klasma.github.io/Logging_SUNDSVALL/artfynd/A 40123-2021.xlsx")</f>
        <v/>
      </c>
      <c r="T100">
        <f>HYPERLINK("https://klasma.github.io/Logging_SUNDSVALL/kartor/A 40123-2021.png")</f>
        <v/>
      </c>
      <c r="V100">
        <f>HYPERLINK("https://klasma.github.io/Logging_SUNDSVALL/klagomål/A 40123-2021.docx")</f>
        <v/>
      </c>
      <c r="W100">
        <f>HYPERLINK("https://klasma.github.io/Logging_SUNDSVALL/klagomålsmail/A 40123-2021.docx")</f>
        <v/>
      </c>
      <c r="X100">
        <f>HYPERLINK("https://klasma.github.io/Logging_SUNDSVALL/tillsyn/A 40123-2021.docx")</f>
        <v/>
      </c>
      <c r="Y100">
        <f>HYPERLINK("https://klasma.github.io/Logging_SUNDSVALL/tillsynsmail/A 40123-2021.docx")</f>
        <v/>
      </c>
    </row>
    <row r="101" ht="15" customHeight="1">
      <c r="A101" t="inlineStr">
        <is>
          <t>A 50661-2021</t>
        </is>
      </c>
      <c r="B101" s="1" t="n">
        <v>44459</v>
      </c>
      <c r="C101" s="1" t="n">
        <v>45181</v>
      </c>
      <c r="D101" t="inlineStr">
        <is>
          <t>VÄSTERNORRLANDS LÄN</t>
        </is>
      </c>
      <c r="E101" t="inlineStr">
        <is>
          <t>SUNDSVALL</t>
        </is>
      </c>
      <c r="F101" t="inlineStr">
        <is>
          <t>Naturvårdsverket</t>
        </is>
      </c>
      <c r="G101" t="n">
        <v>4.2</v>
      </c>
      <c r="H101" t="n">
        <v>0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1</v>
      </c>
      <c r="R101" s="2" t="inlineStr">
        <is>
          <t>Garnlav</t>
        </is>
      </c>
      <c r="S101">
        <f>HYPERLINK("https://klasma.github.io/Logging_SUNDSVALL/artfynd/A 50661-2021.xlsx")</f>
        <v/>
      </c>
      <c r="T101">
        <f>HYPERLINK("https://klasma.github.io/Logging_SUNDSVALL/kartor/A 50661-2021.png")</f>
        <v/>
      </c>
      <c r="V101">
        <f>HYPERLINK("https://klasma.github.io/Logging_SUNDSVALL/klagomål/A 50661-2021.docx")</f>
        <v/>
      </c>
      <c r="W101">
        <f>HYPERLINK("https://klasma.github.io/Logging_SUNDSVALL/klagomålsmail/A 50661-2021.docx")</f>
        <v/>
      </c>
      <c r="X101">
        <f>HYPERLINK("https://klasma.github.io/Logging_SUNDSVALL/tillsyn/A 50661-2021.docx")</f>
        <v/>
      </c>
      <c r="Y101">
        <f>HYPERLINK("https://klasma.github.io/Logging_SUNDSVALL/tillsynsmail/A 50661-2021.docx")</f>
        <v/>
      </c>
    </row>
    <row r="102" ht="15" customHeight="1">
      <c r="A102" t="inlineStr">
        <is>
          <t>A 14676-2022</t>
        </is>
      </c>
      <c r="B102" s="1" t="n">
        <v>44655</v>
      </c>
      <c r="C102" s="1" t="n">
        <v>45181</v>
      </c>
      <c r="D102" t="inlineStr">
        <is>
          <t>VÄSTERNORRLANDS LÄN</t>
        </is>
      </c>
      <c r="E102" t="inlineStr">
        <is>
          <t>SUNDSVALL</t>
        </is>
      </c>
      <c r="G102" t="n">
        <v>10.1</v>
      </c>
      <c r="H102" t="n">
        <v>0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Granticka</t>
        </is>
      </c>
      <c r="S102">
        <f>HYPERLINK("https://klasma.github.io/Logging_SUNDSVALL/artfynd/A 14676-2022.xlsx")</f>
        <v/>
      </c>
      <c r="T102">
        <f>HYPERLINK("https://klasma.github.io/Logging_SUNDSVALL/kartor/A 14676-2022.png")</f>
        <v/>
      </c>
      <c r="V102">
        <f>HYPERLINK("https://klasma.github.io/Logging_SUNDSVALL/klagomål/A 14676-2022.docx")</f>
        <v/>
      </c>
      <c r="W102">
        <f>HYPERLINK("https://klasma.github.io/Logging_SUNDSVALL/klagomålsmail/A 14676-2022.docx")</f>
        <v/>
      </c>
      <c r="X102">
        <f>HYPERLINK("https://klasma.github.io/Logging_SUNDSVALL/tillsyn/A 14676-2022.docx")</f>
        <v/>
      </c>
      <c r="Y102">
        <f>HYPERLINK("https://klasma.github.io/Logging_SUNDSVALL/tillsynsmail/A 14676-2022.docx")</f>
        <v/>
      </c>
    </row>
    <row r="103" ht="15" customHeight="1">
      <c r="A103" t="inlineStr">
        <is>
          <t>A 19305-2022</t>
        </is>
      </c>
      <c r="B103" s="1" t="n">
        <v>44692</v>
      </c>
      <c r="C103" s="1" t="n">
        <v>45181</v>
      </c>
      <c r="D103" t="inlineStr">
        <is>
          <t>VÄSTERNORRLANDS LÄN</t>
        </is>
      </c>
      <c r="E103" t="inlineStr">
        <is>
          <t>SUNDSVALL</t>
        </is>
      </c>
      <c r="G103" t="n">
        <v>4.1</v>
      </c>
      <c r="H103" t="n">
        <v>0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Månlåsbräken</t>
        </is>
      </c>
      <c r="S103">
        <f>HYPERLINK("https://klasma.github.io/Logging_SUNDSVALL/artfynd/A 19305-2022.xlsx")</f>
        <v/>
      </c>
      <c r="T103">
        <f>HYPERLINK("https://klasma.github.io/Logging_SUNDSVALL/kartor/A 19305-2022.png")</f>
        <v/>
      </c>
      <c r="V103">
        <f>HYPERLINK("https://klasma.github.io/Logging_SUNDSVALL/klagomål/A 19305-2022.docx")</f>
        <v/>
      </c>
      <c r="W103">
        <f>HYPERLINK("https://klasma.github.io/Logging_SUNDSVALL/klagomålsmail/A 19305-2022.docx")</f>
        <v/>
      </c>
      <c r="X103">
        <f>HYPERLINK("https://klasma.github.io/Logging_SUNDSVALL/tillsyn/A 19305-2022.docx")</f>
        <v/>
      </c>
      <c r="Y103">
        <f>HYPERLINK("https://klasma.github.io/Logging_SUNDSVALL/tillsynsmail/A 19305-2022.docx")</f>
        <v/>
      </c>
    </row>
    <row r="104" ht="15" customHeight="1">
      <c r="A104" t="inlineStr">
        <is>
          <t>A 23711-2022</t>
        </is>
      </c>
      <c r="B104" s="1" t="n">
        <v>44722</v>
      </c>
      <c r="C104" s="1" t="n">
        <v>45181</v>
      </c>
      <c r="D104" t="inlineStr">
        <is>
          <t>VÄSTERNORRLANDS LÄN</t>
        </is>
      </c>
      <c r="E104" t="inlineStr">
        <is>
          <t>SUNDSVALL</t>
        </is>
      </c>
      <c r="F104" t="inlineStr">
        <is>
          <t>Holmen skog AB</t>
        </is>
      </c>
      <c r="G104" t="n">
        <v>2.8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Garnlav</t>
        </is>
      </c>
      <c r="S104">
        <f>HYPERLINK("https://klasma.github.io/Logging_SUNDSVALL/artfynd/A 23711-2022.xlsx")</f>
        <v/>
      </c>
      <c r="T104">
        <f>HYPERLINK("https://klasma.github.io/Logging_SUNDSVALL/kartor/A 23711-2022.png")</f>
        <v/>
      </c>
      <c r="V104">
        <f>HYPERLINK("https://klasma.github.io/Logging_SUNDSVALL/klagomål/A 23711-2022.docx")</f>
        <v/>
      </c>
      <c r="W104">
        <f>HYPERLINK("https://klasma.github.io/Logging_SUNDSVALL/klagomålsmail/A 23711-2022.docx")</f>
        <v/>
      </c>
      <c r="X104">
        <f>HYPERLINK("https://klasma.github.io/Logging_SUNDSVALL/tillsyn/A 23711-2022.docx")</f>
        <v/>
      </c>
      <c r="Y104">
        <f>HYPERLINK("https://klasma.github.io/Logging_SUNDSVALL/tillsynsmail/A 23711-2022.docx")</f>
        <v/>
      </c>
    </row>
    <row r="105" ht="15" customHeight="1">
      <c r="A105" t="inlineStr">
        <is>
          <t>A 25250-2022</t>
        </is>
      </c>
      <c r="B105" s="1" t="n">
        <v>44729</v>
      </c>
      <c r="C105" s="1" t="n">
        <v>45181</v>
      </c>
      <c r="D105" t="inlineStr">
        <is>
          <t>VÄSTERNORRLANDS LÄN</t>
        </is>
      </c>
      <c r="E105" t="inlineStr">
        <is>
          <t>SUNDSVALL</t>
        </is>
      </c>
      <c r="F105" t="inlineStr">
        <is>
          <t>SCA</t>
        </is>
      </c>
      <c r="G105" t="n">
        <v>2.6</v>
      </c>
      <c r="H105" t="n">
        <v>0</v>
      </c>
      <c r="I105" t="n">
        <v>1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1</v>
      </c>
      <c r="R105" s="2" t="inlineStr">
        <is>
          <t>Stor aspticka</t>
        </is>
      </c>
      <c r="S105">
        <f>HYPERLINK("https://klasma.github.io/Logging_SUNDSVALL/artfynd/A 25250-2022.xlsx")</f>
        <v/>
      </c>
      <c r="T105">
        <f>HYPERLINK("https://klasma.github.io/Logging_SUNDSVALL/kartor/A 25250-2022.png")</f>
        <v/>
      </c>
      <c r="V105">
        <f>HYPERLINK("https://klasma.github.io/Logging_SUNDSVALL/klagomål/A 25250-2022.docx")</f>
        <v/>
      </c>
      <c r="W105">
        <f>HYPERLINK("https://klasma.github.io/Logging_SUNDSVALL/klagomålsmail/A 25250-2022.docx")</f>
        <v/>
      </c>
      <c r="X105">
        <f>HYPERLINK("https://klasma.github.io/Logging_SUNDSVALL/tillsyn/A 25250-2022.docx")</f>
        <v/>
      </c>
      <c r="Y105">
        <f>HYPERLINK("https://klasma.github.io/Logging_SUNDSVALL/tillsynsmail/A 25250-2022.docx")</f>
        <v/>
      </c>
    </row>
    <row r="106" ht="15" customHeight="1">
      <c r="A106" t="inlineStr">
        <is>
          <t>A 44760-2022</t>
        </is>
      </c>
      <c r="B106" s="1" t="n">
        <v>44840</v>
      </c>
      <c r="C106" s="1" t="n">
        <v>45181</v>
      </c>
      <c r="D106" t="inlineStr">
        <is>
          <t>VÄSTERNORRLANDS LÄN</t>
        </is>
      </c>
      <c r="E106" t="inlineStr">
        <is>
          <t>SUNDSVALL</t>
        </is>
      </c>
      <c r="F106" t="inlineStr">
        <is>
          <t>SCA</t>
        </is>
      </c>
      <c r="G106" t="n">
        <v>15.2</v>
      </c>
      <c r="H106" t="n">
        <v>0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1</v>
      </c>
      <c r="R106" s="2" t="inlineStr">
        <is>
          <t>Garnlav</t>
        </is>
      </c>
      <c r="S106">
        <f>HYPERLINK("https://klasma.github.io/Logging_SUNDSVALL/artfynd/A 44760-2022.xlsx")</f>
        <v/>
      </c>
      <c r="T106">
        <f>HYPERLINK("https://klasma.github.io/Logging_SUNDSVALL/kartor/A 44760-2022.png")</f>
        <v/>
      </c>
      <c r="V106">
        <f>HYPERLINK("https://klasma.github.io/Logging_SUNDSVALL/klagomål/A 44760-2022.docx")</f>
        <v/>
      </c>
      <c r="W106">
        <f>HYPERLINK("https://klasma.github.io/Logging_SUNDSVALL/klagomålsmail/A 44760-2022.docx")</f>
        <v/>
      </c>
      <c r="X106">
        <f>HYPERLINK("https://klasma.github.io/Logging_SUNDSVALL/tillsyn/A 44760-2022.docx")</f>
        <v/>
      </c>
      <c r="Y106">
        <f>HYPERLINK("https://klasma.github.io/Logging_SUNDSVALL/tillsynsmail/A 44760-2022.docx")</f>
        <v/>
      </c>
    </row>
    <row r="107" ht="15" customHeight="1">
      <c r="A107" t="inlineStr">
        <is>
          <t>A 45698-2022</t>
        </is>
      </c>
      <c r="B107" s="1" t="n">
        <v>44845</v>
      </c>
      <c r="C107" s="1" t="n">
        <v>45181</v>
      </c>
      <c r="D107" t="inlineStr">
        <is>
          <t>VÄSTERNORRLANDS LÄN</t>
        </is>
      </c>
      <c r="E107" t="inlineStr">
        <is>
          <t>SUNDSVALL</t>
        </is>
      </c>
      <c r="F107" t="inlineStr">
        <is>
          <t>SCA</t>
        </is>
      </c>
      <c r="G107" t="n">
        <v>3.4</v>
      </c>
      <c r="H107" t="n">
        <v>1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1</v>
      </c>
      <c r="R107" s="2" t="inlineStr">
        <is>
          <t>Revlummer</t>
        </is>
      </c>
      <c r="S107">
        <f>HYPERLINK("https://klasma.github.io/Logging_SUNDSVALL/artfynd/A 45698-2022.xlsx")</f>
        <v/>
      </c>
      <c r="T107">
        <f>HYPERLINK("https://klasma.github.io/Logging_SUNDSVALL/kartor/A 45698-2022.png")</f>
        <v/>
      </c>
      <c r="V107">
        <f>HYPERLINK("https://klasma.github.io/Logging_SUNDSVALL/klagomål/A 45698-2022.docx")</f>
        <v/>
      </c>
      <c r="W107">
        <f>HYPERLINK("https://klasma.github.io/Logging_SUNDSVALL/klagomålsmail/A 45698-2022.docx")</f>
        <v/>
      </c>
      <c r="X107">
        <f>HYPERLINK("https://klasma.github.io/Logging_SUNDSVALL/tillsyn/A 45698-2022.docx")</f>
        <v/>
      </c>
      <c r="Y107">
        <f>HYPERLINK("https://klasma.github.io/Logging_SUNDSVALL/tillsynsmail/A 45698-2022.docx")</f>
        <v/>
      </c>
    </row>
    <row r="108" ht="15" customHeight="1">
      <c r="A108" t="inlineStr">
        <is>
          <t>A 47807-2022</t>
        </is>
      </c>
      <c r="B108" s="1" t="n">
        <v>44854</v>
      </c>
      <c r="C108" s="1" t="n">
        <v>45181</v>
      </c>
      <c r="D108" t="inlineStr">
        <is>
          <t>VÄSTERNORRLANDS LÄN</t>
        </is>
      </c>
      <c r="E108" t="inlineStr">
        <is>
          <t>SUNDSVALL</t>
        </is>
      </c>
      <c r="F108" t="inlineStr">
        <is>
          <t>SCA</t>
        </is>
      </c>
      <c r="G108" t="n">
        <v>9.9</v>
      </c>
      <c r="H108" t="n">
        <v>0</v>
      </c>
      <c r="I108" t="n">
        <v>0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1</v>
      </c>
      <c r="R108" s="2" t="inlineStr">
        <is>
          <t>Garnlav</t>
        </is>
      </c>
      <c r="S108">
        <f>HYPERLINK("https://klasma.github.io/Logging_SUNDSVALL/artfynd/A 47807-2022.xlsx")</f>
        <v/>
      </c>
      <c r="T108">
        <f>HYPERLINK("https://klasma.github.io/Logging_SUNDSVALL/kartor/A 47807-2022.png")</f>
        <v/>
      </c>
      <c r="V108">
        <f>HYPERLINK("https://klasma.github.io/Logging_SUNDSVALL/klagomål/A 47807-2022.docx")</f>
        <v/>
      </c>
      <c r="W108">
        <f>HYPERLINK("https://klasma.github.io/Logging_SUNDSVALL/klagomålsmail/A 47807-2022.docx")</f>
        <v/>
      </c>
      <c r="X108">
        <f>HYPERLINK("https://klasma.github.io/Logging_SUNDSVALL/tillsyn/A 47807-2022.docx")</f>
        <v/>
      </c>
      <c r="Y108">
        <f>HYPERLINK("https://klasma.github.io/Logging_SUNDSVALL/tillsynsmail/A 47807-2022.docx")</f>
        <v/>
      </c>
    </row>
    <row r="109" ht="15" customHeight="1">
      <c r="A109" t="inlineStr">
        <is>
          <t>A 49850-2022</t>
        </is>
      </c>
      <c r="B109" s="1" t="n">
        <v>44862</v>
      </c>
      <c r="C109" s="1" t="n">
        <v>45181</v>
      </c>
      <c r="D109" t="inlineStr">
        <is>
          <t>VÄSTERNORRLANDS LÄN</t>
        </is>
      </c>
      <c r="E109" t="inlineStr">
        <is>
          <t>SUNDSVALL</t>
        </is>
      </c>
      <c r="F109" t="inlineStr">
        <is>
          <t>SCA</t>
        </is>
      </c>
      <c r="G109" t="n">
        <v>5.5</v>
      </c>
      <c r="H109" t="n">
        <v>0</v>
      </c>
      <c r="I109" t="n">
        <v>0</v>
      </c>
      <c r="J109" t="n">
        <v>0</v>
      </c>
      <c r="K109" t="n">
        <v>1</v>
      </c>
      <c r="L109" t="n">
        <v>0</v>
      </c>
      <c r="M109" t="n">
        <v>0</v>
      </c>
      <c r="N109" t="n">
        <v>0</v>
      </c>
      <c r="O109" t="n">
        <v>1</v>
      </c>
      <c r="P109" t="n">
        <v>1</v>
      </c>
      <c r="Q109" t="n">
        <v>1</v>
      </c>
      <c r="R109" s="2" t="inlineStr">
        <is>
          <t>Rynkskinn</t>
        </is>
      </c>
      <c r="S109">
        <f>HYPERLINK("https://klasma.github.io/Logging_SUNDSVALL/artfynd/A 49850-2022.xlsx")</f>
        <v/>
      </c>
      <c r="T109">
        <f>HYPERLINK("https://klasma.github.io/Logging_SUNDSVALL/kartor/A 49850-2022.png")</f>
        <v/>
      </c>
      <c r="V109">
        <f>HYPERLINK("https://klasma.github.io/Logging_SUNDSVALL/klagomål/A 49850-2022.docx")</f>
        <v/>
      </c>
      <c r="W109">
        <f>HYPERLINK("https://klasma.github.io/Logging_SUNDSVALL/klagomålsmail/A 49850-2022.docx")</f>
        <v/>
      </c>
      <c r="X109">
        <f>HYPERLINK("https://klasma.github.io/Logging_SUNDSVALL/tillsyn/A 49850-2022.docx")</f>
        <v/>
      </c>
      <c r="Y109">
        <f>HYPERLINK("https://klasma.github.io/Logging_SUNDSVALL/tillsynsmail/A 49850-2022.docx")</f>
        <v/>
      </c>
    </row>
    <row r="110" ht="15" customHeight="1">
      <c r="A110" t="inlineStr">
        <is>
          <t>A 57281-2022</t>
        </is>
      </c>
      <c r="B110" s="1" t="n">
        <v>44895</v>
      </c>
      <c r="C110" s="1" t="n">
        <v>45181</v>
      </c>
      <c r="D110" t="inlineStr">
        <is>
          <t>VÄSTERNORRLANDS LÄN</t>
        </is>
      </c>
      <c r="E110" t="inlineStr">
        <is>
          <t>SUNDSVALL</t>
        </is>
      </c>
      <c r="F110" t="inlineStr">
        <is>
          <t>Naturvårdsverket</t>
        </is>
      </c>
      <c r="G110" t="n">
        <v>9.300000000000001</v>
      </c>
      <c r="H110" t="n">
        <v>1</v>
      </c>
      <c r="I110" t="n">
        <v>0</v>
      </c>
      <c r="J110" t="n">
        <v>1</v>
      </c>
      <c r="K110" t="n">
        <v>0</v>
      </c>
      <c r="L110" t="n">
        <v>0</v>
      </c>
      <c r="M110" t="n">
        <v>0</v>
      </c>
      <c r="N110" t="n">
        <v>0</v>
      </c>
      <c r="O110" t="n">
        <v>1</v>
      </c>
      <c r="P110" t="n">
        <v>0</v>
      </c>
      <c r="Q110" t="n">
        <v>1</v>
      </c>
      <c r="R110" s="2" t="inlineStr">
        <is>
          <t>Tretåig hackspett</t>
        </is>
      </c>
      <c r="S110">
        <f>HYPERLINK("https://klasma.github.io/Logging_SUNDSVALL/artfynd/A 57281-2022.xlsx")</f>
        <v/>
      </c>
      <c r="T110">
        <f>HYPERLINK("https://klasma.github.io/Logging_SUNDSVALL/kartor/A 57281-2022.png")</f>
        <v/>
      </c>
      <c r="V110">
        <f>HYPERLINK("https://klasma.github.io/Logging_SUNDSVALL/klagomål/A 57281-2022.docx")</f>
        <v/>
      </c>
      <c r="W110">
        <f>HYPERLINK("https://klasma.github.io/Logging_SUNDSVALL/klagomålsmail/A 57281-2022.docx")</f>
        <v/>
      </c>
      <c r="X110">
        <f>HYPERLINK("https://klasma.github.io/Logging_SUNDSVALL/tillsyn/A 57281-2022.docx")</f>
        <v/>
      </c>
      <c r="Y110">
        <f>HYPERLINK("https://klasma.github.io/Logging_SUNDSVALL/tillsynsmail/A 57281-2022.docx")</f>
        <v/>
      </c>
    </row>
    <row r="111" ht="15" customHeight="1">
      <c r="A111" t="inlineStr">
        <is>
          <t>A 58186-2022</t>
        </is>
      </c>
      <c r="B111" s="1" t="n">
        <v>44900</v>
      </c>
      <c r="C111" s="1" t="n">
        <v>45181</v>
      </c>
      <c r="D111" t="inlineStr">
        <is>
          <t>VÄSTERNORRLANDS LÄN</t>
        </is>
      </c>
      <c r="E111" t="inlineStr">
        <is>
          <t>SUNDSVALL</t>
        </is>
      </c>
      <c r="F111" t="inlineStr">
        <is>
          <t>SCA</t>
        </is>
      </c>
      <c r="G111" t="n">
        <v>9.300000000000001</v>
      </c>
      <c r="H111" t="n">
        <v>1</v>
      </c>
      <c r="I111" t="n">
        <v>1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1</v>
      </c>
      <c r="R111" s="2" t="inlineStr">
        <is>
          <t>Plattlummer</t>
        </is>
      </c>
      <c r="S111">
        <f>HYPERLINK("https://klasma.github.io/Logging_SUNDSVALL/artfynd/A 58186-2022.xlsx")</f>
        <v/>
      </c>
      <c r="T111">
        <f>HYPERLINK("https://klasma.github.io/Logging_SUNDSVALL/kartor/A 58186-2022.png")</f>
        <v/>
      </c>
      <c r="V111">
        <f>HYPERLINK("https://klasma.github.io/Logging_SUNDSVALL/klagomål/A 58186-2022.docx")</f>
        <v/>
      </c>
      <c r="W111">
        <f>HYPERLINK("https://klasma.github.io/Logging_SUNDSVALL/klagomålsmail/A 58186-2022.docx")</f>
        <v/>
      </c>
      <c r="X111">
        <f>HYPERLINK("https://klasma.github.io/Logging_SUNDSVALL/tillsyn/A 58186-2022.docx")</f>
        <v/>
      </c>
      <c r="Y111">
        <f>HYPERLINK("https://klasma.github.io/Logging_SUNDSVALL/tillsynsmail/A 58186-2022.docx")</f>
        <v/>
      </c>
    </row>
    <row r="112" ht="15" customHeight="1">
      <c r="A112" t="inlineStr">
        <is>
          <t>A 7524-2023</t>
        </is>
      </c>
      <c r="B112" s="1" t="n">
        <v>44971</v>
      </c>
      <c r="C112" s="1" t="n">
        <v>45181</v>
      </c>
      <c r="D112" t="inlineStr">
        <is>
          <t>VÄSTERNORRLANDS LÄN</t>
        </is>
      </c>
      <c r="E112" t="inlineStr">
        <is>
          <t>SUNDSVALL</t>
        </is>
      </c>
      <c r="F112" t="inlineStr">
        <is>
          <t>Naturvårdsverket</t>
        </is>
      </c>
      <c r="G112" t="n">
        <v>5.2</v>
      </c>
      <c r="H112" t="n">
        <v>0</v>
      </c>
      <c r="I112" t="n">
        <v>0</v>
      </c>
      <c r="J112" t="n">
        <v>0</v>
      </c>
      <c r="K112" t="n">
        <v>1</v>
      </c>
      <c r="L112" t="n">
        <v>0</v>
      </c>
      <c r="M112" t="n">
        <v>0</v>
      </c>
      <c r="N112" t="n">
        <v>0</v>
      </c>
      <c r="O112" t="n">
        <v>1</v>
      </c>
      <c r="P112" t="n">
        <v>1</v>
      </c>
      <c r="Q112" t="n">
        <v>1</v>
      </c>
      <c r="R112" s="2" t="inlineStr">
        <is>
          <t>Rynkskinn</t>
        </is>
      </c>
      <c r="S112">
        <f>HYPERLINK("https://klasma.github.io/Logging_SUNDSVALL/artfynd/A 7524-2023.xlsx")</f>
        <v/>
      </c>
      <c r="T112">
        <f>HYPERLINK("https://klasma.github.io/Logging_SUNDSVALL/kartor/A 7524-2023.png")</f>
        <v/>
      </c>
      <c r="V112">
        <f>HYPERLINK("https://klasma.github.io/Logging_SUNDSVALL/klagomål/A 7524-2023.docx")</f>
        <v/>
      </c>
      <c r="W112">
        <f>HYPERLINK("https://klasma.github.io/Logging_SUNDSVALL/klagomålsmail/A 7524-2023.docx")</f>
        <v/>
      </c>
      <c r="X112">
        <f>HYPERLINK("https://klasma.github.io/Logging_SUNDSVALL/tillsyn/A 7524-2023.docx")</f>
        <v/>
      </c>
      <c r="Y112">
        <f>HYPERLINK("https://klasma.github.io/Logging_SUNDSVALL/tillsynsmail/A 7524-2023.docx")</f>
        <v/>
      </c>
    </row>
    <row r="113" ht="15" customHeight="1">
      <c r="A113" t="inlineStr">
        <is>
          <t>A 12058-2023</t>
        </is>
      </c>
      <c r="B113" s="1" t="n">
        <v>44995</v>
      </c>
      <c r="C113" s="1" t="n">
        <v>45181</v>
      </c>
      <c r="D113" t="inlineStr">
        <is>
          <t>VÄSTERNORRLANDS LÄN</t>
        </is>
      </c>
      <c r="E113" t="inlineStr">
        <is>
          <t>SUNDSVALL</t>
        </is>
      </c>
      <c r="F113" t="inlineStr">
        <is>
          <t>SCA</t>
        </is>
      </c>
      <c r="G113" t="n">
        <v>4</v>
      </c>
      <c r="H113" t="n">
        <v>1</v>
      </c>
      <c r="I113" t="n">
        <v>0</v>
      </c>
      <c r="J113" t="n">
        <v>1</v>
      </c>
      <c r="K113" t="n">
        <v>0</v>
      </c>
      <c r="L113" t="n">
        <v>0</v>
      </c>
      <c r="M113" t="n">
        <v>0</v>
      </c>
      <c r="N113" t="n">
        <v>0</v>
      </c>
      <c r="O113" t="n">
        <v>1</v>
      </c>
      <c r="P113" t="n">
        <v>0</v>
      </c>
      <c r="Q113" t="n">
        <v>1</v>
      </c>
      <c r="R113" s="2" t="inlineStr">
        <is>
          <t>Fiskmås</t>
        </is>
      </c>
      <c r="S113">
        <f>HYPERLINK("https://klasma.github.io/Logging_SUNDSVALL/artfynd/A 12058-2023.xlsx")</f>
        <v/>
      </c>
      <c r="T113">
        <f>HYPERLINK("https://klasma.github.io/Logging_SUNDSVALL/kartor/A 12058-2023.png")</f>
        <v/>
      </c>
      <c r="V113">
        <f>HYPERLINK("https://klasma.github.io/Logging_SUNDSVALL/klagomål/A 12058-2023.docx")</f>
        <v/>
      </c>
      <c r="W113">
        <f>HYPERLINK("https://klasma.github.io/Logging_SUNDSVALL/klagomålsmail/A 12058-2023.docx")</f>
        <v/>
      </c>
      <c r="X113">
        <f>HYPERLINK("https://klasma.github.io/Logging_SUNDSVALL/tillsyn/A 12058-2023.docx")</f>
        <v/>
      </c>
      <c r="Y113">
        <f>HYPERLINK("https://klasma.github.io/Logging_SUNDSVALL/tillsynsmail/A 12058-2023.docx")</f>
        <v/>
      </c>
    </row>
    <row r="114" ht="15" customHeight="1">
      <c r="A114" t="inlineStr">
        <is>
          <t>A 13692-2023</t>
        </is>
      </c>
      <c r="B114" s="1" t="n">
        <v>45006</v>
      </c>
      <c r="C114" s="1" t="n">
        <v>45181</v>
      </c>
      <c r="D114" t="inlineStr">
        <is>
          <t>VÄSTERNORRLANDS LÄN</t>
        </is>
      </c>
      <c r="E114" t="inlineStr">
        <is>
          <t>SUNDSVALL</t>
        </is>
      </c>
      <c r="G114" t="n">
        <v>4.2</v>
      </c>
      <c r="H114" t="n">
        <v>0</v>
      </c>
      <c r="I114" t="n">
        <v>0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1</v>
      </c>
      <c r="R114" s="2" t="inlineStr">
        <is>
          <t>Lunglav</t>
        </is>
      </c>
      <c r="S114">
        <f>HYPERLINK("https://klasma.github.io/Logging_SUNDSVALL/artfynd/A 13692-2023.xlsx")</f>
        <v/>
      </c>
      <c r="T114">
        <f>HYPERLINK("https://klasma.github.io/Logging_SUNDSVALL/kartor/A 13692-2023.png")</f>
        <v/>
      </c>
      <c r="V114">
        <f>HYPERLINK("https://klasma.github.io/Logging_SUNDSVALL/klagomål/A 13692-2023.docx")</f>
        <v/>
      </c>
      <c r="W114">
        <f>HYPERLINK("https://klasma.github.io/Logging_SUNDSVALL/klagomålsmail/A 13692-2023.docx")</f>
        <v/>
      </c>
      <c r="X114">
        <f>HYPERLINK("https://klasma.github.io/Logging_SUNDSVALL/tillsyn/A 13692-2023.docx")</f>
        <v/>
      </c>
      <c r="Y114">
        <f>HYPERLINK("https://klasma.github.io/Logging_SUNDSVALL/tillsynsmail/A 13692-2023.docx")</f>
        <v/>
      </c>
    </row>
    <row r="115" ht="15" customHeight="1">
      <c r="A115" t="inlineStr">
        <is>
          <t>A 15346-2023</t>
        </is>
      </c>
      <c r="B115" s="1" t="n">
        <v>45016</v>
      </c>
      <c r="C115" s="1" t="n">
        <v>45181</v>
      </c>
      <c r="D115" t="inlineStr">
        <is>
          <t>VÄSTERNORRLANDS LÄN</t>
        </is>
      </c>
      <c r="E115" t="inlineStr">
        <is>
          <t>SUNDSVALL</t>
        </is>
      </c>
      <c r="G115" t="n">
        <v>3.8</v>
      </c>
      <c r="H115" t="n">
        <v>1</v>
      </c>
      <c r="I115" t="n">
        <v>0</v>
      </c>
      <c r="J115" t="n">
        <v>1</v>
      </c>
      <c r="K115" t="n">
        <v>0</v>
      </c>
      <c r="L115" t="n">
        <v>0</v>
      </c>
      <c r="M115" t="n">
        <v>0</v>
      </c>
      <c r="N115" t="n">
        <v>0</v>
      </c>
      <c r="O115" t="n">
        <v>1</v>
      </c>
      <c r="P115" t="n">
        <v>0</v>
      </c>
      <c r="Q115" t="n">
        <v>1</v>
      </c>
      <c r="R115" s="2" t="inlineStr">
        <is>
          <t>Tretåig hackspett</t>
        </is>
      </c>
      <c r="S115">
        <f>HYPERLINK("https://klasma.github.io/Logging_SUNDSVALL/artfynd/A 15346-2023.xlsx")</f>
        <v/>
      </c>
      <c r="T115">
        <f>HYPERLINK("https://klasma.github.io/Logging_SUNDSVALL/kartor/A 15346-2023.png")</f>
        <v/>
      </c>
      <c r="V115">
        <f>HYPERLINK("https://klasma.github.io/Logging_SUNDSVALL/klagomål/A 15346-2023.docx")</f>
        <v/>
      </c>
      <c r="W115">
        <f>HYPERLINK("https://klasma.github.io/Logging_SUNDSVALL/klagomålsmail/A 15346-2023.docx")</f>
        <v/>
      </c>
      <c r="X115">
        <f>HYPERLINK("https://klasma.github.io/Logging_SUNDSVALL/tillsyn/A 15346-2023.docx")</f>
        <v/>
      </c>
      <c r="Y115">
        <f>HYPERLINK("https://klasma.github.io/Logging_SUNDSVALL/tillsynsmail/A 15346-2023.docx")</f>
        <v/>
      </c>
    </row>
    <row r="116" ht="15" customHeight="1">
      <c r="A116" t="inlineStr">
        <is>
          <t>A 17772-2023</t>
        </is>
      </c>
      <c r="B116" s="1" t="n">
        <v>45036</v>
      </c>
      <c r="C116" s="1" t="n">
        <v>45181</v>
      </c>
      <c r="D116" t="inlineStr">
        <is>
          <t>VÄSTERNORRLANDS LÄN</t>
        </is>
      </c>
      <c r="E116" t="inlineStr">
        <is>
          <t>SUNDSVALL</t>
        </is>
      </c>
      <c r="G116" t="n">
        <v>4.2</v>
      </c>
      <c r="H116" t="n">
        <v>0</v>
      </c>
      <c r="I116" t="n">
        <v>0</v>
      </c>
      <c r="J116" t="n">
        <v>1</v>
      </c>
      <c r="K116" t="n">
        <v>0</v>
      </c>
      <c r="L116" t="n">
        <v>0</v>
      </c>
      <c r="M116" t="n">
        <v>0</v>
      </c>
      <c r="N116" t="n">
        <v>0</v>
      </c>
      <c r="O116" t="n">
        <v>1</v>
      </c>
      <c r="P116" t="n">
        <v>0</v>
      </c>
      <c r="Q116" t="n">
        <v>1</v>
      </c>
      <c r="R116" s="2" t="inlineStr">
        <is>
          <t>Garnlav</t>
        </is>
      </c>
      <c r="S116">
        <f>HYPERLINK("https://klasma.github.io/Logging_SUNDSVALL/artfynd/A 17772-2023.xlsx")</f>
        <v/>
      </c>
      <c r="T116">
        <f>HYPERLINK("https://klasma.github.io/Logging_SUNDSVALL/kartor/A 17772-2023.png")</f>
        <v/>
      </c>
      <c r="V116">
        <f>HYPERLINK("https://klasma.github.io/Logging_SUNDSVALL/klagomål/A 17772-2023.docx")</f>
        <v/>
      </c>
      <c r="W116">
        <f>HYPERLINK("https://klasma.github.io/Logging_SUNDSVALL/klagomålsmail/A 17772-2023.docx")</f>
        <v/>
      </c>
      <c r="X116">
        <f>HYPERLINK("https://klasma.github.io/Logging_SUNDSVALL/tillsyn/A 17772-2023.docx")</f>
        <v/>
      </c>
      <c r="Y116">
        <f>HYPERLINK("https://klasma.github.io/Logging_SUNDSVALL/tillsynsmail/A 17772-2023.docx")</f>
        <v/>
      </c>
    </row>
    <row r="117" ht="15" customHeight="1">
      <c r="A117" t="inlineStr">
        <is>
          <t>A 19441-2023</t>
        </is>
      </c>
      <c r="B117" s="1" t="n">
        <v>45049</v>
      </c>
      <c r="C117" s="1" t="n">
        <v>45181</v>
      </c>
      <c r="D117" t="inlineStr">
        <is>
          <t>VÄSTERNORRLANDS LÄN</t>
        </is>
      </c>
      <c r="E117" t="inlineStr">
        <is>
          <t>SUNDSVALL</t>
        </is>
      </c>
      <c r="F117" t="inlineStr">
        <is>
          <t>SCA</t>
        </is>
      </c>
      <c r="G117" t="n">
        <v>3.5</v>
      </c>
      <c r="H117" t="n">
        <v>0</v>
      </c>
      <c r="I117" t="n">
        <v>0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1</v>
      </c>
      <c r="R117" s="2" t="inlineStr">
        <is>
          <t>Lunglav</t>
        </is>
      </c>
      <c r="S117">
        <f>HYPERLINK("https://klasma.github.io/Logging_SUNDSVALL/artfynd/A 19441-2023.xlsx")</f>
        <v/>
      </c>
      <c r="T117">
        <f>HYPERLINK("https://klasma.github.io/Logging_SUNDSVALL/kartor/A 19441-2023.png")</f>
        <v/>
      </c>
      <c r="V117">
        <f>HYPERLINK("https://klasma.github.io/Logging_SUNDSVALL/klagomål/A 19441-2023.docx")</f>
        <v/>
      </c>
      <c r="W117">
        <f>HYPERLINK("https://klasma.github.io/Logging_SUNDSVALL/klagomålsmail/A 19441-2023.docx")</f>
        <v/>
      </c>
      <c r="X117">
        <f>HYPERLINK("https://klasma.github.io/Logging_SUNDSVALL/tillsyn/A 19441-2023.docx")</f>
        <v/>
      </c>
      <c r="Y117">
        <f>HYPERLINK("https://klasma.github.io/Logging_SUNDSVALL/tillsynsmail/A 19441-2023.docx")</f>
        <v/>
      </c>
    </row>
    <row r="118" ht="15" customHeight="1">
      <c r="A118" t="inlineStr">
        <is>
          <t>A 22227-2023</t>
        </is>
      </c>
      <c r="B118" s="1" t="n">
        <v>45069</v>
      </c>
      <c r="C118" s="1" t="n">
        <v>45181</v>
      </c>
      <c r="D118" t="inlineStr">
        <is>
          <t>VÄSTERNORRLANDS LÄN</t>
        </is>
      </c>
      <c r="E118" t="inlineStr">
        <is>
          <t>SUNDSVALL</t>
        </is>
      </c>
      <c r="F118" t="inlineStr">
        <is>
          <t>Naturvårdsverket</t>
        </is>
      </c>
      <c r="G118" t="n">
        <v>6.7</v>
      </c>
      <c r="H118" t="n">
        <v>1</v>
      </c>
      <c r="I118" t="n">
        <v>0</v>
      </c>
      <c r="J118" t="n">
        <v>1</v>
      </c>
      <c r="K118" t="n">
        <v>0</v>
      </c>
      <c r="L118" t="n">
        <v>0</v>
      </c>
      <c r="M118" t="n">
        <v>0</v>
      </c>
      <c r="N118" t="n">
        <v>0</v>
      </c>
      <c r="O118" t="n">
        <v>1</v>
      </c>
      <c r="P118" t="n">
        <v>0</v>
      </c>
      <c r="Q118" t="n">
        <v>1</v>
      </c>
      <c r="R118" s="2" t="inlineStr">
        <is>
          <t>Tretåig hackspett</t>
        </is>
      </c>
      <c r="S118">
        <f>HYPERLINK("https://klasma.github.io/Logging_SUNDSVALL/artfynd/A 22227-2023.xlsx")</f>
        <v/>
      </c>
      <c r="T118">
        <f>HYPERLINK("https://klasma.github.io/Logging_SUNDSVALL/kartor/A 22227-2023.png")</f>
        <v/>
      </c>
      <c r="V118">
        <f>HYPERLINK("https://klasma.github.io/Logging_SUNDSVALL/klagomål/A 22227-2023.docx")</f>
        <v/>
      </c>
      <c r="W118">
        <f>HYPERLINK("https://klasma.github.io/Logging_SUNDSVALL/klagomålsmail/A 22227-2023.docx")</f>
        <v/>
      </c>
      <c r="X118">
        <f>HYPERLINK("https://klasma.github.io/Logging_SUNDSVALL/tillsyn/A 22227-2023.docx")</f>
        <v/>
      </c>
      <c r="Y118">
        <f>HYPERLINK("https://klasma.github.io/Logging_SUNDSVALL/tillsynsmail/A 22227-2023.docx")</f>
        <v/>
      </c>
    </row>
    <row r="119" ht="15" customHeight="1">
      <c r="A119" t="inlineStr">
        <is>
          <t>A 28008-2023</t>
        </is>
      </c>
      <c r="B119" s="1" t="n">
        <v>45098</v>
      </c>
      <c r="C119" s="1" t="n">
        <v>45181</v>
      </c>
      <c r="D119" t="inlineStr">
        <is>
          <t>VÄSTERNORRLANDS LÄN</t>
        </is>
      </c>
      <c r="E119" t="inlineStr">
        <is>
          <t>SUNDSVALL</t>
        </is>
      </c>
      <c r="F119" t="inlineStr">
        <is>
          <t>SCA</t>
        </is>
      </c>
      <c r="G119" t="n">
        <v>6.4</v>
      </c>
      <c r="H119" t="n">
        <v>1</v>
      </c>
      <c r="I119" t="n">
        <v>0</v>
      </c>
      <c r="J119" t="n">
        <v>1</v>
      </c>
      <c r="K119" t="n">
        <v>0</v>
      </c>
      <c r="L119" t="n">
        <v>0</v>
      </c>
      <c r="M119" t="n">
        <v>0</v>
      </c>
      <c r="N119" t="n">
        <v>0</v>
      </c>
      <c r="O119" t="n">
        <v>1</v>
      </c>
      <c r="P119" t="n">
        <v>0</v>
      </c>
      <c r="Q119" t="n">
        <v>1</v>
      </c>
      <c r="R119" s="2" t="inlineStr">
        <is>
          <t>Tretåig hackspett</t>
        </is>
      </c>
      <c r="S119">
        <f>HYPERLINK("https://klasma.github.io/Logging_SUNDSVALL/artfynd/A 28008-2023.xlsx")</f>
        <v/>
      </c>
      <c r="T119">
        <f>HYPERLINK("https://klasma.github.io/Logging_SUNDSVALL/kartor/A 28008-2023.png")</f>
        <v/>
      </c>
      <c r="V119">
        <f>HYPERLINK("https://klasma.github.io/Logging_SUNDSVALL/klagomål/A 28008-2023.docx")</f>
        <v/>
      </c>
      <c r="W119">
        <f>HYPERLINK("https://klasma.github.io/Logging_SUNDSVALL/klagomålsmail/A 28008-2023.docx")</f>
        <v/>
      </c>
      <c r="X119">
        <f>HYPERLINK("https://klasma.github.io/Logging_SUNDSVALL/tillsyn/A 28008-2023.docx")</f>
        <v/>
      </c>
      <c r="Y119">
        <f>HYPERLINK("https://klasma.github.io/Logging_SUNDSVALL/tillsynsmail/A 28008-2023.docx")</f>
        <v/>
      </c>
    </row>
    <row r="120" ht="15" customHeight="1">
      <c r="A120" t="inlineStr">
        <is>
          <t>A 32077-2023</t>
        </is>
      </c>
      <c r="B120" s="1" t="n">
        <v>45107</v>
      </c>
      <c r="C120" s="1" t="n">
        <v>45181</v>
      </c>
      <c r="D120" t="inlineStr">
        <is>
          <t>VÄSTERNORRLANDS LÄN</t>
        </is>
      </c>
      <c r="E120" t="inlineStr">
        <is>
          <t>SUNDSVALL</t>
        </is>
      </c>
      <c r="G120" t="n">
        <v>5.3</v>
      </c>
      <c r="H120" t="n">
        <v>0</v>
      </c>
      <c r="I120" t="n">
        <v>0</v>
      </c>
      <c r="J120" t="n">
        <v>1</v>
      </c>
      <c r="K120" t="n">
        <v>0</v>
      </c>
      <c r="L120" t="n">
        <v>0</v>
      </c>
      <c r="M120" t="n">
        <v>0</v>
      </c>
      <c r="N120" t="n">
        <v>0</v>
      </c>
      <c r="O120" t="n">
        <v>1</v>
      </c>
      <c r="P120" t="n">
        <v>0</v>
      </c>
      <c r="Q120" t="n">
        <v>1</v>
      </c>
      <c r="R120" s="2" t="inlineStr">
        <is>
          <t>Garnlav</t>
        </is>
      </c>
      <c r="S120">
        <f>HYPERLINK("https://klasma.github.io/Logging_SUNDSVALL/artfynd/A 32077-2023.xlsx")</f>
        <v/>
      </c>
      <c r="T120">
        <f>HYPERLINK("https://klasma.github.io/Logging_SUNDSVALL/kartor/A 32077-2023.png")</f>
        <v/>
      </c>
      <c r="V120">
        <f>HYPERLINK("https://klasma.github.io/Logging_SUNDSVALL/klagomål/A 32077-2023.docx")</f>
        <v/>
      </c>
      <c r="W120">
        <f>HYPERLINK("https://klasma.github.io/Logging_SUNDSVALL/klagomålsmail/A 32077-2023.docx")</f>
        <v/>
      </c>
      <c r="X120">
        <f>HYPERLINK("https://klasma.github.io/Logging_SUNDSVALL/tillsyn/A 32077-2023.docx")</f>
        <v/>
      </c>
      <c r="Y120">
        <f>HYPERLINK("https://klasma.github.io/Logging_SUNDSVALL/tillsynsmail/A 32077-2023.docx")</f>
        <v/>
      </c>
    </row>
    <row r="121" ht="15" customHeight="1">
      <c r="A121" t="inlineStr">
        <is>
          <t>A 30827-2023</t>
        </is>
      </c>
      <c r="B121" s="1" t="n">
        <v>45112</v>
      </c>
      <c r="C121" s="1" t="n">
        <v>45181</v>
      </c>
      <c r="D121" t="inlineStr">
        <is>
          <t>VÄSTERNORRLANDS LÄN</t>
        </is>
      </c>
      <c r="E121" t="inlineStr">
        <is>
          <t>SUNDSVALL</t>
        </is>
      </c>
      <c r="F121" t="inlineStr">
        <is>
          <t>SCA</t>
        </is>
      </c>
      <c r="G121" t="n">
        <v>21.9</v>
      </c>
      <c r="H121" t="n">
        <v>0</v>
      </c>
      <c r="I121" t="n">
        <v>1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1</v>
      </c>
      <c r="R121" s="2" t="inlineStr">
        <is>
          <t>Dropptaggsvamp</t>
        </is>
      </c>
      <c r="S121">
        <f>HYPERLINK("https://klasma.github.io/Logging_SUNDSVALL/artfynd/A 30827-2023.xlsx")</f>
        <v/>
      </c>
      <c r="T121">
        <f>HYPERLINK("https://klasma.github.io/Logging_SUNDSVALL/kartor/A 30827-2023.png")</f>
        <v/>
      </c>
      <c r="V121">
        <f>HYPERLINK("https://klasma.github.io/Logging_SUNDSVALL/klagomål/A 30827-2023.docx")</f>
        <v/>
      </c>
      <c r="W121">
        <f>HYPERLINK("https://klasma.github.io/Logging_SUNDSVALL/klagomålsmail/A 30827-2023.docx")</f>
        <v/>
      </c>
      <c r="X121">
        <f>HYPERLINK("https://klasma.github.io/Logging_SUNDSVALL/tillsyn/A 30827-2023.docx")</f>
        <v/>
      </c>
      <c r="Y121">
        <f>HYPERLINK("https://klasma.github.io/Logging_SUNDSVALL/tillsynsmail/A 30827-2023.docx")</f>
        <v/>
      </c>
    </row>
    <row r="122" ht="15" customHeight="1">
      <c r="A122" t="inlineStr">
        <is>
          <t>A 30837-2023</t>
        </is>
      </c>
      <c r="B122" s="1" t="n">
        <v>45112</v>
      </c>
      <c r="C122" s="1" t="n">
        <v>45181</v>
      </c>
      <c r="D122" t="inlineStr">
        <is>
          <t>VÄSTERNORRLANDS LÄN</t>
        </is>
      </c>
      <c r="E122" t="inlineStr">
        <is>
          <t>SUNDSVALL</t>
        </is>
      </c>
      <c r="F122" t="inlineStr">
        <is>
          <t>SCA</t>
        </is>
      </c>
      <c r="G122" t="n">
        <v>5.6</v>
      </c>
      <c r="H122" t="n">
        <v>0</v>
      </c>
      <c r="I122" t="n">
        <v>0</v>
      </c>
      <c r="J122" t="n">
        <v>1</v>
      </c>
      <c r="K122" t="n">
        <v>0</v>
      </c>
      <c r="L122" t="n">
        <v>0</v>
      </c>
      <c r="M122" t="n">
        <v>0</v>
      </c>
      <c r="N122" t="n">
        <v>0</v>
      </c>
      <c r="O122" t="n">
        <v>1</v>
      </c>
      <c r="P122" t="n">
        <v>0</v>
      </c>
      <c r="Q122" t="n">
        <v>1</v>
      </c>
      <c r="R122" s="2" t="inlineStr">
        <is>
          <t>Garnlav</t>
        </is>
      </c>
      <c r="S122">
        <f>HYPERLINK("https://klasma.github.io/Logging_SUNDSVALL/artfynd/A 30837-2023.xlsx")</f>
        <v/>
      </c>
      <c r="T122">
        <f>HYPERLINK("https://klasma.github.io/Logging_SUNDSVALL/kartor/A 30837-2023.png")</f>
        <v/>
      </c>
      <c r="V122">
        <f>HYPERLINK("https://klasma.github.io/Logging_SUNDSVALL/klagomål/A 30837-2023.docx")</f>
        <v/>
      </c>
      <c r="W122">
        <f>HYPERLINK("https://klasma.github.io/Logging_SUNDSVALL/klagomålsmail/A 30837-2023.docx")</f>
        <v/>
      </c>
      <c r="X122">
        <f>HYPERLINK("https://klasma.github.io/Logging_SUNDSVALL/tillsyn/A 30837-2023.docx")</f>
        <v/>
      </c>
      <c r="Y122">
        <f>HYPERLINK("https://klasma.github.io/Logging_SUNDSVALL/tillsynsmail/A 30837-2023.docx")</f>
        <v/>
      </c>
    </row>
    <row r="123" ht="15" customHeight="1">
      <c r="A123" t="inlineStr">
        <is>
          <t>A 35751-2023</t>
        </is>
      </c>
      <c r="B123" s="1" t="n">
        <v>45147</v>
      </c>
      <c r="C123" s="1" t="n">
        <v>45181</v>
      </c>
      <c r="D123" t="inlineStr">
        <is>
          <t>VÄSTERNORRLANDS LÄN</t>
        </is>
      </c>
      <c r="E123" t="inlineStr">
        <is>
          <t>SUNDSVALL</t>
        </is>
      </c>
      <c r="F123" t="inlineStr">
        <is>
          <t>SCA</t>
        </is>
      </c>
      <c r="G123" t="n">
        <v>5</v>
      </c>
      <c r="H123" t="n">
        <v>1</v>
      </c>
      <c r="I123" t="n">
        <v>0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1</v>
      </c>
      <c r="R123" s="2" t="inlineStr">
        <is>
          <t>Nordfladdermus</t>
        </is>
      </c>
      <c r="S123">
        <f>HYPERLINK("https://klasma.github.io/Logging_SUNDSVALL/artfynd/A 35751-2023.xlsx")</f>
        <v/>
      </c>
      <c r="T123">
        <f>HYPERLINK("https://klasma.github.io/Logging_SUNDSVALL/kartor/A 35751-2023.png")</f>
        <v/>
      </c>
      <c r="V123">
        <f>HYPERLINK("https://klasma.github.io/Logging_SUNDSVALL/klagomål/A 35751-2023.docx")</f>
        <v/>
      </c>
      <c r="W123">
        <f>HYPERLINK("https://klasma.github.io/Logging_SUNDSVALL/klagomålsmail/A 35751-2023.docx")</f>
        <v/>
      </c>
      <c r="X123">
        <f>HYPERLINK("https://klasma.github.io/Logging_SUNDSVALL/tillsyn/A 35751-2023.docx")</f>
        <v/>
      </c>
      <c r="Y123">
        <f>HYPERLINK("https://klasma.github.io/Logging_SUNDSVALL/tillsynsmail/A 35751-2023.docx")</f>
        <v/>
      </c>
    </row>
    <row r="124" ht="15" customHeight="1">
      <c r="A124" t="inlineStr">
        <is>
          <t>A 34569-2018</t>
        </is>
      </c>
      <c r="B124" s="1" t="n">
        <v>43320</v>
      </c>
      <c r="C124" s="1" t="n">
        <v>45181</v>
      </c>
      <c r="D124" t="inlineStr">
        <is>
          <t>VÄSTERNORRLANDS LÄN</t>
        </is>
      </c>
      <c r="E124" t="inlineStr">
        <is>
          <t>SUNDSVALL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35559-2018</t>
        </is>
      </c>
      <c r="B125" s="1" t="n">
        <v>43325</v>
      </c>
      <c r="C125" s="1" t="n">
        <v>45181</v>
      </c>
      <c r="D125" t="inlineStr">
        <is>
          <t>VÄSTERNORRLANDS LÄN</t>
        </is>
      </c>
      <c r="E125" t="inlineStr">
        <is>
          <t>SUNDSVALL</t>
        </is>
      </c>
      <c r="G125" t="n">
        <v>11.7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35533-2018</t>
        </is>
      </c>
      <c r="B126" s="1" t="n">
        <v>43325</v>
      </c>
      <c r="C126" s="1" t="n">
        <v>45181</v>
      </c>
      <c r="D126" t="inlineStr">
        <is>
          <t>VÄSTERNORRLANDS LÄN</t>
        </is>
      </c>
      <c r="E126" t="inlineStr">
        <is>
          <t>SUNDSVALL</t>
        </is>
      </c>
      <c r="G126" t="n">
        <v>4.9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37052-2018</t>
        </is>
      </c>
      <c r="B127" s="1" t="n">
        <v>43332</v>
      </c>
      <c r="C127" s="1" t="n">
        <v>45181</v>
      </c>
      <c r="D127" t="inlineStr">
        <is>
          <t>VÄSTERNORRLANDS LÄN</t>
        </is>
      </c>
      <c r="E127" t="inlineStr">
        <is>
          <t>SUNDSVALL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39315-2018</t>
        </is>
      </c>
      <c r="B128" s="1" t="n">
        <v>43339</v>
      </c>
      <c r="C128" s="1" t="n">
        <v>45181</v>
      </c>
      <c r="D128" t="inlineStr">
        <is>
          <t>VÄSTERNORRLANDS LÄN</t>
        </is>
      </c>
      <c r="E128" t="inlineStr">
        <is>
          <t>SUNDSVALL</t>
        </is>
      </c>
      <c r="G128" t="n">
        <v>3.3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39738-2018</t>
        </is>
      </c>
      <c r="B129" s="1" t="n">
        <v>43341</v>
      </c>
      <c r="C129" s="1" t="n">
        <v>45181</v>
      </c>
      <c r="D129" t="inlineStr">
        <is>
          <t>VÄSTERNORRLANDS LÄN</t>
        </is>
      </c>
      <c r="E129" t="inlineStr">
        <is>
          <t>SUNDSVALL</t>
        </is>
      </c>
      <c r="G129" t="n">
        <v>7.9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39698-2018</t>
        </is>
      </c>
      <c r="B130" s="1" t="n">
        <v>43341</v>
      </c>
      <c r="C130" s="1" t="n">
        <v>45181</v>
      </c>
      <c r="D130" t="inlineStr">
        <is>
          <t>VÄSTERNORRLANDS LÄN</t>
        </is>
      </c>
      <c r="E130" t="inlineStr">
        <is>
          <t>SUNDSVALL</t>
        </is>
      </c>
      <c r="G130" t="n">
        <v>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42076-2018</t>
        </is>
      </c>
      <c r="B131" s="1" t="n">
        <v>43353</v>
      </c>
      <c r="C131" s="1" t="n">
        <v>45181</v>
      </c>
      <c r="D131" t="inlineStr">
        <is>
          <t>VÄSTERNORRLANDS LÄN</t>
        </is>
      </c>
      <c r="E131" t="inlineStr">
        <is>
          <t>SUNDSVALL</t>
        </is>
      </c>
      <c r="G131" t="n">
        <v>2.9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43961-2018</t>
        </is>
      </c>
      <c r="B132" s="1" t="n">
        <v>43355</v>
      </c>
      <c r="C132" s="1" t="n">
        <v>45181</v>
      </c>
      <c r="D132" t="inlineStr">
        <is>
          <t>VÄSTERNORRLANDS LÄN</t>
        </is>
      </c>
      <c r="E132" t="inlineStr">
        <is>
          <t>SUNDSVALL</t>
        </is>
      </c>
      <c r="G132" t="n">
        <v>3.1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45244-2018</t>
        </is>
      </c>
      <c r="B133" s="1" t="n">
        <v>43361</v>
      </c>
      <c r="C133" s="1" t="n">
        <v>45181</v>
      </c>
      <c r="D133" t="inlineStr">
        <is>
          <t>VÄSTERNORRLANDS LÄN</t>
        </is>
      </c>
      <c r="E133" t="inlineStr">
        <is>
          <t>SUNDSVALL</t>
        </is>
      </c>
      <c r="G133" t="n">
        <v>2.7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47686-2018</t>
        </is>
      </c>
      <c r="B134" s="1" t="n">
        <v>43368</v>
      </c>
      <c r="C134" s="1" t="n">
        <v>45181</v>
      </c>
      <c r="D134" t="inlineStr">
        <is>
          <t>VÄSTERNORRLANDS LÄN</t>
        </is>
      </c>
      <c r="E134" t="inlineStr">
        <is>
          <t>SUNDSVALL</t>
        </is>
      </c>
      <c r="G134" t="n">
        <v>3.7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47718-2018</t>
        </is>
      </c>
      <c r="B135" s="1" t="n">
        <v>43368</v>
      </c>
      <c r="C135" s="1" t="n">
        <v>45181</v>
      </c>
      <c r="D135" t="inlineStr">
        <is>
          <t>VÄSTERNORRLANDS LÄN</t>
        </is>
      </c>
      <c r="E135" t="inlineStr">
        <is>
          <t>SUNDSVALL</t>
        </is>
      </c>
      <c r="F135" t="inlineStr">
        <is>
          <t>Kommuner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48975-2018</t>
        </is>
      </c>
      <c r="B136" s="1" t="n">
        <v>43371</v>
      </c>
      <c r="C136" s="1" t="n">
        <v>45181</v>
      </c>
      <c r="D136" t="inlineStr">
        <is>
          <t>VÄSTERNORRLANDS LÄN</t>
        </is>
      </c>
      <c r="E136" t="inlineStr">
        <is>
          <t>SUNDSVALL</t>
        </is>
      </c>
      <c r="G136" t="n">
        <v>2.5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48785-2018</t>
        </is>
      </c>
      <c r="B137" s="1" t="n">
        <v>43375</v>
      </c>
      <c r="C137" s="1" t="n">
        <v>45181</v>
      </c>
      <c r="D137" t="inlineStr">
        <is>
          <t>VÄSTERNORRLANDS LÄN</t>
        </is>
      </c>
      <c r="E137" t="inlineStr">
        <is>
          <t>SUNDSVALL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48992-2018</t>
        </is>
      </c>
      <c r="B138" s="1" t="n">
        <v>43375</v>
      </c>
      <c r="C138" s="1" t="n">
        <v>45181</v>
      </c>
      <c r="D138" t="inlineStr">
        <is>
          <t>VÄSTERNORRLANDS LÄN</t>
        </is>
      </c>
      <c r="E138" t="inlineStr">
        <is>
          <t>SUNDSVALL</t>
        </is>
      </c>
      <c r="G138" t="n">
        <v>5.3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49202-2018</t>
        </is>
      </c>
      <c r="B139" s="1" t="n">
        <v>43375</v>
      </c>
      <c r="C139" s="1" t="n">
        <v>45181</v>
      </c>
      <c r="D139" t="inlineStr">
        <is>
          <t>VÄSTERNORRLANDS LÄN</t>
        </is>
      </c>
      <c r="E139" t="inlineStr">
        <is>
          <t>SUNDSVALL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48983-2018</t>
        </is>
      </c>
      <c r="B140" s="1" t="n">
        <v>43375</v>
      </c>
      <c r="C140" s="1" t="n">
        <v>45181</v>
      </c>
      <c r="D140" t="inlineStr">
        <is>
          <t>VÄSTERNORRLANDS LÄN</t>
        </is>
      </c>
      <c r="E140" t="inlineStr">
        <is>
          <t>SUNDSVALL</t>
        </is>
      </c>
      <c r="G140" t="n">
        <v>1.8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51792-2018</t>
        </is>
      </c>
      <c r="B141" s="1" t="n">
        <v>43382</v>
      </c>
      <c r="C141" s="1" t="n">
        <v>45181</v>
      </c>
      <c r="D141" t="inlineStr">
        <is>
          <t>VÄSTERNORRLANDS LÄN</t>
        </is>
      </c>
      <c r="E141" t="inlineStr">
        <is>
          <t>SUNDSVALL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55442-2018</t>
        </is>
      </c>
      <c r="B142" s="1" t="n">
        <v>43391</v>
      </c>
      <c r="C142" s="1" t="n">
        <v>45181</v>
      </c>
      <c r="D142" t="inlineStr">
        <is>
          <t>VÄSTERNORRLANDS LÄN</t>
        </is>
      </c>
      <c r="E142" t="inlineStr">
        <is>
          <t>SUNDSVALL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55636-2018</t>
        </is>
      </c>
      <c r="B143" s="1" t="n">
        <v>43397</v>
      </c>
      <c r="C143" s="1" t="n">
        <v>45181</v>
      </c>
      <c r="D143" t="inlineStr">
        <is>
          <t>VÄSTERNORRLANDS LÄN</t>
        </is>
      </c>
      <c r="E143" t="inlineStr">
        <is>
          <t>SUNDSVALL</t>
        </is>
      </c>
      <c r="F143" t="inlineStr">
        <is>
          <t>SCA</t>
        </is>
      </c>
      <c r="G143" t="n">
        <v>3.5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55639-2018</t>
        </is>
      </c>
      <c r="B144" s="1" t="n">
        <v>43397</v>
      </c>
      <c r="C144" s="1" t="n">
        <v>45181</v>
      </c>
      <c r="D144" t="inlineStr">
        <is>
          <t>VÄSTERNORRLANDS LÄN</t>
        </is>
      </c>
      <c r="E144" t="inlineStr">
        <is>
          <t>SUNDSVALL</t>
        </is>
      </c>
      <c r="F144" t="inlineStr">
        <is>
          <t>SCA</t>
        </is>
      </c>
      <c r="G144" t="n">
        <v>15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55634-2018</t>
        </is>
      </c>
      <c r="B145" s="1" t="n">
        <v>43397</v>
      </c>
      <c r="C145" s="1" t="n">
        <v>45181</v>
      </c>
      <c r="D145" t="inlineStr">
        <is>
          <t>VÄSTERNORRLANDS LÄN</t>
        </is>
      </c>
      <c r="E145" t="inlineStr">
        <is>
          <t>SUNDSVALL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58839-2018</t>
        </is>
      </c>
      <c r="B146" s="1" t="n">
        <v>43400</v>
      </c>
      <c r="C146" s="1" t="n">
        <v>45181</v>
      </c>
      <c r="D146" t="inlineStr">
        <is>
          <t>VÄSTERNORRLANDS LÄN</t>
        </is>
      </c>
      <c r="E146" t="inlineStr">
        <is>
          <t>SUNDSVALL</t>
        </is>
      </c>
      <c r="G146" t="n">
        <v>0.2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56842-2018</t>
        </is>
      </c>
      <c r="B147" s="1" t="n">
        <v>43402</v>
      </c>
      <c r="C147" s="1" t="n">
        <v>45181</v>
      </c>
      <c r="D147" t="inlineStr">
        <is>
          <t>VÄSTERNORRLANDS LÄN</t>
        </is>
      </c>
      <c r="E147" t="inlineStr">
        <is>
          <t>SUNDSVALL</t>
        </is>
      </c>
      <c r="F147" t="inlineStr">
        <is>
          <t>SCA</t>
        </is>
      </c>
      <c r="G147" t="n">
        <v>5.3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57249-2018</t>
        </is>
      </c>
      <c r="B148" s="1" t="n">
        <v>43403</v>
      </c>
      <c r="C148" s="1" t="n">
        <v>45181</v>
      </c>
      <c r="D148" t="inlineStr">
        <is>
          <t>VÄSTERNORRLANDS LÄN</t>
        </is>
      </c>
      <c r="E148" t="inlineStr">
        <is>
          <t>SUNDSVALL</t>
        </is>
      </c>
      <c r="F148" t="inlineStr">
        <is>
          <t>SCA</t>
        </is>
      </c>
      <c r="G148" t="n">
        <v>3.2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56944-2018</t>
        </is>
      </c>
      <c r="B149" s="1" t="n">
        <v>43403</v>
      </c>
      <c r="C149" s="1" t="n">
        <v>45181</v>
      </c>
      <c r="D149" t="inlineStr">
        <is>
          <t>VÄSTERNORRLANDS LÄN</t>
        </is>
      </c>
      <c r="E149" t="inlineStr">
        <is>
          <t>SUNDSVALL</t>
        </is>
      </c>
      <c r="F149" t="inlineStr">
        <is>
          <t>Holmen skog AB</t>
        </is>
      </c>
      <c r="G149" t="n">
        <v>25.6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57606-2018</t>
        </is>
      </c>
      <c r="B150" s="1" t="n">
        <v>43404</v>
      </c>
      <c r="C150" s="1" t="n">
        <v>45181</v>
      </c>
      <c r="D150" t="inlineStr">
        <is>
          <t>VÄSTERNORRLANDS LÄN</t>
        </is>
      </c>
      <c r="E150" t="inlineStr">
        <is>
          <t>SUNDSVALL</t>
        </is>
      </c>
      <c r="F150" t="inlineStr">
        <is>
          <t>SCA</t>
        </is>
      </c>
      <c r="G150" t="n">
        <v>6.5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57619-2018</t>
        </is>
      </c>
      <c r="B151" s="1" t="n">
        <v>43404</v>
      </c>
      <c r="C151" s="1" t="n">
        <v>45181</v>
      </c>
      <c r="D151" t="inlineStr">
        <is>
          <t>VÄSTERNORRLANDS LÄN</t>
        </is>
      </c>
      <c r="E151" t="inlineStr">
        <is>
          <t>SUNDSVALL</t>
        </is>
      </c>
      <c r="F151" t="inlineStr">
        <is>
          <t>SCA</t>
        </is>
      </c>
      <c r="G151" t="n">
        <v>5.3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58569-2018</t>
        </is>
      </c>
      <c r="B152" s="1" t="n">
        <v>43409</v>
      </c>
      <c r="C152" s="1" t="n">
        <v>45181</v>
      </c>
      <c r="D152" t="inlineStr">
        <is>
          <t>VÄSTERNORRLANDS LÄN</t>
        </is>
      </c>
      <c r="E152" t="inlineStr">
        <is>
          <t>SUNDSVALL</t>
        </is>
      </c>
      <c r="G152" t="n">
        <v>4.1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58588-2018</t>
        </is>
      </c>
      <c r="B153" s="1" t="n">
        <v>43409</v>
      </c>
      <c r="C153" s="1" t="n">
        <v>45181</v>
      </c>
      <c r="D153" t="inlineStr">
        <is>
          <t>VÄSTERNORRLANDS LÄN</t>
        </is>
      </c>
      <c r="E153" t="inlineStr">
        <is>
          <t>SUNDSVALL</t>
        </is>
      </c>
      <c r="F153" t="inlineStr">
        <is>
          <t>SCA</t>
        </is>
      </c>
      <c r="G153" t="n">
        <v>8.699999999999999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60183-2018</t>
        </is>
      </c>
      <c r="B154" s="1" t="n">
        <v>43412</v>
      </c>
      <c r="C154" s="1" t="n">
        <v>45181</v>
      </c>
      <c r="D154" t="inlineStr">
        <is>
          <t>VÄSTERNORRLANDS LÄN</t>
        </is>
      </c>
      <c r="E154" t="inlineStr">
        <is>
          <t>SUNDSVALL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60184-2018</t>
        </is>
      </c>
      <c r="B155" s="1" t="n">
        <v>43412</v>
      </c>
      <c r="C155" s="1" t="n">
        <v>45181</v>
      </c>
      <c r="D155" t="inlineStr">
        <is>
          <t>VÄSTERNORRLANDS LÄN</t>
        </is>
      </c>
      <c r="E155" t="inlineStr">
        <is>
          <t>SUNDSVALL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60212-2018</t>
        </is>
      </c>
      <c r="B156" s="1" t="n">
        <v>43412</v>
      </c>
      <c r="C156" s="1" t="n">
        <v>45181</v>
      </c>
      <c r="D156" t="inlineStr">
        <is>
          <t>VÄSTERNORRLANDS LÄN</t>
        </is>
      </c>
      <c r="E156" t="inlineStr">
        <is>
          <t>SUNDSVALL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60186-2018</t>
        </is>
      </c>
      <c r="B157" s="1" t="n">
        <v>43412</v>
      </c>
      <c r="C157" s="1" t="n">
        <v>45181</v>
      </c>
      <c r="D157" t="inlineStr">
        <is>
          <t>VÄSTERNORRLANDS LÄN</t>
        </is>
      </c>
      <c r="E157" t="inlineStr">
        <is>
          <t>SUNDSVALL</t>
        </is>
      </c>
      <c r="G157" t="n">
        <v>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61354-2018</t>
        </is>
      </c>
      <c r="B158" s="1" t="n">
        <v>43412</v>
      </c>
      <c r="C158" s="1" t="n">
        <v>45181</v>
      </c>
      <c r="D158" t="inlineStr">
        <is>
          <t>VÄSTERNORRLANDS LÄN</t>
        </is>
      </c>
      <c r="E158" t="inlineStr">
        <is>
          <t>SUNDSVALL</t>
        </is>
      </c>
      <c r="G158" t="n">
        <v>8.4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61875-2018</t>
        </is>
      </c>
      <c r="B159" s="1" t="n">
        <v>43413</v>
      </c>
      <c r="C159" s="1" t="n">
        <v>45181</v>
      </c>
      <c r="D159" t="inlineStr">
        <is>
          <t>VÄSTERNORRLANDS LÄN</t>
        </is>
      </c>
      <c r="E159" t="inlineStr">
        <is>
          <t>SUNDSVALL</t>
        </is>
      </c>
      <c r="G159" t="n">
        <v>1.9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61872-2018</t>
        </is>
      </c>
      <c r="B160" s="1" t="n">
        <v>43413</v>
      </c>
      <c r="C160" s="1" t="n">
        <v>45181</v>
      </c>
      <c r="D160" t="inlineStr">
        <is>
          <t>VÄSTERNORRLANDS LÄN</t>
        </is>
      </c>
      <c r="E160" t="inlineStr">
        <is>
          <t>SUNDSVALL</t>
        </is>
      </c>
      <c r="G160" t="n">
        <v>2.1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62523-2018</t>
        </is>
      </c>
      <c r="B161" s="1" t="n">
        <v>43413</v>
      </c>
      <c r="C161" s="1" t="n">
        <v>45181</v>
      </c>
      <c r="D161" t="inlineStr">
        <is>
          <t>VÄSTERNORRLANDS LÄN</t>
        </is>
      </c>
      <c r="E161" t="inlineStr">
        <is>
          <t>SUNDSVALL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59364-2018</t>
        </is>
      </c>
      <c r="B162" s="1" t="n">
        <v>43418</v>
      </c>
      <c r="C162" s="1" t="n">
        <v>45181</v>
      </c>
      <c r="D162" t="inlineStr">
        <is>
          <t>VÄSTERNORRLANDS LÄN</t>
        </is>
      </c>
      <c r="E162" t="inlineStr">
        <is>
          <t>SUNDSVALL</t>
        </is>
      </c>
      <c r="G162" t="n">
        <v>20.8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59401-2018</t>
        </is>
      </c>
      <c r="B163" s="1" t="n">
        <v>43418</v>
      </c>
      <c r="C163" s="1" t="n">
        <v>45181</v>
      </c>
      <c r="D163" t="inlineStr">
        <is>
          <t>VÄSTERNORRLANDS LÄN</t>
        </is>
      </c>
      <c r="E163" t="inlineStr">
        <is>
          <t>SUNDSVALL</t>
        </is>
      </c>
      <c r="G163" t="n">
        <v>5.4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59407-2018</t>
        </is>
      </c>
      <c r="B164" s="1" t="n">
        <v>43418</v>
      </c>
      <c r="C164" s="1" t="n">
        <v>45181</v>
      </c>
      <c r="D164" t="inlineStr">
        <is>
          <t>VÄSTERNORRLANDS LÄN</t>
        </is>
      </c>
      <c r="E164" t="inlineStr">
        <is>
          <t>SUNDSVALL</t>
        </is>
      </c>
      <c r="F164" t="inlineStr">
        <is>
          <t>SCA</t>
        </is>
      </c>
      <c r="G164" t="n">
        <v>3.3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66867-2018</t>
        </is>
      </c>
      <c r="B165" s="1" t="n">
        <v>43418</v>
      </c>
      <c r="C165" s="1" t="n">
        <v>45181</v>
      </c>
      <c r="D165" t="inlineStr">
        <is>
          <t>VÄSTERNORRLANDS LÄN</t>
        </is>
      </c>
      <c r="E165" t="inlineStr">
        <is>
          <t>SUNDSVALL</t>
        </is>
      </c>
      <c r="G165" t="n">
        <v>5.2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59575-2018</t>
        </is>
      </c>
      <c r="B166" s="1" t="n">
        <v>43419</v>
      </c>
      <c r="C166" s="1" t="n">
        <v>45181</v>
      </c>
      <c r="D166" t="inlineStr">
        <is>
          <t>VÄSTERNORRLANDS LÄN</t>
        </is>
      </c>
      <c r="E166" t="inlineStr">
        <is>
          <t>SUNDSVALL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59907-2018</t>
        </is>
      </c>
      <c r="B167" s="1" t="n">
        <v>43419</v>
      </c>
      <c r="C167" s="1" t="n">
        <v>45181</v>
      </c>
      <c r="D167" t="inlineStr">
        <is>
          <t>VÄSTERNORRLANDS LÄN</t>
        </is>
      </c>
      <c r="E167" t="inlineStr">
        <is>
          <t>SUNDSVALL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64516-2018</t>
        </is>
      </c>
      <c r="B168" s="1" t="n">
        <v>43420</v>
      </c>
      <c r="C168" s="1" t="n">
        <v>45181</v>
      </c>
      <c r="D168" t="inlineStr">
        <is>
          <t>VÄSTERNORRLANDS LÄN</t>
        </is>
      </c>
      <c r="E168" t="inlineStr">
        <is>
          <t>SUNDSVALL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63627-2018</t>
        </is>
      </c>
      <c r="B169" s="1" t="n">
        <v>43427</v>
      </c>
      <c r="C169" s="1" t="n">
        <v>45181</v>
      </c>
      <c r="D169" t="inlineStr">
        <is>
          <t>VÄSTERNORRLANDS LÄN</t>
        </is>
      </c>
      <c r="E169" t="inlineStr">
        <is>
          <t>SUNDSVALL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64419-2018</t>
        </is>
      </c>
      <c r="B170" s="1" t="n">
        <v>43430</v>
      </c>
      <c r="C170" s="1" t="n">
        <v>45181</v>
      </c>
      <c r="D170" t="inlineStr">
        <is>
          <t>VÄSTERNORRLANDS LÄN</t>
        </is>
      </c>
      <c r="E170" t="inlineStr">
        <is>
          <t>SUNDSVALL</t>
        </is>
      </c>
      <c r="G170" t="n">
        <v>8.1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64420-2018</t>
        </is>
      </c>
      <c r="B171" s="1" t="n">
        <v>43430</v>
      </c>
      <c r="C171" s="1" t="n">
        <v>45181</v>
      </c>
      <c r="D171" t="inlineStr">
        <is>
          <t>VÄSTERNORRLANDS LÄN</t>
        </is>
      </c>
      <c r="E171" t="inlineStr">
        <is>
          <t>SUNDSVALL</t>
        </is>
      </c>
      <c r="G171" t="n">
        <v>10.4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64934-2018</t>
        </is>
      </c>
      <c r="B172" s="1" t="n">
        <v>43431</v>
      </c>
      <c r="C172" s="1" t="n">
        <v>45181</v>
      </c>
      <c r="D172" t="inlineStr">
        <is>
          <t>VÄSTERNORRLANDS LÄN</t>
        </is>
      </c>
      <c r="E172" t="inlineStr">
        <is>
          <t>SUNDSVALL</t>
        </is>
      </c>
      <c r="G172" t="n">
        <v>2.9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65329-2018</t>
        </is>
      </c>
      <c r="B173" s="1" t="n">
        <v>43432</v>
      </c>
      <c r="C173" s="1" t="n">
        <v>45181</v>
      </c>
      <c r="D173" t="inlineStr">
        <is>
          <t>VÄSTERNORRLANDS LÄN</t>
        </is>
      </c>
      <c r="E173" t="inlineStr">
        <is>
          <t>SUNDSVALL</t>
        </is>
      </c>
      <c r="G173" t="n">
        <v>2.1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65313-2018</t>
        </is>
      </c>
      <c r="B174" s="1" t="n">
        <v>43432</v>
      </c>
      <c r="C174" s="1" t="n">
        <v>45181</v>
      </c>
      <c r="D174" t="inlineStr">
        <is>
          <t>VÄSTERNORRLANDS LÄN</t>
        </is>
      </c>
      <c r="E174" t="inlineStr">
        <is>
          <t>SUNDSVALL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65328-2018</t>
        </is>
      </c>
      <c r="B175" s="1" t="n">
        <v>43432</v>
      </c>
      <c r="C175" s="1" t="n">
        <v>45181</v>
      </c>
      <c r="D175" t="inlineStr">
        <is>
          <t>VÄSTERNORRLANDS LÄN</t>
        </is>
      </c>
      <c r="E175" t="inlineStr">
        <is>
          <t>SUNDSVALL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65842-2018</t>
        </is>
      </c>
      <c r="B176" s="1" t="n">
        <v>43433</v>
      </c>
      <c r="C176" s="1" t="n">
        <v>45181</v>
      </c>
      <c r="D176" t="inlineStr">
        <is>
          <t>VÄSTERNORRLANDS LÄN</t>
        </is>
      </c>
      <c r="E176" t="inlineStr">
        <is>
          <t>SUNDSVALL</t>
        </is>
      </c>
      <c r="G176" t="n">
        <v>4.4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66197-2018</t>
        </is>
      </c>
      <c r="B177" s="1" t="n">
        <v>43434</v>
      </c>
      <c r="C177" s="1" t="n">
        <v>45181</v>
      </c>
      <c r="D177" t="inlineStr">
        <is>
          <t>VÄSTERNORRLANDS LÄN</t>
        </is>
      </c>
      <c r="E177" t="inlineStr">
        <is>
          <t>SUNDSVALL</t>
        </is>
      </c>
      <c r="F177" t="inlineStr">
        <is>
          <t>SCA</t>
        </is>
      </c>
      <c r="G177" t="n">
        <v>7.2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66577-2018</t>
        </is>
      </c>
      <c r="B178" s="1" t="n">
        <v>43437</v>
      </c>
      <c r="C178" s="1" t="n">
        <v>45181</v>
      </c>
      <c r="D178" t="inlineStr">
        <is>
          <t>VÄSTERNORRLANDS LÄN</t>
        </is>
      </c>
      <c r="E178" t="inlineStr">
        <is>
          <t>SUNDSVALL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66824-2018</t>
        </is>
      </c>
      <c r="B179" s="1" t="n">
        <v>43437</v>
      </c>
      <c r="C179" s="1" t="n">
        <v>45181</v>
      </c>
      <c r="D179" t="inlineStr">
        <is>
          <t>VÄSTERNORRLANDS LÄN</t>
        </is>
      </c>
      <c r="E179" t="inlineStr">
        <is>
          <t>SUNDSVALL</t>
        </is>
      </c>
      <c r="F179" t="inlineStr">
        <is>
          <t>SCA</t>
        </is>
      </c>
      <c r="G179" t="n">
        <v>14.7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66587-2018</t>
        </is>
      </c>
      <c r="B180" s="1" t="n">
        <v>43437</v>
      </c>
      <c r="C180" s="1" t="n">
        <v>45181</v>
      </c>
      <c r="D180" t="inlineStr">
        <is>
          <t>VÄSTERNORRLANDS LÄN</t>
        </is>
      </c>
      <c r="E180" t="inlineStr">
        <is>
          <t>SUNDSVALL</t>
        </is>
      </c>
      <c r="G180" t="n">
        <v>4.2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67172-2018</t>
        </is>
      </c>
      <c r="B181" s="1" t="n">
        <v>43438</v>
      </c>
      <c r="C181" s="1" t="n">
        <v>45181</v>
      </c>
      <c r="D181" t="inlineStr">
        <is>
          <t>VÄSTERNORRLANDS LÄN</t>
        </is>
      </c>
      <c r="E181" t="inlineStr">
        <is>
          <t>SUNDSVALL</t>
        </is>
      </c>
      <c r="F181" t="inlineStr">
        <is>
          <t>SCA</t>
        </is>
      </c>
      <c r="G181" t="n">
        <v>13.7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67171-2018</t>
        </is>
      </c>
      <c r="B182" s="1" t="n">
        <v>43438</v>
      </c>
      <c r="C182" s="1" t="n">
        <v>45181</v>
      </c>
      <c r="D182" t="inlineStr">
        <is>
          <t>VÄSTERNORRLANDS LÄN</t>
        </is>
      </c>
      <c r="E182" t="inlineStr">
        <is>
          <t>SUNDSVALL</t>
        </is>
      </c>
      <c r="F182" t="inlineStr">
        <is>
          <t>SCA</t>
        </is>
      </c>
      <c r="G182" t="n">
        <v>3.2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69370-2018</t>
        </is>
      </c>
      <c r="B183" s="1" t="n">
        <v>43446</v>
      </c>
      <c r="C183" s="1" t="n">
        <v>45181</v>
      </c>
      <c r="D183" t="inlineStr">
        <is>
          <t>VÄSTERNORRLANDS LÄN</t>
        </is>
      </c>
      <c r="E183" t="inlineStr">
        <is>
          <t>SUNDSVALL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70253-2018</t>
        </is>
      </c>
      <c r="B184" s="1" t="n">
        <v>43448</v>
      </c>
      <c r="C184" s="1" t="n">
        <v>45181</v>
      </c>
      <c r="D184" t="inlineStr">
        <is>
          <t>VÄSTERNORRLANDS LÄN</t>
        </is>
      </c>
      <c r="E184" t="inlineStr">
        <is>
          <t>SUNDSVALL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70950-2018</t>
        </is>
      </c>
      <c r="B185" s="1" t="n">
        <v>43452</v>
      </c>
      <c r="C185" s="1" t="n">
        <v>45181</v>
      </c>
      <c r="D185" t="inlineStr">
        <is>
          <t>VÄSTERNORRLANDS LÄN</t>
        </is>
      </c>
      <c r="E185" t="inlineStr">
        <is>
          <t>SUNDSVALL</t>
        </is>
      </c>
      <c r="G185" t="n">
        <v>3.8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71474-2018</t>
        </is>
      </c>
      <c r="B186" s="1" t="n">
        <v>43453</v>
      </c>
      <c r="C186" s="1" t="n">
        <v>45181</v>
      </c>
      <c r="D186" t="inlineStr">
        <is>
          <t>VÄSTERNORRLANDS LÄN</t>
        </is>
      </c>
      <c r="E186" t="inlineStr">
        <is>
          <t>SUNDSVALL</t>
        </is>
      </c>
      <c r="F186" t="inlineStr">
        <is>
          <t>Kommuner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71869-2018</t>
        </is>
      </c>
      <c r="B187" s="1" t="n">
        <v>43454</v>
      </c>
      <c r="C187" s="1" t="n">
        <v>45181</v>
      </c>
      <c r="D187" t="inlineStr">
        <is>
          <t>VÄSTERNORRLANDS LÄN</t>
        </is>
      </c>
      <c r="E187" t="inlineStr">
        <is>
          <t>SUNDSVALL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71867-2018</t>
        </is>
      </c>
      <c r="B188" s="1" t="n">
        <v>43454</v>
      </c>
      <c r="C188" s="1" t="n">
        <v>45181</v>
      </c>
      <c r="D188" t="inlineStr">
        <is>
          <t>VÄSTERNORRLANDS LÄN</t>
        </is>
      </c>
      <c r="E188" t="inlineStr">
        <is>
          <t>SUNDSVALL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71883-2018</t>
        </is>
      </c>
      <c r="B189" s="1" t="n">
        <v>43454</v>
      </c>
      <c r="C189" s="1" t="n">
        <v>45181</v>
      </c>
      <c r="D189" t="inlineStr">
        <is>
          <t>VÄSTERNORRLANDS LÄN</t>
        </is>
      </c>
      <c r="E189" t="inlineStr">
        <is>
          <t>SUNDSVALL</t>
        </is>
      </c>
      <c r="G189" t="n">
        <v>5.2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72090-2018</t>
        </is>
      </c>
      <c r="B190" s="1" t="n">
        <v>43455</v>
      </c>
      <c r="C190" s="1" t="n">
        <v>45181</v>
      </c>
      <c r="D190" t="inlineStr">
        <is>
          <t>VÄSTERNORRLANDS LÄN</t>
        </is>
      </c>
      <c r="E190" t="inlineStr">
        <is>
          <t>SUNDSVALL</t>
        </is>
      </c>
      <c r="G190" t="n">
        <v>7.9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238-2019</t>
        </is>
      </c>
      <c r="B191" s="1" t="n">
        <v>43467</v>
      </c>
      <c r="C191" s="1" t="n">
        <v>45181</v>
      </c>
      <c r="D191" t="inlineStr">
        <is>
          <t>VÄSTERNORRLANDS LÄN</t>
        </is>
      </c>
      <c r="E191" t="inlineStr">
        <is>
          <t>SUNDSVALL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578-2019</t>
        </is>
      </c>
      <c r="B192" s="1" t="n">
        <v>43469</v>
      </c>
      <c r="C192" s="1" t="n">
        <v>45181</v>
      </c>
      <c r="D192" t="inlineStr">
        <is>
          <t>VÄSTERNORRLANDS LÄN</t>
        </is>
      </c>
      <c r="E192" t="inlineStr">
        <is>
          <t>SUNDSVALL</t>
        </is>
      </c>
      <c r="G192" t="n">
        <v>0.1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705-2019</t>
        </is>
      </c>
      <c r="B193" s="1" t="n">
        <v>43469</v>
      </c>
      <c r="C193" s="1" t="n">
        <v>45181</v>
      </c>
      <c r="D193" t="inlineStr">
        <is>
          <t>VÄSTERNORRLANDS LÄN</t>
        </is>
      </c>
      <c r="E193" t="inlineStr">
        <is>
          <t>SUNDSVALL</t>
        </is>
      </c>
      <c r="G193" t="n">
        <v>2.5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1193-2019</t>
        </is>
      </c>
      <c r="B194" s="1" t="n">
        <v>43473</v>
      </c>
      <c r="C194" s="1" t="n">
        <v>45181</v>
      </c>
      <c r="D194" t="inlineStr">
        <is>
          <t>VÄSTERNORRLANDS LÄN</t>
        </is>
      </c>
      <c r="E194" t="inlineStr">
        <is>
          <t>SUNDSVALL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1259-2019</t>
        </is>
      </c>
      <c r="B195" s="1" t="n">
        <v>43473</v>
      </c>
      <c r="C195" s="1" t="n">
        <v>45181</v>
      </c>
      <c r="D195" t="inlineStr">
        <is>
          <t>VÄSTERNORRLANDS LÄN</t>
        </is>
      </c>
      <c r="E195" t="inlineStr">
        <is>
          <t>SUNDSVALL</t>
        </is>
      </c>
      <c r="G195" t="n">
        <v>3.4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1275-2019</t>
        </is>
      </c>
      <c r="B196" s="1" t="n">
        <v>43473</v>
      </c>
      <c r="C196" s="1" t="n">
        <v>45181</v>
      </c>
      <c r="D196" t="inlineStr">
        <is>
          <t>VÄSTERNORRLANDS LÄN</t>
        </is>
      </c>
      <c r="E196" t="inlineStr">
        <is>
          <t>SUNDSVALL</t>
        </is>
      </c>
      <c r="G196" t="n">
        <v>2.9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4953-2019</t>
        </is>
      </c>
      <c r="B197" s="1" t="n">
        <v>43479</v>
      </c>
      <c r="C197" s="1" t="n">
        <v>45181</v>
      </c>
      <c r="D197" t="inlineStr">
        <is>
          <t>VÄSTERNORRLANDS LÄN</t>
        </is>
      </c>
      <c r="E197" t="inlineStr">
        <is>
          <t>SUNDSVALL</t>
        </is>
      </c>
      <c r="G197" t="n">
        <v>14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5344-2019</t>
        </is>
      </c>
      <c r="B198" s="1" t="n">
        <v>43481</v>
      </c>
      <c r="C198" s="1" t="n">
        <v>45181</v>
      </c>
      <c r="D198" t="inlineStr">
        <is>
          <t>VÄSTERNORRLANDS LÄN</t>
        </is>
      </c>
      <c r="E198" t="inlineStr">
        <is>
          <t>SUNDSVALL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4831-2019</t>
        </is>
      </c>
      <c r="B199" s="1" t="n">
        <v>43486</v>
      </c>
      <c r="C199" s="1" t="n">
        <v>45181</v>
      </c>
      <c r="D199" t="inlineStr">
        <is>
          <t>VÄSTERNORRLANDS LÄN</t>
        </is>
      </c>
      <c r="E199" t="inlineStr">
        <is>
          <t>SUNDSVALL</t>
        </is>
      </c>
      <c r="G199" t="n">
        <v>11.8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4749-2019</t>
        </is>
      </c>
      <c r="B200" s="1" t="n">
        <v>43486</v>
      </c>
      <c r="C200" s="1" t="n">
        <v>45181</v>
      </c>
      <c r="D200" t="inlineStr">
        <is>
          <t>VÄSTERNORRLANDS LÄN</t>
        </is>
      </c>
      <c r="E200" t="inlineStr">
        <is>
          <t>SUNDSVALL</t>
        </is>
      </c>
      <c r="G200" t="n">
        <v>3.5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6623-2019</t>
        </is>
      </c>
      <c r="B201" s="1" t="n">
        <v>43488</v>
      </c>
      <c r="C201" s="1" t="n">
        <v>45181</v>
      </c>
      <c r="D201" t="inlineStr">
        <is>
          <t>VÄSTERNORRLANDS LÄN</t>
        </is>
      </c>
      <c r="E201" t="inlineStr">
        <is>
          <t>SUNDSVALL</t>
        </is>
      </c>
      <c r="G201" t="n">
        <v>7.6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5419-2019</t>
        </is>
      </c>
      <c r="B202" s="1" t="n">
        <v>43488</v>
      </c>
      <c r="C202" s="1" t="n">
        <v>45181</v>
      </c>
      <c r="D202" t="inlineStr">
        <is>
          <t>VÄSTERNORRLANDS LÄN</t>
        </is>
      </c>
      <c r="E202" t="inlineStr">
        <is>
          <t>SUNDSVALL</t>
        </is>
      </c>
      <c r="G202" t="n">
        <v>4.3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5934-2019</t>
        </is>
      </c>
      <c r="B203" s="1" t="n">
        <v>43490</v>
      </c>
      <c r="C203" s="1" t="n">
        <v>45181</v>
      </c>
      <c r="D203" t="inlineStr">
        <is>
          <t>VÄSTERNORRLANDS LÄN</t>
        </is>
      </c>
      <c r="E203" t="inlineStr">
        <is>
          <t>SUNDSVALL</t>
        </is>
      </c>
      <c r="G203" t="n">
        <v>4.7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6767-2019</t>
        </is>
      </c>
      <c r="B204" s="1" t="n">
        <v>43494</v>
      </c>
      <c r="C204" s="1" t="n">
        <v>45181</v>
      </c>
      <c r="D204" t="inlineStr">
        <is>
          <t>VÄSTERNORRLANDS LÄN</t>
        </is>
      </c>
      <c r="E204" t="inlineStr">
        <is>
          <t>SUNDSVALL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6768-2019</t>
        </is>
      </c>
      <c r="B205" s="1" t="n">
        <v>43494</v>
      </c>
      <c r="C205" s="1" t="n">
        <v>45181</v>
      </c>
      <c r="D205" t="inlineStr">
        <is>
          <t>VÄSTERNORRLANDS LÄN</t>
        </is>
      </c>
      <c r="E205" t="inlineStr">
        <is>
          <t>SUNDSVALL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6766-2019</t>
        </is>
      </c>
      <c r="B206" s="1" t="n">
        <v>43494</v>
      </c>
      <c r="C206" s="1" t="n">
        <v>45181</v>
      </c>
      <c r="D206" t="inlineStr">
        <is>
          <t>VÄSTERNORRLANDS LÄN</t>
        </is>
      </c>
      <c r="E206" t="inlineStr">
        <is>
          <t>SUNDSVALL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6931-2019</t>
        </is>
      </c>
      <c r="B207" s="1" t="n">
        <v>43495</v>
      </c>
      <c r="C207" s="1" t="n">
        <v>45181</v>
      </c>
      <c r="D207" t="inlineStr">
        <is>
          <t>VÄSTERNORRLANDS LÄN</t>
        </is>
      </c>
      <c r="E207" t="inlineStr">
        <is>
          <t>SUNDSVALL</t>
        </is>
      </c>
      <c r="F207" t="inlineStr">
        <is>
          <t>Kommuner</t>
        </is>
      </c>
      <c r="G207" t="n">
        <v>3.1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7125-2019</t>
        </is>
      </c>
      <c r="B208" s="1" t="n">
        <v>43496</v>
      </c>
      <c r="C208" s="1" t="n">
        <v>45181</v>
      </c>
      <c r="D208" t="inlineStr">
        <is>
          <t>VÄSTERNORRLANDS LÄN</t>
        </is>
      </c>
      <c r="E208" t="inlineStr">
        <is>
          <t>SUNDSVALL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8448-2019</t>
        </is>
      </c>
      <c r="B209" s="1" t="n">
        <v>43497</v>
      </c>
      <c r="C209" s="1" t="n">
        <v>45181</v>
      </c>
      <c r="D209" t="inlineStr">
        <is>
          <t>VÄSTERNORRLANDS LÄN</t>
        </is>
      </c>
      <c r="E209" t="inlineStr">
        <is>
          <t>SUNDSVALL</t>
        </is>
      </c>
      <c r="G209" t="n">
        <v>8.4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8876-2019</t>
        </is>
      </c>
      <c r="B210" s="1" t="n">
        <v>43503</v>
      </c>
      <c r="C210" s="1" t="n">
        <v>45181</v>
      </c>
      <c r="D210" t="inlineStr">
        <is>
          <t>VÄSTERNORRLANDS LÄN</t>
        </is>
      </c>
      <c r="E210" t="inlineStr">
        <is>
          <t>SUNDSVALL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8870-2019</t>
        </is>
      </c>
      <c r="B211" s="1" t="n">
        <v>43503</v>
      </c>
      <c r="C211" s="1" t="n">
        <v>45181</v>
      </c>
      <c r="D211" t="inlineStr">
        <is>
          <t>VÄSTERNORRLANDS LÄN</t>
        </is>
      </c>
      <c r="E211" t="inlineStr">
        <is>
          <t>SUNDSVALL</t>
        </is>
      </c>
      <c r="G211" t="n">
        <v>2.7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9528-2019</t>
        </is>
      </c>
      <c r="B212" s="1" t="n">
        <v>43507</v>
      </c>
      <c r="C212" s="1" t="n">
        <v>45181</v>
      </c>
      <c r="D212" t="inlineStr">
        <is>
          <t>VÄSTERNORRLANDS LÄN</t>
        </is>
      </c>
      <c r="E212" t="inlineStr">
        <is>
          <t>SUNDSVALL</t>
        </is>
      </c>
      <c r="F212" t="inlineStr">
        <is>
          <t>SCA</t>
        </is>
      </c>
      <c r="G212" t="n">
        <v>3.6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9517-2019</t>
        </is>
      </c>
      <c r="B213" s="1" t="n">
        <v>43507</v>
      </c>
      <c r="C213" s="1" t="n">
        <v>45181</v>
      </c>
      <c r="D213" t="inlineStr">
        <is>
          <t>VÄSTERNORRLANDS LÄN</t>
        </is>
      </c>
      <c r="E213" t="inlineStr">
        <is>
          <t>SUNDSVALL</t>
        </is>
      </c>
      <c r="F213" t="inlineStr">
        <is>
          <t>SCA</t>
        </is>
      </c>
      <c r="G213" t="n">
        <v>5.5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10249-2019</t>
        </is>
      </c>
      <c r="B214" s="1" t="n">
        <v>43510</v>
      </c>
      <c r="C214" s="1" t="n">
        <v>45181</v>
      </c>
      <c r="D214" t="inlineStr">
        <is>
          <t>VÄSTERNORRLANDS LÄN</t>
        </is>
      </c>
      <c r="E214" t="inlineStr">
        <is>
          <t>SUNDSVALL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10400-2019</t>
        </is>
      </c>
      <c r="B215" s="1" t="n">
        <v>43511</v>
      </c>
      <c r="C215" s="1" t="n">
        <v>45181</v>
      </c>
      <c r="D215" t="inlineStr">
        <is>
          <t>VÄSTERNORRLANDS LÄN</t>
        </is>
      </c>
      <c r="E215" t="inlineStr">
        <is>
          <t>SUNDSVALL</t>
        </is>
      </c>
      <c r="G215" t="n">
        <v>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11078-2019</t>
        </is>
      </c>
      <c r="B216" s="1" t="n">
        <v>43515</v>
      </c>
      <c r="C216" s="1" t="n">
        <v>45181</v>
      </c>
      <c r="D216" t="inlineStr">
        <is>
          <t>VÄSTERNORRLANDS LÄN</t>
        </is>
      </c>
      <c r="E216" t="inlineStr">
        <is>
          <t>SUNDSVALL</t>
        </is>
      </c>
      <c r="G216" t="n">
        <v>11.7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11194-2019</t>
        </is>
      </c>
      <c r="B217" s="1" t="n">
        <v>43516</v>
      </c>
      <c r="C217" s="1" t="n">
        <v>45181</v>
      </c>
      <c r="D217" t="inlineStr">
        <is>
          <t>VÄSTERNORRLANDS LÄN</t>
        </is>
      </c>
      <c r="E217" t="inlineStr">
        <is>
          <t>SUNDSVALL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11196-2019</t>
        </is>
      </c>
      <c r="B218" s="1" t="n">
        <v>43516</v>
      </c>
      <c r="C218" s="1" t="n">
        <v>45181</v>
      </c>
      <c r="D218" t="inlineStr">
        <is>
          <t>VÄSTERNORRLANDS LÄN</t>
        </is>
      </c>
      <c r="E218" t="inlineStr">
        <is>
          <t>SUNDSVALL</t>
        </is>
      </c>
      <c r="G218" t="n">
        <v>7.8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11282-2019</t>
        </is>
      </c>
      <c r="B219" s="1" t="n">
        <v>43516</v>
      </c>
      <c r="C219" s="1" t="n">
        <v>45181</v>
      </c>
      <c r="D219" t="inlineStr">
        <is>
          <t>VÄSTERNORRLANDS LÄN</t>
        </is>
      </c>
      <c r="E219" t="inlineStr">
        <is>
          <t>SUNDSVALL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11131-2019</t>
        </is>
      </c>
      <c r="B220" s="1" t="n">
        <v>43516</v>
      </c>
      <c r="C220" s="1" t="n">
        <v>45181</v>
      </c>
      <c r="D220" t="inlineStr">
        <is>
          <t>VÄSTERNORRLANDS LÄN</t>
        </is>
      </c>
      <c r="E220" t="inlineStr">
        <is>
          <t>SUNDSVALL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11178-2019</t>
        </is>
      </c>
      <c r="B221" s="1" t="n">
        <v>43516</v>
      </c>
      <c r="C221" s="1" t="n">
        <v>45181</v>
      </c>
      <c r="D221" t="inlineStr">
        <is>
          <t>VÄSTERNORRLANDS LÄN</t>
        </is>
      </c>
      <c r="E221" t="inlineStr">
        <is>
          <t>SUNDSVALL</t>
        </is>
      </c>
      <c r="G221" t="n">
        <v>5.3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11384-2019</t>
        </is>
      </c>
      <c r="B222" s="1" t="n">
        <v>43517</v>
      </c>
      <c r="C222" s="1" t="n">
        <v>45181</v>
      </c>
      <c r="D222" t="inlineStr">
        <is>
          <t>VÄSTERNORRLANDS LÄN</t>
        </is>
      </c>
      <c r="E222" t="inlineStr">
        <is>
          <t>SUNDSVALL</t>
        </is>
      </c>
      <c r="G222" t="n">
        <v>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12009-2019</t>
        </is>
      </c>
      <c r="B223" s="1" t="n">
        <v>43521</v>
      </c>
      <c r="C223" s="1" t="n">
        <v>45181</v>
      </c>
      <c r="D223" t="inlineStr">
        <is>
          <t>VÄSTERNORRLANDS LÄN</t>
        </is>
      </c>
      <c r="E223" t="inlineStr">
        <is>
          <t>SUNDSVALL</t>
        </is>
      </c>
      <c r="G223" t="n">
        <v>4.7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12015-2019</t>
        </is>
      </c>
      <c r="B224" s="1" t="n">
        <v>43521</v>
      </c>
      <c r="C224" s="1" t="n">
        <v>45181</v>
      </c>
      <c r="D224" t="inlineStr">
        <is>
          <t>VÄSTERNORRLANDS LÄN</t>
        </is>
      </c>
      <c r="E224" t="inlineStr">
        <is>
          <t>SUNDSVALL</t>
        </is>
      </c>
      <c r="G224" t="n">
        <v>3.2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12016-2019</t>
        </is>
      </c>
      <c r="B225" s="1" t="n">
        <v>43521</v>
      </c>
      <c r="C225" s="1" t="n">
        <v>45181</v>
      </c>
      <c r="D225" t="inlineStr">
        <is>
          <t>VÄSTERNORRLANDS LÄN</t>
        </is>
      </c>
      <c r="E225" t="inlineStr">
        <is>
          <t>SUNDSVALL</t>
        </is>
      </c>
      <c r="F225" t="inlineStr">
        <is>
          <t>SCA</t>
        </is>
      </c>
      <c r="G225" t="n">
        <v>14.3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12024-2019</t>
        </is>
      </c>
      <c r="B226" s="1" t="n">
        <v>43522</v>
      </c>
      <c r="C226" s="1" t="n">
        <v>45181</v>
      </c>
      <c r="D226" t="inlineStr">
        <is>
          <t>VÄSTERNORRLANDS LÄN</t>
        </is>
      </c>
      <c r="E226" t="inlineStr">
        <is>
          <t>SUNDSVALL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12253-2019</t>
        </is>
      </c>
      <c r="B227" s="1" t="n">
        <v>43522</v>
      </c>
      <c r="C227" s="1" t="n">
        <v>45181</v>
      </c>
      <c r="D227" t="inlineStr">
        <is>
          <t>VÄSTERNORRLANDS LÄN</t>
        </is>
      </c>
      <c r="E227" t="inlineStr">
        <is>
          <t>SUNDSVALL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12249-2019</t>
        </is>
      </c>
      <c r="B228" s="1" t="n">
        <v>43522</v>
      </c>
      <c r="C228" s="1" t="n">
        <v>45181</v>
      </c>
      <c r="D228" t="inlineStr">
        <is>
          <t>VÄSTERNORRLANDS LÄN</t>
        </is>
      </c>
      <c r="E228" t="inlineStr">
        <is>
          <t>SUNDSVALL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12331-2019</t>
        </is>
      </c>
      <c r="B229" s="1" t="n">
        <v>43523</v>
      </c>
      <c r="C229" s="1" t="n">
        <v>45181</v>
      </c>
      <c r="D229" t="inlineStr">
        <is>
          <t>VÄSTERNORRLANDS LÄN</t>
        </is>
      </c>
      <c r="E229" t="inlineStr">
        <is>
          <t>SUNDSVALL</t>
        </is>
      </c>
      <c r="F229" t="inlineStr">
        <is>
          <t>Holmen skog AB</t>
        </is>
      </c>
      <c r="G229" t="n">
        <v>8.4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12501-2019</t>
        </is>
      </c>
      <c r="B230" s="1" t="n">
        <v>43523</v>
      </c>
      <c r="C230" s="1" t="n">
        <v>45181</v>
      </c>
      <c r="D230" t="inlineStr">
        <is>
          <t>VÄSTERNORRLANDS LÄN</t>
        </is>
      </c>
      <c r="E230" t="inlineStr">
        <is>
          <t>SUNDSVALL</t>
        </is>
      </c>
      <c r="G230" t="n">
        <v>10.5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13679-2019</t>
        </is>
      </c>
      <c r="B231" s="1" t="n">
        <v>43530</v>
      </c>
      <c r="C231" s="1" t="n">
        <v>45181</v>
      </c>
      <c r="D231" t="inlineStr">
        <is>
          <t>VÄSTERNORRLANDS LÄN</t>
        </is>
      </c>
      <c r="E231" t="inlineStr">
        <is>
          <t>SUNDSVALL</t>
        </is>
      </c>
      <c r="G231" t="n">
        <v>4.5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14720-2019</t>
        </is>
      </c>
      <c r="B232" s="1" t="n">
        <v>43535</v>
      </c>
      <c r="C232" s="1" t="n">
        <v>45181</v>
      </c>
      <c r="D232" t="inlineStr">
        <is>
          <t>VÄSTERNORRLANDS LÄN</t>
        </is>
      </c>
      <c r="E232" t="inlineStr">
        <is>
          <t>SUNDSVALL</t>
        </is>
      </c>
      <c r="F232" t="inlineStr">
        <is>
          <t>SCA</t>
        </is>
      </c>
      <c r="G232" t="n">
        <v>19.4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14886-2019</t>
        </is>
      </c>
      <c r="B233" s="1" t="n">
        <v>43538</v>
      </c>
      <c r="C233" s="1" t="n">
        <v>45181</v>
      </c>
      <c r="D233" t="inlineStr">
        <is>
          <t>VÄSTERNORRLANDS LÄN</t>
        </is>
      </c>
      <c r="E233" t="inlineStr">
        <is>
          <t>SUNDSVALL</t>
        </is>
      </c>
      <c r="F233" t="inlineStr">
        <is>
          <t>SCA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14954-2019</t>
        </is>
      </c>
      <c r="B234" s="1" t="n">
        <v>43538</v>
      </c>
      <c r="C234" s="1" t="n">
        <v>45181</v>
      </c>
      <c r="D234" t="inlineStr">
        <is>
          <t>VÄSTERNORRLANDS LÄN</t>
        </is>
      </c>
      <c r="E234" t="inlineStr">
        <is>
          <t>SUNDSVALL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14893-2019</t>
        </is>
      </c>
      <c r="B235" s="1" t="n">
        <v>43538</v>
      </c>
      <c r="C235" s="1" t="n">
        <v>45181</v>
      </c>
      <c r="D235" t="inlineStr">
        <is>
          <t>VÄSTERNORRLANDS LÄN</t>
        </is>
      </c>
      <c r="E235" t="inlineStr">
        <is>
          <t>SUNDSVALL</t>
        </is>
      </c>
      <c r="G235" t="n">
        <v>5.8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14814-2019</t>
        </is>
      </c>
      <c r="B236" s="1" t="n">
        <v>43539</v>
      </c>
      <c r="C236" s="1" t="n">
        <v>45181</v>
      </c>
      <c r="D236" t="inlineStr">
        <is>
          <t>VÄSTERNORRLANDS LÄN</t>
        </is>
      </c>
      <c r="E236" t="inlineStr">
        <is>
          <t>SUNDSVALL</t>
        </is>
      </c>
      <c r="F236" t="inlineStr">
        <is>
          <t>Kommuner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15305-2019</t>
        </is>
      </c>
      <c r="B237" s="1" t="n">
        <v>43542</v>
      </c>
      <c r="C237" s="1" t="n">
        <v>45181</v>
      </c>
      <c r="D237" t="inlineStr">
        <is>
          <t>VÄSTERNORRLANDS LÄN</t>
        </is>
      </c>
      <c r="E237" t="inlineStr">
        <is>
          <t>SUNDSVALL</t>
        </is>
      </c>
      <c r="F237" t="inlineStr">
        <is>
          <t>Holmen skog AB</t>
        </is>
      </c>
      <c r="G237" t="n">
        <v>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15880-2019</t>
        </is>
      </c>
      <c r="B238" s="1" t="n">
        <v>43543</v>
      </c>
      <c r="C238" s="1" t="n">
        <v>45181</v>
      </c>
      <c r="D238" t="inlineStr">
        <is>
          <t>VÄSTERNORRLANDS LÄN</t>
        </is>
      </c>
      <c r="E238" t="inlineStr">
        <is>
          <t>SUNDSVALL</t>
        </is>
      </c>
      <c r="F238" t="inlineStr">
        <is>
          <t>SCA</t>
        </is>
      </c>
      <c r="G238" t="n">
        <v>43.8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16563-2019</t>
        </is>
      </c>
      <c r="B239" s="1" t="n">
        <v>43546</v>
      </c>
      <c r="C239" s="1" t="n">
        <v>45181</v>
      </c>
      <c r="D239" t="inlineStr">
        <is>
          <t>VÄSTERNORRLANDS LÄN</t>
        </is>
      </c>
      <c r="E239" t="inlineStr">
        <is>
          <t>SUNDSVALL</t>
        </is>
      </c>
      <c r="F239" t="inlineStr">
        <is>
          <t>Naturvårdsverket</t>
        </is>
      </c>
      <c r="G239" t="n">
        <v>3.2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16543-2019</t>
        </is>
      </c>
      <c r="B240" s="1" t="n">
        <v>43546</v>
      </c>
      <c r="C240" s="1" t="n">
        <v>45181</v>
      </c>
      <c r="D240" t="inlineStr">
        <is>
          <t>VÄSTERNORRLANDS LÄN</t>
        </is>
      </c>
      <c r="E240" t="inlineStr">
        <is>
          <t>SUNDSVALL</t>
        </is>
      </c>
      <c r="G240" t="n">
        <v>3.7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16845-2019</t>
        </is>
      </c>
      <c r="B241" s="1" t="n">
        <v>43549</v>
      </c>
      <c r="C241" s="1" t="n">
        <v>45181</v>
      </c>
      <c r="D241" t="inlineStr">
        <is>
          <t>VÄSTERNORRLANDS LÄN</t>
        </is>
      </c>
      <c r="E241" t="inlineStr">
        <is>
          <t>SUNDSVALL</t>
        </is>
      </c>
      <c r="F241" t="inlineStr">
        <is>
          <t>SCA</t>
        </is>
      </c>
      <c r="G241" t="n">
        <v>4.9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17195-2019</t>
        </is>
      </c>
      <c r="B242" s="1" t="n">
        <v>43552</v>
      </c>
      <c r="C242" s="1" t="n">
        <v>45181</v>
      </c>
      <c r="D242" t="inlineStr">
        <is>
          <t>VÄSTERNORRLANDS LÄN</t>
        </is>
      </c>
      <c r="E242" t="inlineStr">
        <is>
          <t>SUNDSVALL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17192-2019</t>
        </is>
      </c>
      <c r="B243" s="1" t="n">
        <v>43552</v>
      </c>
      <c r="C243" s="1" t="n">
        <v>45181</v>
      </c>
      <c r="D243" t="inlineStr">
        <is>
          <t>VÄSTERNORRLANDS LÄN</t>
        </is>
      </c>
      <c r="E243" t="inlineStr">
        <is>
          <t>SUNDSVALL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17537-2019</t>
        </is>
      </c>
      <c r="B244" s="1" t="n">
        <v>43553</v>
      </c>
      <c r="C244" s="1" t="n">
        <v>45181</v>
      </c>
      <c r="D244" t="inlineStr">
        <is>
          <t>VÄSTERNORRLANDS LÄN</t>
        </is>
      </c>
      <c r="E244" t="inlineStr">
        <is>
          <t>SUNDSVALL</t>
        </is>
      </c>
      <c r="F244" t="inlineStr">
        <is>
          <t>Kommuner</t>
        </is>
      </c>
      <c r="G244" t="n">
        <v>2.5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18070-2019</t>
        </is>
      </c>
      <c r="B245" s="1" t="n">
        <v>43557</v>
      </c>
      <c r="C245" s="1" t="n">
        <v>45181</v>
      </c>
      <c r="D245" t="inlineStr">
        <is>
          <t>VÄSTERNORRLANDS LÄN</t>
        </is>
      </c>
      <c r="E245" t="inlineStr">
        <is>
          <t>SUNDSVALL</t>
        </is>
      </c>
      <c r="G245" t="n">
        <v>7.5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18198-2019</t>
        </is>
      </c>
      <c r="B246" s="1" t="n">
        <v>43558</v>
      </c>
      <c r="C246" s="1" t="n">
        <v>45181</v>
      </c>
      <c r="D246" t="inlineStr">
        <is>
          <t>VÄSTERNORRLANDS LÄN</t>
        </is>
      </c>
      <c r="E246" t="inlineStr">
        <is>
          <t>SUNDSVALL</t>
        </is>
      </c>
      <c r="F246" t="inlineStr">
        <is>
          <t>Holmen skog AB</t>
        </is>
      </c>
      <c r="G246" t="n">
        <v>5.4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18745-2019</t>
        </is>
      </c>
      <c r="B247" s="1" t="n">
        <v>43560</v>
      </c>
      <c r="C247" s="1" t="n">
        <v>45181</v>
      </c>
      <c r="D247" t="inlineStr">
        <is>
          <t>VÄSTERNORRLANDS LÄN</t>
        </is>
      </c>
      <c r="E247" t="inlineStr">
        <is>
          <t>SUNDSVALL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19544-2019</t>
        </is>
      </c>
      <c r="B248" s="1" t="n">
        <v>43565</v>
      </c>
      <c r="C248" s="1" t="n">
        <v>45181</v>
      </c>
      <c r="D248" t="inlineStr">
        <is>
          <t>VÄSTERNORRLANDS LÄN</t>
        </is>
      </c>
      <c r="E248" t="inlineStr">
        <is>
          <t>SUNDSVALL</t>
        </is>
      </c>
      <c r="F248" t="inlineStr">
        <is>
          <t>SCA</t>
        </is>
      </c>
      <c r="G248" t="n">
        <v>21.4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19551-2019</t>
        </is>
      </c>
      <c r="B249" s="1" t="n">
        <v>43565</v>
      </c>
      <c r="C249" s="1" t="n">
        <v>45181</v>
      </c>
      <c r="D249" t="inlineStr">
        <is>
          <t>VÄSTERNORRLANDS LÄN</t>
        </is>
      </c>
      <c r="E249" t="inlineStr">
        <is>
          <t>SUNDSVALL</t>
        </is>
      </c>
      <c r="G249" t="n">
        <v>4.4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19545-2019</t>
        </is>
      </c>
      <c r="B250" s="1" t="n">
        <v>43565</v>
      </c>
      <c r="C250" s="1" t="n">
        <v>45181</v>
      </c>
      <c r="D250" t="inlineStr">
        <is>
          <t>VÄSTERNORRLANDS LÄN</t>
        </is>
      </c>
      <c r="E250" t="inlineStr">
        <is>
          <t>SUNDSVALL</t>
        </is>
      </c>
      <c r="F250" t="inlineStr">
        <is>
          <t>SCA</t>
        </is>
      </c>
      <c r="G250" t="n">
        <v>28.6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19547-2019</t>
        </is>
      </c>
      <c r="B251" s="1" t="n">
        <v>43565</v>
      </c>
      <c r="C251" s="1" t="n">
        <v>45181</v>
      </c>
      <c r="D251" t="inlineStr">
        <is>
          <t>VÄSTERNORRLANDS LÄN</t>
        </is>
      </c>
      <c r="E251" t="inlineStr">
        <is>
          <t>SUNDSVALL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19548-2019</t>
        </is>
      </c>
      <c r="B252" s="1" t="n">
        <v>43565</v>
      </c>
      <c r="C252" s="1" t="n">
        <v>45181</v>
      </c>
      <c r="D252" t="inlineStr">
        <is>
          <t>VÄSTERNORRLANDS LÄN</t>
        </is>
      </c>
      <c r="E252" t="inlineStr">
        <is>
          <t>SUNDSVALL</t>
        </is>
      </c>
      <c r="G252" t="n">
        <v>4.7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20563-2019</t>
        </is>
      </c>
      <c r="B253" s="1" t="n">
        <v>43572</v>
      </c>
      <c r="C253" s="1" t="n">
        <v>45181</v>
      </c>
      <c r="D253" t="inlineStr">
        <is>
          <t>VÄSTERNORRLANDS LÄN</t>
        </is>
      </c>
      <c r="E253" t="inlineStr">
        <is>
          <t>SUNDSVALL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20651-2019</t>
        </is>
      </c>
      <c r="B254" s="1" t="n">
        <v>43572</v>
      </c>
      <c r="C254" s="1" t="n">
        <v>45181</v>
      </c>
      <c r="D254" t="inlineStr">
        <is>
          <t>VÄSTERNORRLANDS LÄN</t>
        </is>
      </c>
      <c r="E254" t="inlineStr">
        <is>
          <t>SUNDSVALL</t>
        </is>
      </c>
      <c r="G254" t="n">
        <v>4.5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21698-2019</t>
        </is>
      </c>
      <c r="B255" s="1" t="n">
        <v>43581</v>
      </c>
      <c r="C255" s="1" t="n">
        <v>45181</v>
      </c>
      <c r="D255" t="inlineStr">
        <is>
          <t>VÄSTERNORRLANDS LÄN</t>
        </is>
      </c>
      <c r="E255" t="inlineStr">
        <is>
          <t>SUNDSVALL</t>
        </is>
      </c>
      <c r="G255" t="n">
        <v>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22089-2019</t>
        </is>
      </c>
      <c r="B256" s="1" t="n">
        <v>43584</v>
      </c>
      <c r="C256" s="1" t="n">
        <v>45181</v>
      </c>
      <c r="D256" t="inlineStr">
        <is>
          <t>VÄSTERNORRLANDS LÄN</t>
        </is>
      </c>
      <c r="E256" t="inlineStr">
        <is>
          <t>SUNDSVALL</t>
        </is>
      </c>
      <c r="G256" t="n">
        <v>12.9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22603-2019</t>
        </is>
      </c>
      <c r="B257" s="1" t="n">
        <v>43588</v>
      </c>
      <c r="C257" s="1" t="n">
        <v>45181</v>
      </c>
      <c r="D257" t="inlineStr">
        <is>
          <t>VÄSTERNORRLANDS LÄN</t>
        </is>
      </c>
      <c r="E257" t="inlineStr">
        <is>
          <t>SUNDSVALL</t>
        </is>
      </c>
      <c r="G257" t="n">
        <v>23.7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22782-2019</t>
        </is>
      </c>
      <c r="B258" s="1" t="n">
        <v>43589</v>
      </c>
      <c r="C258" s="1" t="n">
        <v>45181</v>
      </c>
      <c r="D258" t="inlineStr">
        <is>
          <t>VÄSTERNORRLANDS LÄN</t>
        </is>
      </c>
      <c r="E258" t="inlineStr">
        <is>
          <t>SUNDSVALL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23078-2019</t>
        </is>
      </c>
      <c r="B259" s="1" t="n">
        <v>43591</v>
      </c>
      <c r="C259" s="1" t="n">
        <v>45181</v>
      </c>
      <c r="D259" t="inlineStr">
        <is>
          <t>VÄSTERNORRLANDS LÄN</t>
        </is>
      </c>
      <c r="E259" t="inlineStr">
        <is>
          <t>SUNDSVALL</t>
        </is>
      </c>
      <c r="G259" t="n">
        <v>9.199999999999999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23077-2019</t>
        </is>
      </c>
      <c r="B260" s="1" t="n">
        <v>43591</v>
      </c>
      <c r="C260" s="1" t="n">
        <v>45181</v>
      </c>
      <c r="D260" t="inlineStr">
        <is>
          <t>VÄSTERNORRLANDS LÄN</t>
        </is>
      </c>
      <c r="E260" t="inlineStr">
        <is>
          <t>SUNDSVALL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23073-2019</t>
        </is>
      </c>
      <c r="B261" s="1" t="n">
        <v>43591</v>
      </c>
      <c r="C261" s="1" t="n">
        <v>45181</v>
      </c>
      <c r="D261" t="inlineStr">
        <is>
          <t>VÄSTERNORRLANDS LÄN</t>
        </is>
      </c>
      <c r="E261" t="inlineStr">
        <is>
          <t>SUNDSVALL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23455-2019</t>
        </is>
      </c>
      <c r="B262" s="1" t="n">
        <v>43593</v>
      </c>
      <c r="C262" s="1" t="n">
        <v>45181</v>
      </c>
      <c r="D262" t="inlineStr">
        <is>
          <t>VÄSTERNORRLANDS LÄN</t>
        </is>
      </c>
      <c r="E262" t="inlineStr">
        <is>
          <t>SUNDSVALL</t>
        </is>
      </c>
      <c r="G262" t="n">
        <v>3.9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23790-2019</t>
        </is>
      </c>
      <c r="B263" s="1" t="n">
        <v>43595</v>
      </c>
      <c r="C263" s="1" t="n">
        <v>45181</v>
      </c>
      <c r="D263" t="inlineStr">
        <is>
          <t>VÄSTERNORRLANDS LÄN</t>
        </is>
      </c>
      <c r="E263" t="inlineStr">
        <is>
          <t>SUNDSVALL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23931-2019</t>
        </is>
      </c>
      <c r="B264" s="1" t="n">
        <v>43595</v>
      </c>
      <c r="C264" s="1" t="n">
        <v>45181</v>
      </c>
      <c r="D264" t="inlineStr">
        <is>
          <t>VÄSTERNORRLANDS LÄN</t>
        </is>
      </c>
      <c r="E264" t="inlineStr">
        <is>
          <t>SUNDSVALL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23929-2019</t>
        </is>
      </c>
      <c r="B265" s="1" t="n">
        <v>43595</v>
      </c>
      <c r="C265" s="1" t="n">
        <v>45181</v>
      </c>
      <c r="D265" t="inlineStr">
        <is>
          <t>VÄSTERNORRLANDS LÄN</t>
        </is>
      </c>
      <c r="E265" t="inlineStr">
        <is>
          <t>SUNDSVALL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24271-2019</t>
        </is>
      </c>
      <c r="B266" s="1" t="n">
        <v>43599</v>
      </c>
      <c r="C266" s="1" t="n">
        <v>45181</v>
      </c>
      <c r="D266" t="inlineStr">
        <is>
          <t>VÄSTERNORRLANDS LÄN</t>
        </is>
      </c>
      <c r="E266" t="inlineStr">
        <is>
          <t>SUNDSVALL</t>
        </is>
      </c>
      <c r="G266" t="n">
        <v>7.8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24583-2019</t>
        </is>
      </c>
      <c r="B267" s="1" t="n">
        <v>43600</v>
      </c>
      <c r="C267" s="1" t="n">
        <v>45181</v>
      </c>
      <c r="D267" t="inlineStr">
        <is>
          <t>VÄSTERNORRLANDS LÄN</t>
        </is>
      </c>
      <c r="E267" t="inlineStr">
        <is>
          <t>SUNDSVALL</t>
        </is>
      </c>
      <c r="G267" t="n">
        <v>3.1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24585-2019</t>
        </is>
      </c>
      <c r="B268" s="1" t="n">
        <v>43600</v>
      </c>
      <c r="C268" s="1" t="n">
        <v>45181</v>
      </c>
      <c r="D268" t="inlineStr">
        <is>
          <t>VÄSTERNORRLANDS LÄN</t>
        </is>
      </c>
      <c r="E268" t="inlineStr">
        <is>
          <t>SUNDSVALL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24783-2019</t>
        </is>
      </c>
      <c r="B269" s="1" t="n">
        <v>43601</v>
      </c>
      <c r="C269" s="1" t="n">
        <v>45181</v>
      </c>
      <c r="D269" t="inlineStr">
        <is>
          <t>VÄSTERNORRLANDS LÄN</t>
        </is>
      </c>
      <c r="E269" t="inlineStr">
        <is>
          <t>SUNDSVALL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24771-2019</t>
        </is>
      </c>
      <c r="B270" s="1" t="n">
        <v>43601</v>
      </c>
      <c r="C270" s="1" t="n">
        <v>45181</v>
      </c>
      <c r="D270" t="inlineStr">
        <is>
          <t>VÄSTERNORRLANDS LÄN</t>
        </is>
      </c>
      <c r="E270" t="inlineStr">
        <is>
          <t>SUNDSVALL</t>
        </is>
      </c>
      <c r="F270" t="inlineStr">
        <is>
          <t>SCA</t>
        </is>
      </c>
      <c r="G270" t="n">
        <v>17.9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24848-2019</t>
        </is>
      </c>
      <c r="B271" s="1" t="n">
        <v>43602</v>
      </c>
      <c r="C271" s="1" t="n">
        <v>45181</v>
      </c>
      <c r="D271" t="inlineStr">
        <is>
          <t>VÄSTERNORRLANDS LÄN</t>
        </is>
      </c>
      <c r="E271" t="inlineStr">
        <is>
          <t>SUNDSVALL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25044-2019</t>
        </is>
      </c>
      <c r="B272" s="1" t="n">
        <v>43603</v>
      </c>
      <c r="C272" s="1" t="n">
        <v>45181</v>
      </c>
      <c r="D272" t="inlineStr">
        <is>
          <t>VÄSTERNORRLANDS LÄN</t>
        </is>
      </c>
      <c r="E272" t="inlineStr">
        <is>
          <t>SUNDSVALL</t>
        </is>
      </c>
      <c r="G272" t="n">
        <v>4.8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25712-2019</t>
        </is>
      </c>
      <c r="B273" s="1" t="n">
        <v>43607</v>
      </c>
      <c r="C273" s="1" t="n">
        <v>45181</v>
      </c>
      <c r="D273" t="inlineStr">
        <is>
          <t>VÄSTERNORRLANDS LÄN</t>
        </is>
      </c>
      <c r="E273" t="inlineStr">
        <is>
          <t>SUNDSVALL</t>
        </is>
      </c>
      <c r="G273" t="n">
        <v>5.7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25962-2019</t>
        </is>
      </c>
      <c r="B274" s="1" t="n">
        <v>43608</v>
      </c>
      <c r="C274" s="1" t="n">
        <v>45181</v>
      </c>
      <c r="D274" t="inlineStr">
        <is>
          <t>VÄSTERNORRLANDS LÄN</t>
        </is>
      </c>
      <c r="E274" t="inlineStr">
        <is>
          <t>SUNDSVALL</t>
        </is>
      </c>
      <c r="F274" t="inlineStr">
        <is>
          <t>SCA</t>
        </is>
      </c>
      <c r="G274" t="n">
        <v>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26014-2019</t>
        </is>
      </c>
      <c r="B275" s="1" t="n">
        <v>43608</v>
      </c>
      <c r="C275" s="1" t="n">
        <v>45181</v>
      </c>
      <c r="D275" t="inlineStr">
        <is>
          <t>VÄSTERNORRLANDS LÄN</t>
        </is>
      </c>
      <c r="E275" t="inlineStr">
        <is>
          <t>SUNDSVALL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27032-2019</t>
        </is>
      </c>
      <c r="B276" s="1" t="n">
        <v>43609</v>
      </c>
      <c r="C276" s="1" t="n">
        <v>45181</v>
      </c>
      <c r="D276" t="inlineStr">
        <is>
          <t>VÄSTERNORRLANDS LÄN</t>
        </is>
      </c>
      <c r="E276" t="inlineStr">
        <is>
          <t>SUNDSVALL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28066-2019</t>
        </is>
      </c>
      <c r="B277" s="1" t="n">
        <v>43613</v>
      </c>
      <c r="C277" s="1" t="n">
        <v>45181</v>
      </c>
      <c r="D277" t="inlineStr">
        <is>
          <t>VÄSTERNORRLANDS LÄN</t>
        </is>
      </c>
      <c r="E277" t="inlineStr">
        <is>
          <t>SUNDSVALL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27419-2019</t>
        </is>
      </c>
      <c r="B278" s="1" t="n">
        <v>43616</v>
      </c>
      <c r="C278" s="1" t="n">
        <v>45181</v>
      </c>
      <c r="D278" t="inlineStr">
        <is>
          <t>VÄSTERNORRLANDS LÄN</t>
        </is>
      </c>
      <c r="E278" t="inlineStr">
        <is>
          <t>SUNDSVALL</t>
        </is>
      </c>
      <c r="G278" t="n">
        <v>3.5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27775-2019</t>
        </is>
      </c>
      <c r="B279" s="1" t="n">
        <v>43619</v>
      </c>
      <c r="C279" s="1" t="n">
        <v>45181</v>
      </c>
      <c r="D279" t="inlineStr">
        <is>
          <t>VÄSTERNORRLANDS LÄN</t>
        </is>
      </c>
      <c r="E279" t="inlineStr">
        <is>
          <t>SUNDSVALL</t>
        </is>
      </c>
      <c r="F279" t="inlineStr">
        <is>
          <t>SCA</t>
        </is>
      </c>
      <c r="G279" t="n">
        <v>13.8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27982-2019</t>
        </is>
      </c>
      <c r="B280" s="1" t="n">
        <v>43620</v>
      </c>
      <c r="C280" s="1" t="n">
        <v>45181</v>
      </c>
      <c r="D280" t="inlineStr">
        <is>
          <t>VÄSTERNORRLANDS LÄN</t>
        </is>
      </c>
      <c r="E280" t="inlineStr">
        <is>
          <t>SUNDSVALL</t>
        </is>
      </c>
      <c r="G280" t="n">
        <v>5.7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27983-2019</t>
        </is>
      </c>
      <c r="B281" s="1" t="n">
        <v>43620</v>
      </c>
      <c r="C281" s="1" t="n">
        <v>45181</v>
      </c>
      <c r="D281" t="inlineStr">
        <is>
          <t>VÄSTERNORRLANDS LÄN</t>
        </is>
      </c>
      <c r="E281" t="inlineStr">
        <is>
          <t>SUNDSVALL</t>
        </is>
      </c>
      <c r="G281" t="n">
        <v>2.5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27986-2019</t>
        </is>
      </c>
      <c r="B282" s="1" t="n">
        <v>43620</v>
      </c>
      <c r="C282" s="1" t="n">
        <v>45181</v>
      </c>
      <c r="D282" t="inlineStr">
        <is>
          <t>VÄSTERNORRLANDS LÄN</t>
        </is>
      </c>
      <c r="E282" t="inlineStr">
        <is>
          <t>SUNDSVALL</t>
        </is>
      </c>
      <c r="G282" t="n">
        <v>4.9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27981-2019</t>
        </is>
      </c>
      <c r="B283" s="1" t="n">
        <v>43620</v>
      </c>
      <c r="C283" s="1" t="n">
        <v>45181</v>
      </c>
      <c r="D283" t="inlineStr">
        <is>
          <t>VÄSTERNORRLANDS LÄN</t>
        </is>
      </c>
      <c r="E283" t="inlineStr">
        <is>
          <t>SUNDSVALL</t>
        </is>
      </c>
      <c r="G283" t="n">
        <v>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29168-2019</t>
        </is>
      </c>
      <c r="B284" s="1" t="n">
        <v>43628</v>
      </c>
      <c r="C284" s="1" t="n">
        <v>45181</v>
      </c>
      <c r="D284" t="inlineStr">
        <is>
          <t>VÄSTERNORRLANDS LÄN</t>
        </is>
      </c>
      <c r="E284" t="inlineStr">
        <is>
          <t>SUNDSVALL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29985-2019</t>
        </is>
      </c>
      <c r="B285" s="1" t="n">
        <v>43630</v>
      </c>
      <c r="C285" s="1" t="n">
        <v>45181</v>
      </c>
      <c r="D285" t="inlineStr">
        <is>
          <t>VÄSTERNORRLANDS LÄN</t>
        </is>
      </c>
      <c r="E285" t="inlineStr">
        <is>
          <t>SUNDSVALL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29978-2019</t>
        </is>
      </c>
      <c r="B286" s="1" t="n">
        <v>43630</v>
      </c>
      <c r="C286" s="1" t="n">
        <v>45181</v>
      </c>
      <c r="D286" t="inlineStr">
        <is>
          <t>VÄSTERNORRLANDS LÄN</t>
        </is>
      </c>
      <c r="E286" t="inlineStr">
        <is>
          <t>SUNDSVALL</t>
        </is>
      </c>
      <c r="G286" t="n">
        <v>3.2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29813-2019</t>
        </is>
      </c>
      <c r="B287" s="1" t="n">
        <v>43633</v>
      </c>
      <c r="C287" s="1" t="n">
        <v>45181</v>
      </c>
      <c r="D287" t="inlineStr">
        <is>
          <t>VÄSTERNORRLANDS LÄN</t>
        </is>
      </c>
      <c r="E287" t="inlineStr">
        <is>
          <t>SUNDSVALL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30253-2019</t>
        </is>
      </c>
      <c r="B288" s="1" t="n">
        <v>43634</v>
      </c>
      <c r="C288" s="1" t="n">
        <v>45181</v>
      </c>
      <c r="D288" t="inlineStr">
        <is>
          <t>VÄSTERNORRLANDS LÄN</t>
        </is>
      </c>
      <c r="E288" t="inlineStr">
        <is>
          <t>SUNDSVALL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30608-2019</t>
        </is>
      </c>
      <c r="B289" s="1" t="n">
        <v>43635</v>
      </c>
      <c r="C289" s="1" t="n">
        <v>45181</v>
      </c>
      <c r="D289" t="inlineStr">
        <is>
          <t>VÄSTERNORRLANDS LÄN</t>
        </is>
      </c>
      <c r="E289" t="inlineStr">
        <is>
          <t>SUNDSVALL</t>
        </is>
      </c>
      <c r="G289" t="n">
        <v>2.8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31064-2019</t>
        </is>
      </c>
      <c r="B290" s="1" t="n">
        <v>43636</v>
      </c>
      <c r="C290" s="1" t="n">
        <v>45181</v>
      </c>
      <c r="D290" t="inlineStr">
        <is>
          <t>VÄSTERNORRLANDS LÄN</t>
        </is>
      </c>
      <c r="E290" t="inlineStr">
        <is>
          <t>SUNDSVALL</t>
        </is>
      </c>
      <c r="G290" t="n">
        <v>5.4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31285-2019</t>
        </is>
      </c>
      <c r="B291" s="1" t="n">
        <v>43640</v>
      </c>
      <c r="C291" s="1" t="n">
        <v>45181</v>
      </c>
      <c r="D291" t="inlineStr">
        <is>
          <t>VÄSTERNORRLANDS LÄN</t>
        </is>
      </c>
      <c r="E291" t="inlineStr">
        <is>
          <t>SUNDSVALL</t>
        </is>
      </c>
      <c r="G291" t="n">
        <v>3.4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31578-2019</t>
        </is>
      </c>
      <c r="B292" s="1" t="n">
        <v>43641</v>
      </c>
      <c r="C292" s="1" t="n">
        <v>45181</v>
      </c>
      <c r="D292" t="inlineStr">
        <is>
          <t>VÄSTERNORRLANDS LÄN</t>
        </is>
      </c>
      <c r="E292" t="inlineStr">
        <is>
          <t>SUNDSVALL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31572-2019</t>
        </is>
      </c>
      <c r="B293" s="1" t="n">
        <v>43641</v>
      </c>
      <c r="C293" s="1" t="n">
        <v>45181</v>
      </c>
      <c r="D293" t="inlineStr">
        <is>
          <t>VÄSTERNORRLANDS LÄN</t>
        </is>
      </c>
      <c r="E293" t="inlineStr">
        <is>
          <t>SUNDSVALL</t>
        </is>
      </c>
      <c r="F293" t="inlineStr">
        <is>
          <t>SCA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32207-2019</t>
        </is>
      </c>
      <c r="B294" s="1" t="n">
        <v>43643</v>
      </c>
      <c r="C294" s="1" t="n">
        <v>45181</v>
      </c>
      <c r="D294" t="inlineStr">
        <is>
          <t>VÄSTERNORRLANDS LÄN</t>
        </is>
      </c>
      <c r="E294" t="inlineStr">
        <is>
          <t>SUNDSVALL</t>
        </is>
      </c>
      <c r="G294" t="n">
        <v>3.2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32259-2019</t>
        </is>
      </c>
      <c r="B295" s="1" t="n">
        <v>43644</v>
      </c>
      <c r="C295" s="1" t="n">
        <v>45181</v>
      </c>
      <c r="D295" t="inlineStr">
        <is>
          <t>VÄSTERNORRLANDS LÄN</t>
        </is>
      </c>
      <c r="E295" t="inlineStr">
        <is>
          <t>SUNDSVALL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32268-2019</t>
        </is>
      </c>
      <c r="B296" s="1" t="n">
        <v>43644</v>
      </c>
      <c r="C296" s="1" t="n">
        <v>45181</v>
      </c>
      <c r="D296" t="inlineStr">
        <is>
          <t>VÄSTERNORRLANDS LÄN</t>
        </is>
      </c>
      <c r="E296" t="inlineStr">
        <is>
          <t>SUNDSVALL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33993-2019</t>
        </is>
      </c>
      <c r="B297" s="1" t="n">
        <v>43647</v>
      </c>
      <c r="C297" s="1" t="n">
        <v>45181</v>
      </c>
      <c r="D297" t="inlineStr">
        <is>
          <t>VÄSTERNORRLANDS LÄN</t>
        </is>
      </c>
      <c r="E297" t="inlineStr">
        <is>
          <t>SUNDSVALL</t>
        </is>
      </c>
      <c r="G297" t="n">
        <v>2.9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34006-2019</t>
        </is>
      </c>
      <c r="B298" s="1" t="n">
        <v>43647</v>
      </c>
      <c r="C298" s="1" t="n">
        <v>45181</v>
      </c>
      <c r="D298" t="inlineStr">
        <is>
          <t>VÄSTERNORRLANDS LÄN</t>
        </is>
      </c>
      <c r="E298" t="inlineStr">
        <is>
          <t>SUNDSVALL</t>
        </is>
      </c>
      <c r="G298" t="n">
        <v>3.3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33486-2019</t>
        </is>
      </c>
      <c r="B299" s="1" t="n">
        <v>43650</v>
      </c>
      <c r="C299" s="1" t="n">
        <v>45181</v>
      </c>
      <c r="D299" t="inlineStr">
        <is>
          <t>VÄSTERNORRLANDS LÄN</t>
        </is>
      </c>
      <c r="E299" t="inlineStr">
        <is>
          <t>SUNDSVALL</t>
        </is>
      </c>
      <c r="G299" t="n">
        <v>3.5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34136-2019</t>
        </is>
      </c>
      <c r="B300" s="1" t="n">
        <v>43654</v>
      </c>
      <c r="C300" s="1" t="n">
        <v>45181</v>
      </c>
      <c r="D300" t="inlineStr">
        <is>
          <t>VÄSTERNORRLANDS LÄN</t>
        </is>
      </c>
      <c r="E300" t="inlineStr">
        <is>
          <t>SUNDSVALL</t>
        </is>
      </c>
      <c r="G300" t="n">
        <v>6.4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36077-2019</t>
        </is>
      </c>
      <c r="B301" s="1" t="n">
        <v>43657</v>
      </c>
      <c r="C301" s="1" t="n">
        <v>45181</v>
      </c>
      <c r="D301" t="inlineStr">
        <is>
          <t>VÄSTERNORRLANDS LÄN</t>
        </is>
      </c>
      <c r="E301" t="inlineStr">
        <is>
          <t>SUNDSVALL</t>
        </is>
      </c>
      <c r="G301" t="n">
        <v>5.1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36074-2019</t>
        </is>
      </c>
      <c r="B302" s="1" t="n">
        <v>43657</v>
      </c>
      <c r="C302" s="1" t="n">
        <v>45181</v>
      </c>
      <c r="D302" t="inlineStr">
        <is>
          <t>VÄSTERNORRLANDS LÄN</t>
        </is>
      </c>
      <c r="E302" t="inlineStr">
        <is>
          <t>SUNDSVALL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35171-2019</t>
        </is>
      </c>
      <c r="B303" s="1" t="n">
        <v>43661</v>
      </c>
      <c r="C303" s="1" t="n">
        <v>45181</v>
      </c>
      <c r="D303" t="inlineStr">
        <is>
          <t>VÄSTERNORRLANDS LÄN</t>
        </is>
      </c>
      <c r="E303" t="inlineStr">
        <is>
          <t>SUNDSVALL</t>
        </is>
      </c>
      <c r="G303" t="n">
        <v>2.3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35170-2019</t>
        </is>
      </c>
      <c r="B304" s="1" t="n">
        <v>43661</v>
      </c>
      <c r="C304" s="1" t="n">
        <v>45181</v>
      </c>
      <c r="D304" t="inlineStr">
        <is>
          <t>VÄSTERNORRLANDS LÄN</t>
        </is>
      </c>
      <c r="E304" t="inlineStr">
        <is>
          <t>SUNDSVALL</t>
        </is>
      </c>
      <c r="G304" t="n">
        <v>1.8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35966-2019</t>
        </is>
      </c>
      <c r="B305" s="1" t="n">
        <v>43665</v>
      </c>
      <c r="C305" s="1" t="n">
        <v>45181</v>
      </c>
      <c r="D305" t="inlineStr">
        <is>
          <t>VÄSTERNORRLANDS LÄN</t>
        </is>
      </c>
      <c r="E305" t="inlineStr">
        <is>
          <t>SUNDSVALL</t>
        </is>
      </c>
      <c r="G305" t="n">
        <v>2.7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36026-2019</t>
        </is>
      </c>
      <c r="B306" s="1" t="n">
        <v>43668</v>
      </c>
      <c r="C306" s="1" t="n">
        <v>45181</v>
      </c>
      <c r="D306" t="inlineStr">
        <is>
          <t>VÄSTERNORRLANDS LÄN</t>
        </is>
      </c>
      <c r="E306" t="inlineStr">
        <is>
          <t>SUNDSVALL</t>
        </is>
      </c>
      <c r="G306" t="n">
        <v>4.4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37069-2019</t>
        </is>
      </c>
      <c r="B307" s="1" t="n">
        <v>43676</v>
      </c>
      <c r="C307" s="1" t="n">
        <v>45181</v>
      </c>
      <c r="D307" t="inlineStr">
        <is>
          <t>VÄSTERNORRLANDS LÄN</t>
        </is>
      </c>
      <c r="E307" t="inlineStr">
        <is>
          <t>SUNDSVALL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37378-2019</t>
        </is>
      </c>
      <c r="B308" s="1" t="n">
        <v>43678</v>
      </c>
      <c r="C308" s="1" t="n">
        <v>45181</v>
      </c>
      <c r="D308" t="inlineStr">
        <is>
          <t>VÄSTERNORRLANDS LÄN</t>
        </is>
      </c>
      <c r="E308" t="inlineStr">
        <is>
          <t>SUNDSVALL</t>
        </is>
      </c>
      <c r="G308" t="n">
        <v>6.5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37891-2019</t>
        </is>
      </c>
      <c r="B309" s="1" t="n">
        <v>43682</v>
      </c>
      <c r="C309" s="1" t="n">
        <v>45181</v>
      </c>
      <c r="D309" t="inlineStr">
        <is>
          <t>VÄSTERNORRLANDS LÄN</t>
        </is>
      </c>
      <c r="E309" t="inlineStr">
        <is>
          <t>SUNDSVALL</t>
        </is>
      </c>
      <c r="F309" t="inlineStr">
        <is>
          <t>SCA</t>
        </is>
      </c>
      <c r="G309" t="n">
        <v>40.1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37907-2019</t>
        </is>
      </c>
      <c r="B310" s="1" t="n">
        <v>43683</v>
      </c>
      <c r="C310" s="1" t="n">
        <v>45181</v>
      </c>
      <c r="D310" t="inlineStr">
        <is>
          <t>VÄSTERNORRLANDS LÄN</t>
        </is>
      </c>
      <c r="E310" t="inlineStr">
        <is>
          <t>SUNDSVALL</t>
        </is>
      </c>
      <c r="G310" t="n">
        <v>4.7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38290-2019</t>
        </is>
      </c>
      <c r="B311" s="1" t="n">
        <v>43684</v>
      </c>
      <c r="C311" s="1" t="n">
        <v>45181</v>
      </c>
      <c r="D311" t="inlineStr">
        <is>
          <t>VÄSTERNORRLANDS LÄN</t>
        </is>
      </c>
      <c r="E311" t="inlineStr">
        <is>
          <t>SUNDSVALL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40549-2019</t>
        </is>
      </c>
      <c r="B312" s="1" t="n">
        <v>43696</v>
      </c>
      <c r="C312" s="1" t="n">
        <v>45181</v>
      </c>
      <c r="D312" t="inlineStr">
        <is>
          <t>VÄSTERNORRLANDS LÄN</t>
        </is>
      </c>
      <c r="E312" t="inlineStr">
        <is>
          <t>SUNDSVALL</t>
        </is>
      </c>
      <c r="G312" t="n">
        <v>2.4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40487-2019</t>
        </is>
      </c>
      <c r="B313" s="1" t="n">
        <v>43696</v>
      </c>
      <c r="C313" s="1" t="n">
        <v>45181</v>
      </c>
      <c r="D313" t="inlineStr">
        <is>
          <t>VÄSTERNORRLANDS LÄN</t>
        </is>
      </c>
      <c r="E313" t="inlineStr">
        <is>
          <t>SUNDSVALL</t>
        </is>
      </c>
      <c r="G313" t="n">
        <v>9.300000000000001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40526-2019</t>
        </is>
      </c>
      <c r="B314" s="1" t="n">
        <v>43696</v>
      </c>
      <c r="C314" s="1" t="n">
        <v>45181</v>
      </c>
      <c r="D314" t="inlineStr">
        <is>
          <t>VÄSTERNORRLANDS LÄN</t>
        </is>
      </c>
      <c r="E314" t="inlineStr">
        <is>
          <t>SUNDSVALL</t>
        </is>
      </c>
      <c r="F314" t="inlineStr">
        <is>
          <t>SCA</t>
        </is>
      </c>
      <c r="G314" t="n">
        <v>13.1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41895-2019</t>
        </is>
      </c>
      <c r="B315" s="1" t="n">
        <v>43697</v>
      </c>
      <c r="C315" s="1" t="n">
        <v>45181</v>
      </c>
      <c r="D315" t="inlineStr">
        <is>
          <t>VÄSTERNORRLANDS LÄN</t>
        </is>
      </c>
      <c r="E315" t="inlineStr">
        <is>
          <t>SUNDSVALL</t>
        </is>
      </c>
      <c r="F315" t="inlineStr">
        <is>
          <t>Kyrkan</t>
        </is>
      </c>
      <c r="G315" t="n">
        <v>6.8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42217-2019</t>
        </is>
      </c>
      <c r="B316" s="1" t="n">
        <v>43699</v>
      </c>
      <c r="C316" s="1" t="n">
        <v>45181</v>
      </c>
      <c r="D316" t="inlineStr">
        <is>
          <t>VÄSTERNORRLANDS LÄN</t>
        </is>
      </c>
      <c r="E316" t="inlineStr">
        <is>
          <t>SUNDSVALL</t>
        </is>
      </c>
      <c r="G316" t="n">
        <v>10.7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42375-2019</t>
        </is>
      </c>
      <c r="B317" s="1" t="n">
        <v>43703</v>
      </c>
      <c r="C317" s="1" t="n">
        <v>45181</v>
      </c>
      <c r="D317" t="inlineStr">
        <is>
          <t>VÄSTERNORRLANDS LÄN</t>
        </is>
      </c>
      <c r="E317" t="inlineStr">
        <is>
          <t>SUNDSVALL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42372-2019</t>
        </is>
      </c>
      <c r="B318" s="1" t="n">
        <v>43703</v>
      </c>
      <c r="C318" s="1" t="n">
        <v>45181</v>
      </c>
      <c r="D318" t="inlineStr">
        <is>
          <t>VÄSTERNORRLANDS LÄN</t>
        </is>
      </c>
      <c r="E318" t="inlineStr">
        <is>
          <t>SUNDSVALL</t>
        </is>
      </c>
      <c r="G318" t="n">
        <v>3.4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42305-2019</t>
        </is>
      </c>
      <c r="B319" s="1" t="n">
        <v>43703</v>
      </c>
      <c r="C319" s="1" t="n">
        <v>45181</v>
      </c>
      <c r="D319" t="inlineStr">
        <is>
          <t>VÄSTERNORRLANDS LÄN</t>
        </is>
      </c>
      <c r="E319" t="inlineStr">
        <is>
          <t>SUNDSVALL</t>
        </is>
      </c>
      <c r="G319" t="n">
        <v>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42361-2019</t>
        </is>
      </c>
      <c r="B320" s="1" t="n">
        <v>43703</v>
      </c>
      <c r="C320" s="1" t="n">
        <v>45181</v>
      </c>
      <c r="D320" t="inlineStr">
        <is>
          <t>VÄSTERNORRLANDS LÄN</t>
        </is>
      </c>
      <c r="E320" t="inlineStr">
        <is>
          <t>SUNDSVALL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43193-2019</t>
        </is>
      </c>
      <c r="B321" s="1" t="n">
        <v>43705</v>
      </c>
      <c r="C321" s="1" t="n">
        <v>45181</v>
      </c>
      <c r="D321" t="inlineStr">
        <is>
          <t>VÄSTERNORRLANDS LÄN</t>
        </is>
      </c>
      <c r="E321" t="inlineStr">
        <is>
          <t>SUNDSVALL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43796-2019</t>
        </is>
      </c>
      <c r="B322" s="1" t="n">
        <v>43707</v>
      </c>
      <c r="C322" s="1" t="n">
        <v>45181</v>
      </c>
      <c r="D322" t="inlineStr">
        <is>
          <t>VÄSTERNORRLANDS LÄN</t>
        </is>
      </c>
      <c r="E322" t="inlineStr">
        <is>
          <t>SUNDSVALL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43880-2019</t>
        </is>
      </c>
      <c r="B323" s="1" t="n">
        <v>43707</v>
      </c>
      <c r="C323" s="1" t="n">
        <v>45181</v>
      </c>
      <c r="D323" t="inlineStr">
        <is>
          <t>VÄSTERNORRLANDS LÄN</t>
        </is>
      </c>
      <c r="E323" t="inlineStr">
        <is>
          <t>SUNDSVALL</t>
        </is>
      </c>
      <c r="G323" t="n">
        <v>2.9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44325-2019</t>
        </is>
      </c>
      <c r="B324" s="1" t="n">
        <v>43710</v>
      </c>
      <c r="C324" s="1" t="n">
        <v>45181</v>
      </c>
      <c r="D324" t="inlineStr">
        <is>
          <t>VÄSTERNORRLANDS LÄN</t>
        </is>
      </c>
      <c r="E324" t="inlineStr">
        <is>
          <t>SUNDSVALL</t>
        </is>
      </c>
      <c r="F324" t="inlineStr">
        <is>
          <t>SCA</t>
        </is>
      </c>
      <c r="G324" t="n">
        <v>3.5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44321-2019</t>
        </is>
      </c>
      <c r="B325" s="1" t="n">
        <v>43710</v>
      </c>
      <c r="C325" s="1" t="n">
        <v>45181</v>
      </c>
      <c r="D325" t="inlineStr">
        <is>
          <t>VÄSTERNORRLANDS LÄN</t>
        </is>
      </c>
      <c r="E325" t="inlineStr">
        <is>
          <t>SUNDSVALL</t>
        </is>
      </c>
      <c r="F325" t="inlineStr">
        <is>
          <t>SCA</t>
        </is>
      </c>
      <c r="G325" t="n">
        <v>6.1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44416-2019</t>
        </is>
      </c>
      <c r="B326" s="1" t="n">
        <v>43711</v>
      </c>
      <c r="C326" s="1" t="n">
        <v>45181</v>
      </c>
      <c r="D326" t="inlineStr">
        <is>
          <t>VÄSTERNORRLANDS LÄN</t>
        </is>
      </c>
      <c r="E326" t="inlineStr">
        <is>
          <t>SUNDSVALL</t>
        </is>
      </c>
      <c r="G326" t="n">
        <v>7.8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44608-2019</t>
        </is>
      </c>
      <c r="B327" s="1" t="n">
        <v>43711</v>
      </c>
      <c r="C327" s="1" t="n">
        <v>45181</v>
      </c>
      <c r="D327" t="inlineStr">
        <is>
          <t>VÄSTERNORRLANDS LÄN</t>
        </is>
      </c>
      <c r="E327" t="inlineStr">
        <is>
          <t>SUNDSVALL</t>
        </is>
      </c>
      <c r="G327" t="n">
        <v>1.7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44610-2019</t>
        </is>
      </c>
      <c r="B328" s="1" t="n">
        <v>43711</v>
      </c>
      <c r="C328" s="1" t="n">
        <v>45181</v>
      </c>
      <c r="D328" t="inlineStr">
        <is>
          <t>VÄSTERNORRLANDS LÄN</t>
        </is>
      </c>
      <c r="E328" t="inlineStr">
        <is>
          <t>SUNDSVALL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44609-2019</t>
        </is>
      </c>
      <c r="B329" s="1" t="n">
        <v>43711</v>
      </c>
      <c r="C329" s="1" t="n">
        <v>45181</v>
      </c>
      <c r="D329" t="inlineStr">
        <is>
          <t>VÄSTERNORRLANDS LÄN</t>
        </is>
      </c>
      <c r="E329" t="inlineStr">
        <is>
          <t>SUNDSVALL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45960-2019</t>
        </is>
      </c>
      <c r="B330" s="1" t="n">
        <v>43712</v>
      </c>
      <c r="C330" s="1" t="n">
        <v>45181</v>
      </c>
      <c r="D330" t="inlineStr">
        <is>
          <t>VÄSTERNORRLANDS LÄN</t>
        </is>
      </c>
      <c r="E330" t="inlineStr">
        <is>
          <t>SUNDSVALL</t>
        </is>
      </c>
      <c r="F330" t="inlineStr">
        <is>
          <t>Kyrkan</t>
        </is>
      </c>
      <c r="G330" t="n">
        <v>8.199999999999999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45964-2019</t>
        </is>
      </c>
      <c r="B331" s="1" t="n">
        <v>43712</v>
      </c>
      <c r="C331" s="1" t="n">
        <v>45181</v>
      </c>
      <c r="D331" t="inlineStr">
        <is>
          <t>VÄSTERNORRLANDS LÄN</t>
        </is>
      </c>
      <c r="E331" t="inlineStr">
        <is>
          <t>SUNDSVALL</t>
        </is>
      </c>
      <c r="F331" t="inlineStr">
        <is>
          <t>Kyrkan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44971-2019</t>
        </is>
      </c>
      <c r="B332" s="1" t="n">
        <v>43713</v>
      </c>
      <c r="C332" s="1" t="n">
        <v>45181</v>
      </c>
      <c r="D332" t="inlineStr">
        <is>
          <t>VÄSTERNORRLANDS LÄN</t>
        </is>
      </c>
      <c r="E332" t="inlineStr">
        <is>
          <t>SUNDSVALL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44922-2019</t>
        </is>
      </c>
      <c r="B333" s="1" t="n">
        <v>43713</v>
      </c>
      <c r="C333" s="1" t="n">
        <v>45181</v>
      </c>
      <c r="D333" t="inlineStr">
        <is>
          <t>VÄSTERNORRLANDS LÄN</t>
        </is>
      </c>
      <c r="E333" t="inlineStr">
        <is>
          <t>SUNDSVALL</t>
        </is>
      </c>
      <c r="F333" t="inlineStr">
        <is>
          <t>Kommuner</t>
        </is>
      </c>
      <c r="G333" t="n">
        <v>2.3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44967-2019</t>
        </is>
      </c>
      <c r="B334" s="1" t="n">
        <v>43713</v>
      </c>
      <c r="C334" s="1" t="n">
        <v>45181</v>
      </c>
      <c r="D334" t="inlineStr">
        <is>
          <t>VÄSTERNORRLANDS LÄN</t>
        </is>
      </c>
      <c r="E334" t="inlineStr">
        <is>
          <t>SUNDSVALL</t>
        </is>
      </c>
      <c r="G334" t="n">
        <v>0.3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47076-2019</t>
        </is>
      </c>
      <c r="B335" s="1" t="n">
        <v>43720</v>
      </c>
      <c r="C335" s="1" t="n">
        <v>45181</v>
      </c>
      <c r="D335" t="inlineStr">
        <is>
          <t>VÄSTERNORRLANDS LÄN</t>
        </is>
      </c>
      <c r="E335" t="inlineStr">
        <is>
          <t>SUNDSVALL</t>
        </is>
      </c>
      <c r="F335" t="inlineStr">
        <is>
          <t>SCA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47807-2019</t>
        </is>
      </c>
      <c r="B336" s="1" t="n">
        <v>43724</v>
      </c>
      <c r="C336" s="1" t="n">
        <v>45181</v>
      </c>
      <c r="D336" t="inlineStr">
        <is>
          <t>VÄSTERNORRLANDS LÄN</t>
        </is>
      </c>
      <c r="E336" t="inlineStr">
        <is>
          <t>SUNDSVALL</t>
        </is>
      </c>
      <c r="F336" t="inlineStr">
        <is>
          <t>SCA</t>
        </is>
      </c>
      <c r="G336" t="n">
        <v>2.4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47809-2019</t>
        </is>
      </c>
      <c r="B337" s="1" t="n">
        <v>43724</v>
      </c>
      <c r="C337" s="1" t="n">
        <v>45181</v>
      </c>
      <c r="D337" t="inlineStr">
        <is>
          <t>VÄSTERNORRLANDS LÄN</t>
        </is>
      </c>
      <c r="E337" t="inlineStr">
        <is>
          <t>SUNDSVALL</t>
        </is>
      </c>
      <c r="F337" t="inlineStr">
        <is>
          <t>SCA</t>
        </is>
      </c>
      <c r="G337" t="n">
        <v>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48715-2019</t>
        </is>
      </c>
      <c r="B338" s="1" t="n">
        <v>43727</v>
      </c>
      <c r="C338" s="1" t="n">
        <v>45181</v>
      </c>
      <c r="D338" t="inlineStr">
        <is>
          <t>VÄSTERNORRLANDS LÄN</t>
        </is>
      </c>
      <c r="E338" t="inlineStr">
        <is>
          <t>SUNDSVALL</t>
        </is>
      </c>
      <c r="F338" t="inlineStr">
        <is>
          <t>SCA</t>
        </is>
      </c>
      <c r="G338" t="n">
        <v>76.40000000000001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49676-2019</t>
        </is>
      </c>
      <c r="B339" s="1" t="n">
        <v>43732</v>
      </c>
      <c r="C339" s="1" t="n">
        <v>45181</v>
      </c>
      <c r="D339" t="inlineStr">
        <is>
          <t>VÄSTERNORRLANDS LÄN</t>
        </is>
      </c>
      <c r="E339" t="inlineStr">
        <is>
          <t>SUNDSVALL</t>
        </is>
      </c>
      <c r="F339" t="inlineStr">
        <is>
          <t>SCA</t>
        </is>
      </c>
      <c r="G339" t="n">
        <v>13.3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49978-2019</t>
        </is>
      </c>
      <c r="B340" s="1" t="n">
        <v>43733</v>
      </c>
      <c r="C340" s="1" t="n">
        <v>45181</v>
      </c>
      <c r="D340" t="inlineStr">
        <is>
          <t>VÄSTERNORRLANDS LÄN</t>
        </is>
      </c>
      <c r="E340" t="inlineStr">
        <is>
          <t>SUNDSVALL</t>
        </is>
      </c>
      <c r="G340" t="n">
        <v>2.1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49990-2019</t>
        </is>
      </c>
      <c r="B341" s="1" t="n">
        <v>43733</v>
      </c>
      <c r="C341" s="1" t="n">
        <v>45181</v>
      </c>
      <c r="D341" t="inlineStr">
        <is>
          <t>VÄSTERNORRLANDS LÄN</t>
        </is>
      </c>
      <c r="E341" t="inlineStr">
        <is>
          <t>SUNDSVALL</t>
        </is>
      </c>
      <c r="F341" t="inlineStr">
        <is>
          <t>SCA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49984-2019</t>
        </is>
      </c>
      <c r="B342" s="1" t="n">
        <v>43733</v>
      </c>
      <c r="C342" s="1" t="n">
        <v>45181</v>
      </c>
      <c r="D342" t="inlineStr">
        <is>
          <t>VÄSTERNORRLANDS LÄN</t>
        </is>
      </c>
      <c r="E342" t="inlineStr">
        <is>
          <t>SUNDSVALL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50118-2019</t>
        </is>
      </c>
      <c r="B343" s="1" t="n">
        <v>43734</v>
      </c>
      <c r="C343" s="1" t="n">
        <v>45181</v>
      </c>
      <c r="D343" t="inlineStr">
        <is>
          <t>VÄSTERNORRLANDS LÄN</t>
        </is>
      </c>
      <c r="E343" t="inlineStr">
        <is>
          <t>SUNDSVALL</t>
        </is>
      </c>
      <c r="G343" t="n">
        <v>1.4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50605-2019</t>
        </is>
      </c>
      <c r="B344" s="1" t="n">
        <v>43735</v>
      </c>
      <c r="C344" s="1" t="n">
        <v>45181</v>
      </c>
      <c r="D344" t="inlineStr">
        <is>
          <t>VÄSTERNORRLANDS LÄN</t>
        </is>
      </c>
      <c r="E344" t="inlineStr">
        <is>
          <t>SUNDSVALL</t>
        </is>
      </c>
      <c r="G344" t="n">
        <v>5.1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50530-2019</t>
        </is>
      </c>
      <c r="B345" s="1" t="n">
        <v>43735</v>
      </c>
      <c r="C345" s="1" t="n">
        <v>45181</v>
      </c>
      <c r="D345" t="inlineStr">
        <is>
          <t>VÄSTERNORRLANDS LÄN</t>
        </is>
      </c>
      <c r="E345" t="inlineStr">
        <is>
          <t>SUNDSVALL</t>
        </is>
      </c>
      <c r="G345" t="n">
        <v>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51072-2019</t>
        </is>
      </c>
      <c r="B346" s="1" t="n">
        <v>43738</v>
      </c>
      <c r="C346" s="1" t="n">
        <v>45181</v>
      </c>
      <c r="D346" t="inlineStr">
        <is>
          <t>VÄSTERNORRLANDS LÄN</t>
        </is>
      </c>
      <c r="E346" t="inlineStr">
        <is>
          <t>SUNDSVALL</t>
        </is>
      </c>
      <c r="F346" t="inlineStr">
        <is>
          <t>Kommuner</t>
        </is>
      </c>
      <c r="G346" t="n">
        <v>1.3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50965-2019</t>
        </is>
      </c>
      <c r="B347" s="1" t="n">
        <v>43738</v>
      </c>
      <c r="C347" s="1" t="n">
        <v>45181</v>
      </c>
      <c r="D347" t="inlineStr">
        <is>
          <t>VÄSTERNORRLANDS LÄN</t>
        </is>
      </c>
      <c r="E347" t="inlineStr">
        <is>
          <t>SUNDSVALL</t>
        </is>
      </c>
      <c r="G347" t="n">
        <v>7.8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50992-2019</t>
        </is>
      </c>
      <c r="B348" s="1" t="n">
        <v>43738</v>
      </c>
      <c r="C348" s="1" t="n">
        <v>45181</v>
      </c>
      <c r="D348" t="inlineStr">
        <is>
          <t>VÄSTERNORRLANDS LÄN</t>
        </is>
      </c>
      <c r="E348" t="inlineStr">
        <is>
          <t>SUNDSVALL</t>
        </is>
      </c>
      <c r="G348" t="n">
        <v>1.5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51322-2019</t>
        </is>
      </c>
      <c r="B349" s="1" t="n">
        <v>43739</v>
      </c>
      <c r="C349" s="1" t="n">
        <v>45181</v>
      </c>
      <c r="D349" t="inlineStr">
        <is>
          <t>VÄSTERNORRLANDS LÄN</t>
        </is>
      </c>
      <c r="E349" t="inlineStr">
        <is>
          <t>SUNDSVALL</t>
        </is>
      </c>
      <c r="F349" t="inlineStr">
        <is>
          <t>SCA</t>
        </is>
      </c>
      <c r="G349" t="n">
        <v>6.2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51685-2019</t>
        </is>
      </c>
      <c r="B350" s="1" t="n">
        <v>43740</v>
      </c>
      <c r="C350" s="1" t="n">
        <v>45181</v>
      </c>
      <c r="D350" t="inlineStr">
        <is>
          <t>VÄSTERNORRLANDS LÄN</t>
        </is>
      </c>
      <c r="E350" t="inlineStr">
        <is>
          <t>SUNDSVALL</t>
        </is>
      </c>
      <c r="G350" t="n">
        <v>8.6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52576-2019</t>
        </is>
      </c>
      <c r="B351" s="1" t="n">
        <v>43745</v>
      </c>
      <c r="C351" s="1" t="n">
        <v>45181</v>
      </c>
      <c r="D351" t="inlineStr">
        <is>
          <t>VÄSTERNORRLANDS LÄN</t>
        </is>
      </c>
      <c r="E351" t="inlineStr">
        <is>
          <t>SUNDSVALL</t>
        </is>
      </c>
      <c r="G351" t="n">
        <v>1.2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53087-2019</t>
        </is>
      </c>
      <c r="B352" s="1" t="n">
        <v>43747</v>
      </c>
      <c r="C352" s="1" t="n">
        <v>45181</v>
      </c>
      <c r="D352" t="inlineStr">
        <is>
          <t>VÄSTERNORRLANDS LÄN</t>
        </is>
      </c>
      <c r="E352" t="inlineStr">
        <is>
          <t>SUNDSVALL</t>
        </is>
      </c>
      <c r="G352" t="n">
        <v>2.6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52952-2019</t>
        </is>
      </c>
      <c r="B353" s="1" t="n">
        <v>43747</v>
      </c>
      <c r="C353" s="1" t="n">
        <v>45181</v>
      </c>
      <c r="D353" t="inlineStr">
        <is>
          <t>VÄSTERNORRLANDS LÄN</t>
        </is>
      </c>
      <c r="E353" t="inlineStr">
        <is>
          <t>SUNDSVALL</t>
        </is>
      </c>
      <c r="G353" t="n">
        <v>2.4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54030-2019</t>
        </is>
      </c>
      <c r="B354" s="1" t="n">
        <v>43752</v>
      </c>
      <c r="C354" s="1" t="n">
        <v>45181</v>
      </c>
      <c r="D354" t="inlineStr">
        <is>
          <t>VÄSTERNORRLANDS LÄN</t>
        </is>
      </c>
      <c r="E354" t="inlineStr">
        <is>
          <t>SUNDSVALL</t>
        </is>
      </c>
      <c r="G354" t="n">
        <v>1.2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55268-2019</t>
        </is>
      </c>
      <c r="B355" s="1" t="n">
        <v>43753</v>
      </c>
      <c r="C355" s="1" t="n">
        <v>45181</v>
      </c>
      <c r="D355" t="inlineStr">
        <is>
          <t>VÄSTERNORRLANDS LÄN</t>
        </is>
      </c>
      <c r="E355" t="inlineStr">
        <is>
          <t>SUNDSVALL</t>
        </is>
      </c>
      <c r="G355" t="n">
        <v>6.2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55420-2019</t>
        </is>
      </c>
      <c r="B356" s="1" t="n">
        <v>43758</v>
      </c>
      <c r="C356" s="1" t="n">
        <v>45181</v>
      </c>
      <c r="D356" t="inlineStr">
        <is>
          <t>VÄSTERNORRLANDS LÄN</t>
        </is>
      </c>
      <c r="E356" t="inlineStr">
        <is>
          <t>SUNDSVALL</t>
        </is>
      </c>
      <c r="F356" t="inlineStr">
        <is>
          <t>SCA</t>
        </is>
      </c>
      <c r="G356" t="n">
        <v>0.4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56701-2019</t>
        </is>
      </c>
      <c r="B357" s="1" t="n">
        <v>43759</v>
      </c>
      <c r="C357" s="1" t="n">
        <v>45181</v>
      </c>
      <c r="D357" t="inlineStr">
        <is>
          <t>VÄSTERNORRLANDS LÄN</t>
        </is>
      </c>
      <c r="E357" t="inlineStr">
        <is>
          <t>SUNDSVALL</t>
        </is>
      </c>
      <c r="G357" t="n">
        <v>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56751-2019</t>
        </is>
      </c>
      <c r="B358" s="1" t="n">
        <v>43759</v>
      </c>
      <c r="C358" s="1" t="n">
        <v>45181</v>
      </c>
      <c r="D358" t="inlineStr">
        <is>
          <t>VÄSTERNORRLANDS LÄN</t>
        </is>
      </c>
      <c r="E358" t="inlineStr">
        <is>
          <t>SUNDSVALL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55603-2019</t>
        </is>
      </c>
      <c r="B359" s="1" t="n">
        <v>43760</v>
      </c>
      <c r="C359" s="1" t="n">
        <v>45181</v>
      </c>
      <c r="D359" t="inlineStr">
        <is>
          <t>VÄSTERNORRLANDS LÄN</t>
        </is>
      </c>
      <c r="E359" t="inlineStr">
        <is>
          <t>SUNDSVALL</t>
        </is>
      </c>
      <c r="G359" t="n">
        <v>13.1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55600-2019</t>
        </is>
      </c>
      <c r="B360" s="1" t="n">
        <v>43760</v>
      </c>
      <c r="C360" s="1" t="n">
        <v>45181</v>
      </c>
      <c r="D360" t="inlineStr">
        <is>
          <t>VÄSTERNORRLANDS LÄN</t>
        </is>
      </c>
      <c r="E360" t="inlineStr">
        <is>
          <t>SUNDSVALL</t>
        </is>
      </c>
      <c r="G360" t="n">
        <v>13.4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56180-2019</t>
        </is>
      </c>
      <c r="B361" s="1" t="n">
        <v>43761</v>
      </c>
      <c r="C361" s="1" t="n">
        <v>45181</v>
      </c>
      <c r="D361" t="inlineStr">
        <is>
          <t>VÄSTERNORRLANDS LÄN</t>
        </is>
      </c>
      <c r="E361" t="inlineStr">
        <is>
          <t>SUNDSVALL</t>
        </is>
      </c>
      <c r="G361" t="n">
        <v>2.8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56016-2019</t>
        </is>
      </c>
      <c r="B362" s="1" t="n">
        <v>43761</v>
      </c>
      <c r="C362" s="1" t="n">
        <v>45181</v>
      </c>
      <c r="D362" t="inlineStr">
        <is>
          <t>VÄSTERNORRLANDS LÄN</t>
        </is>
      </c>
      <c r="E362" t="inlineStr">
        <is>
          <t>SUNDSVALL</t>
        </is>
      </c>
      <c r="G362" t="n">
        <v>7.4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56024-2019</t>
        </is>
      </c>
      <c r="B363" s="1" t="n">
        <v>43761</v>
      </c>
      <c r="C363" s="1" t="n">
        <v>45181</v>
      </c>
      <c r="D363" t="inlineStr">
        <is>
          <t>VÄSTERNORRLANDS LÄN</t>
        </is>
      </c>
      <c r="E363" t="inlineStr">
        <is>
          <t>SUNDSVALL</t>
        </is>
      </c>
      <c r="G363" t="n">
        <v>7.6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56071-2019</t>
        </is>
      </c>
      <c r="B364" s="1" t="n">
        <v>43761</v>
      </c>
      <c r="C364" s="1" t="n">
        <v>45181</v>
      </c>
      <c r="D364" t="inlineStr">
        <is>
          <t>VÄSTERNORRLANDS LÄN</t>
        </is>
      </c>
      <c r="E364" t="inlineStr">
        <is>
          <t>SUNDSVALL</t>
        </is>
      </c>
      <c r="G364" t="n">
        <v>12.1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56185-2019</t>
        </is>
      </c>
      <c r="B365" s="1" t="n">
        <v>43761</v>
      </c>
      <c r="C365" s="1" t="n">
        <v>45181</v>
      </c>
      <c r="D365" t="inlineStr">
        <is>
          <t>VÄSTERNORRLANDS LÄN</t>
        </is>
      </c>
      <c r="E365" t="inlineStr">
        <is>
          <t>SUNDSVALL</t>
        </is>
      </c>
      <c r="G365" t="n">
        <v>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57797-2019</t>
        </is>
      </c>
      <c r="B366" s="1" t="n">
        <v>43762</v>
      </c>
      <c r="C366" s="1" t="n">
        <v>45181</v>
      </c>
      <c r="D366" t="inlineStr">
        <is>
          <t>VÄSTERNORRLANDS LÄN</t>
        </is>
      </c>
      <c r="E366" t="inlineStr">
        <is>
          <t>SUNDSVALL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56274-2019</t>
        </is>
      </c>
      <c r="B367" s="1" t="n">
        <v>43762</v>
      </c>
      <c r="C367" s="1" t="n">
        <v>45181</v>
      </c>
      <c r="D367" t="inlineStr">
        <is>
          <t>VÄSTERNORRLANDS LÄN</t>
        </is>
      </c>
      <c r="E367" t="inlineStr">
        <is>
          <t>SUNDSVALL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57758-2019</t>
        </is>
      </c>
      <c r="B368" s="1" t="n">
        <v>43762</v>
      </c>
      <c r="C368" s="1" t="n">
        <v>45181</v>
      </c>
      <c r="D368" t="inlineStr">
        <is>
          <t>VÄSTERNORRLANDS LÄN</t>
        </is>
      </c>
      <c r="E368" t="inlineStr">
        <is>
          <t>SUNDSVALL</t>
        </is>
      </c>
      <c r="G368" t="n">
        <v>2.7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56534-2019</t>
        </is>
      </c>
      <c r="B369" s="1" t="n">
        <v>43763</v>
      </c>
      <c r="C369" s="1" t="n">
        <v>45181</v>
      </c>
      <c r="D369" t="inlineStr">
        <is>
          <t>VÄSTERNORRLANDS LÄN</t>
        </is>
      </c>
      <c r="E369" t="inlineStr">
        <is>
          <t>SUNDSVALL</t>
        </is>
      </c>
      <c r="G369" t="n">
        <v>3.6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57175-2019</t>
        </is>
      </c>
      <c r="B370" s="1" t="n">
        <v>43766</v>
      </c>
      <c r="C370" s="1" t="n">
        <v>45181</v>
      </c>
      <c r="D370" t="inlineStr">
        <is>
          <t>VÄSTERNORRLANDS LÄN</t>
        </is>
      </c>
      <c r="E370" t="inlineStr">
        <is>
          <t>SUNDSVALL</t>
        </is>
      </c>
      <c r="G370" t="n">
        <v>2.7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57180-2019</t>
        </is>
      </c>
      <c r="B371" s="1" t="n">
        <v>43766</v>
      </c>
      <c r="C371" s="1" t="n">
        <v>45181</v>
      </c>
      <c r="D371" t="inlineStr">
        <is>
          <t>VÄSTERNORRLANDS LÄN</t>
        </is>
      </c>
      <c r="E371" t="inlineStr">
        <is>
          <t>SUNDSVALL</t>
        </is>
      </c>
      <c r="G371" t="n">
        <v>3.4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57177-2019</t>
        </is>
      </c>
      <c r="B372" s="1" t="n">
        <v>43766</v>
      </c>
      <c r="C372" s="1" t="n">
        <v>45181</v>
      </c>
      <c r="D372" t="inlineStr">
        <is>
          <t>VÄSTERNORRLANDS LÄN</t>
        </is>
      </c>
      <c r="E372" t="inlineStr">
        <is>
          <t>SUNDSVALL</t>
        </is>
      </c>
      <c r="G372" t="n">
        <v>2.2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57866-2019</t>
        </is>
      </c>
      <c r="B373" s="1" t="n">
        <v>43768</v>
      </c>
      <c r="C373" s="1" t="n">
        <v>45181</v>
      </c>
      <c r="D373" t="inlineStr">
        <is>
          <t>VÄSTERNORRLANDS LÄN</t>
        </is>
      </c>
      <c r="E373" t="inlineStr">
        <is>
          <t>SUNDSVALL</t>
        </is>
      </c>
      <c r="G373" t="n">
        <v>3.3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58171-2019</t>
        </is>
      </c>
      <c r="B374" s="1" t="n">
        <v>43769</v>
      </c>
      <c r="C374" s="1" t="n">
        <v>45181</v>
      </c>
      <c r="D374" t="inlineStr">
        <is>
          <t>VÄSTERNORRLANDS LÄN</t>
        </is>
      </c>
      <c r="E374" t="inlineStr">
        <is>
          <t>SUNDSVALL</t>
        </is>
      </c>
      <c r="F374" t="inlineStr">
        <is>
          <t>SCA</t>
        </is>
      </c>
      <c r="G374" t="n">
        <v>2.4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59523-2019</t>
        </is>
      </c>
      <c r="B375" s="1" t="n">
        <v>43773</v>
      </c>
      <c r="C375" s="1" t="n">
        <v>45181</v>
      </c>
      <c r="D375" t="inlineStr">
        <is>
          <t>VÄSTERNORRLANDS LÄN</t>
        </is>
      </c>
      <c r="E375" t="inlineStr">
        <is>
          <t>SUNDSVALL</t>
        </is>
      </c>
      <c r="F375" t="inlineStr">
        <is>
          <t>Kyrkan</t>
        </is>
      </c>
      <c r="G375" t="n">
        <v>16.6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58866-2019</t>
        </is>
      </c>
      <c r="B376" s="1" t="n">
        <v>43774</v>
      </c>
      <c r="C376" s="1" t="n">
        <v>45181</v>
      </c>
      <c r="D376" t="inlineStr">
        <is>
          <t>VÄSTERNORRLANDS LÄN</t>
        </is>
      </c>
      <c r="E376" t="inlineStr">
        <is>
          <t>SUNDSVALL</t>
        </is>
      </c>
      <c r="G376" t="n">
        <v>7.8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59770-2019</t>
        </is>
      </c>
      <c r="B377" s="1" t="n">
        <v>43776</v>
      </c>
      <c r="C377" s="1" t="n">
        <v>45181</v>
      </c>
      <c r="D377" t="inlineStr">
        <is>
          <t>VÄSTERNORRLANDS LÄN</t>
        </is>
      </c>
      <c r="E377" t="inlineStr">
        <is>
          <t>SUNDSVALL</t>
        </is>
      </c>
      <c r="G377" t="n">
        <v>3.6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59771-2019</t>
        </is>
      </c>
      <c r="B378" s="1" t="n">
        <v>43776</v>
      </c>
      <c r="C378" s="1" t="n">
        <v>45181</v>
      </c>
      <c r="D378" t="inlineStr">
        <is>
          <t>VÄSTERNORRLANDS LÄN</t>
        </is>
      </c>
      <c r="E378" t="inlineStr">
        <is>
          <t>SUNDSVALL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59772-2019</t>
        </is>
      </c>
      <c r="B379" s="1" t="n">
        <v>43776</v>
      </c>
      <c r="C379" s="1" t="n">
        <v>45181</v>
      </c>
      <c r="D379" t="inlineStr">
        <is>
          <t>VÄSTERNORRLANDS LÄN</t>
        </is>
      </c>
      <c r="E379" t="inlineStr">
        <is>
          <t>SUNDSVALL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60115-2019</t>
        </is>
      </c>
      <c r="B380" s="1" t="n">
        <v>43777</v>
      </c>
      <c r="C380" s="1" t="n">
        <v>45181</v>
      </c>
      <c r="D380" t="inlineStr">
        <is>
          <t>VÄSTERNORRLANDS LÄN</t>
        </is>
      </c>
      <c r="E380" t="inlineStr">
        <is>
          <t>SUNDSVALL</t>
        </is>
      </c>
      <c r="G380" t="n">
        <v>0.6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60341-2019</t>
        </is>
      </c>
      <c r="B381" s="1" t="n">
        <v>43780</v>
      </c>
      <c r="C381" s="1" t="n">
        <v>45181</v>
      </c>
      <c r="D381" t="inlineStr">
        <is>
          <t>VÄSTERNORRLANDS LÄN</t>
        </is>
      </c>
      <c r="E381" t="inlineStr">
        <is>
          <t>SUNDSVALL</t>
        </is>
      </c>
      <c r="G381" t="n">
        <v>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60588-2019</t>
        </is>
      </c>
      <c r="B382" s="1" t="n">
        <v>43781</v>
      </c>
      <c r="C382" s="1" t="n">
        <v>45181</v>
      </c>
      <c r="D382" t="inlineStr">
        <is>
          <t>VÄSTERNORRLANDS LÄN</t>
        </is>
      </c>
      <c r="E382" t="inlineStr">
        <is>
          <t>SUNDSVALL</t>
        </is>
      </c>
      <c r="G382" t="n">
        <v>5.4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61197-2019</t>
        </is>
      </c>
      <c r="B383" s="1" t="n">
        <v>43782</v>
      </c>
      <c r="C383" s="1" t="n">
        <v>45181</v>
      </c>
      <c r="D383" t="inlineStr">
        <is>
          <t>VÄSTERNORRLANDS LÄN</t>
        </is>
      </c>
      <c r="E383" t="inlineStr">
        <is>
          <t>SUNDSVALL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61966-2019</t>
        </is>
      </c>
      <c r="B384" s="1" t="n">
        <v>43787</v>
      </c>
      <c r="C384" s="1" t="n">
        <v>45181</v>
      </c>
      <c r="D384" t="inlineStr">
        <is>
          <t>VÄSTERNORRLANDS LÄN</t>
        </is>
      </c>
      <c r="E384" t="inlineStr">
        <is>
          <t>SUNDSVALL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62715-2019</t>
        </is>
      </c>
      <c r="B385" s="1" t="n">
        <v>43789</v>
      </c>
      <c r="C385" s="1" t="n">
        <v>45181</v>
      </c>
      <c r="D385" t="inlineStr">
        <is>
          <t>VÄSTERNORRLANDS LÄN</t>
        </is>
      </c>
      <c r="E385" t="inlineStr">
        <is>
          <t>SUNDSVALL</t>
        </is>
      </c>
      <c r="G385" t="n">
        <v>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63007-2019</t>
        </is>
      </c>
      <c r="B386" s="1" t="n">
        <v>43790</v>
      </c>
      <c r="C386" s="1" t="n">
        <v>45181</v>
      </c>
      <c r="D386" t="inlineStr">
        <is>
          <t>VÄSTERNORRLANDS LÄN</t>
        </is>
      </c>
      <c r="E386" t="inlineStr">
        <is>
          <t>SUNDSVALL</t>
        </is>
      </c>
      <c r="F386" t="inlineStr">
        <is>
          <t>Naturvårdsverket</t>
        </is>
      </c>
      <c r="G386" t="n">
        <v>23.6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62833-2019</t>
        </is>
      </c>
      <c r="B387" s="1" t="n">
        <v>43790</v>
      </c>
      <c r="C387" s="1" t="n">
        <v>45181</v>
      </c>
      <c r="D387" t="inlineStr">
        <is>
          <t>VÄSTERNORRLANDS LÄN</t>
        </is>
      </c>
      <c r="E387" t="inlineStr">
        <is>
          <t>SUNDSVALL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62826-2019</t>
        </is>
      </c>
      <c r="B388" s="1" t="n">
        <v>43790</v>
      </c>
      <c r="C388" s="1" t="n">
        <v>45181</v>
      </c>
      <c r="D388" t="inlineStr">
        <is>
          <t>VÄSTERNORRLANDS LÄN</t>
        </is>
      </c>
      <c r="E388" t="inlineStr">
        <is>
          <t>SUNDSVALL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63175-2019</t>
        </is>
      </c>
      <c r="B389" s="1" t="n">
        <v>43791</v>
      </c>
      <c r="C389" s="1" t="n">
        <v>45181</v>
      </c>
      <c r="D389" t="inlineStr">
        <is>
          <t>VÄSTERNORRLANDS LÄN</t>
        </is>
      </c>
      <c r="E389" t="inlineStr">
        <is>
          <t>SUNDSVALL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63111-2019</t>
        </is>
      </c>
      <c r="B390" s="1" t="n">
        <v>43791</v>
      </c>
      <c r="C390" s="1" t="n">
        <v>45181</v>
      </c>
      <c r="D390" t="inlineStr">
        <is>
          <t>VÄSTERNORRLANDS LÄN</t>
        </is>
      </c>
      <c r="E390" t="inlineStr">
        <is>
          <t>SUNDSVALL</t>
        </is>
      </c>
      <c r="G390" t="n">
        <v>1.4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63315-2019</t>
        </is>
      </c>
      <c r="B391" s="1" t="n">
        <v>43794</v>
      </c>
      <c r="C391" s="1" t="n">
        <v>45181</v>
      </c>
      <c r="D391" t="inlineStr">
        <is>
          <t>VÄSTERNORRLANDS LÄN</t>
        </is>
      </c>
      <c r="E391" t="inlineStr">
        <is>
          <t>SUNDSVALL</t>
        </is>
      </c>
      <c r="G391" t="n">
        <v>2.9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63427-2019</t>
        </is>
      </c>
      <c r="B392" s="1" t="n">
        <v>43794</v>
      </c>
      <c r="C392" s="1" t="n">
        <v>45181</v>
      </c>
      <c r="D392" t="inlineStr">
        <is>
          <t>VÄSTERNORRLANDS LÄN</t>
        </is>
      </c>
      <c r="E392" t="inlineStr">
        <is>
          <t>SUNDSVALL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64130-2019</t>
        </is>
      </c>
      <c r="B393" s="1" t="n">
        <v>43796</v>
      </c>
      <c r="C393" s="1" t="n">
        <v>45181</v>
      </c>
      <c r="D393" t="inlineStr">
        <is>
          <t>VÄSTERNORRLANDS LÄN</t>
        </is>
      </c>
      <c r="E393" t="inlineStr">
        <is>
          <t>SUNDSVALL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64474-2019</t>
        </is>
      </c>
      <c r="B394" s="1" t="n">
        <v>43797</v>
      </c>
      <c r="C394" s="1" t="n">
        <v>45181</v>
      </c>
      <c r="D394" t="inlineStr">
        <is>
          <t>VÄSTERNORRLANDS LÄN</t>
        </is>
      </c>
      <c r="E394" t="inlineStr">
        <is>
          <t>SUNDSVALL</t>
        </is>
      </c>
      <c r="G394" t="n">
        <v>1.1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64245-2019</t>
        </is>
      </c>
      <c r="B395" s="1" t="n">
        <v>43797</v>
      </c>
      <c r="C395" s="1" t="n">
        <v>45181</v>
      </c>
      <c r="D395" t="inlineStr">
        <is>
          <t>VÄSTERNORRLANDS LÄN</t>
        </is>
      </c>
      <c r="E395" t="inlineStr">
        <is>
          <t>SUNDSVALL</t>
        </is>
      </c>
      <c r="G395" t="n">
        <v>4.5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64405-2019</t>
        </is>
      </c>
      <c r="B396" s="1" t="n">
        <v>43797</v>
      </c>
      <c r="C396" s="1" t="n">
        <v>45181</v>
      </c>
      <c r="D396" t="inlineStr">
        <is>
          <t>VÄSTERNORRLANDS LÄN</t>
        </is>
      </c>
      <c r="E396" t="inlineStr">
        <is>
          <t>SUNDSVALL</t>
        </is>
      </c>
      <c r="F396" t="inlineStr">
        <is>
          <t>Holmen skog AB</t>
        </is>
      </c>
      <c r="G396" t="n">
        <v>2.5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64473-2019</t>
        </is>
      </c>
      <c r="B397" s="1" t="n">
        <v>43797</v>
      </c>
      <c r="C397" s="1" t="n">
        <v>45181</v>
      </c>
      <c r="D397" t="inlineStr">
        <is>
          <t>VÄSTERNORRLANDS LÄN</t>
        </is>
      </c>
      <c r="E397" t="inlineStr">
        <is>
          <t>SUNDSVALL</t>
        </is>
      </c>
      <c r="G397" t="n">
        <v>3.3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64558-2019</t>
        </is>
      </c>
      <c r="B398" s="1" t="n">
        <v>43798</v>
      </c>
      <c r="C398" s="1" t="n">
        <v>45181</v>
      </c>
      <c r="D398" t="inlineStr">
        <is>
          <t>VÄSTERNORRLANDS LÄN</t>
        </is>
      </c>
      <c r="E398" t="inlineStr">
        <is>
          <t>SUNDSVALL</t>
        </is>
      </c>
      <c r="G398" t="n">
        <v>3.1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65039-2019</t>
        </is>
      </c>
      <c r="B399" s="1" t="n">
        <v>43801</v>
      </c>
      <c r="C399" s="1" t="n">
        <v>45181</v>
      </c>
      <c r="D399" t="inlineStr">
        <is>
          <t>VÄSTERNORRLANDS LÄN</t>
        </is>
      </c>
      <c r="E399" t="inlineStr">
        <is>
          <t>SUNDSVALL</t>
        </is>
      </c>
      <c r="G399" t="n">
        <v>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66000-2019</t>
        </is>
      </c>
      <c r="B400" s="1" t="n">
        <v>43801</v>
      </c>
      <c r="C400" s="1" t="n">
        <v>45181</v>
      </c>
      <c r="D400" t="inlineStr">
        <is>
          <t>VÄSTERNORRLANDS LÄN</t>
        </is>
      </c>
      <c r="E400" t="inlineStr">
        <is>
          <t>SUNDSVALL</t>
        </is>
      </c>
      <c r="F400" t="inlineStr">
        <is>
          <t>Övriga statliga verk och myndigheter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65030-2019</t>
        </is>
      </c>
      <c r="B401" s="1" t="n">
        <v>43801</v>
      </c>
      <c r="C401" s="1" t="n">
        <v>45181</v>
      </c>
      <c r="D401" t="inlineStr">
        <is>
          <t>VÄSTERNORRLANDS LÄN</t>
        </is>
      </c>
      <c r="E401" t="inlineStr">
        <is>
          <t>SUNDSVALL</t>
        </is>
      </c>
      <c r="G401" t="n">
        <v>4.7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65458-2019</t>
        </is>
      </c>
      <c r="B402" s="1" t="n">
        <v>43803</v>
      </c>
      <c r="C402" s="1" t="n">
        <v>45181</v>
      </c>
      <c r="D402" t="inlineStr">
        <is>
          <t>VÄSTERNORRLANDS LÄN</t>
        </is>
      </c>
      <c r="E402" t="inlineStr">
        <is>
          <t>SUNDSVALL</t>
        </is>
      </c>
      <c r="G402" t="n">
        <v>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65919-2019</t>
        </is>
      </c>
      <c r="B403" s="1" t="n">
        <v>43804</v>
      </c>
      <c r="C403" s="1" t="n">
        <v>45181</v>
      </c>
      <c r="D403" t="inlineStr">
        <is>
          <t>VÄSTERNORRLANDS LÄN</t>
        </is>
      </c>
      <c r="E403" t="inlineStr">
        <is>
          <t>SUNDSVALL</t>
        </is>
      </c>
      <c r="G403" t="n">
        <v>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66374-2019</t>
        </is>
      </c>
      <c r="B404" s="1" t="n">
        <v>43808</v>
      </c>
      <c r="C404" s="1" t="n">
        <v>45181</v>
      </c>
      <c r="D404" t="inlineStr">
        <is>
          <t>VÄSTERNORRLANDS LÄN</t>
        </is>
      </c>
      <c r="E404" t="inlineStr">
        <is>
          <t>SUNDSVALL</t>
        </is>
      </c>
      <c r="G404" t="n">
        <v>0.6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66699-2019</t>
        </is>
      </c>
      <c r="B405" s="1" t="n">
        <v>43809</v>
      </c>
      <c r="C405" s="1" t="n">
        <v>45181</v>
      </c>
      <c r="D405" t="inlineStr">
        <is>
          <t>VÄSTERNORRLANDS LÄN</t>
        </is>
      </c>
      <c r="E405" t="inlineStr">
        <is>
          <t>SUNDSVALL</t>
        </is>
      </c>
      <c r="G405" t="n">
        <v>0.9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66707-2019</t>
        </is>
      </c>
      <c r="B406" s="1" t="n">
        <v>43809</v>
      </c>
      <c r="C406" s="1" t="n">
        <v>45181</v>
      </c>
      <c r="D406" t="inlineStr">
        <is>
          <t>VÄSTERNORRLANDS LÄN</t>
        </is>
      </c>
      <c r="E406" t="inlineStr">
        <is>
          <t>SUNDSVALL</t>
        </is>
      </c>
      <c r="F406" t="inlineStr">
        <is>
          <t>Naturvårdsverket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66704-2019</t>
        </is>
      </c>
      <c r="B407" s="1" t="n">
        <v>43809</v>
      </c>
      <c r="C407" s="1" t="n">
        <v>45181</v>
      </c>
      <c r="D407" t="inlineStr">
        <is>
          <t>VÄSTERNORRLANDS LÄN</t>
        </is>
      </c>
      <c r="E407" t="inlineStr">
        <is>
          <t>SUNDSVALL</t>
        </is>
      </c>
      <c r="F407" t="inlineStr">
        <is>
          <t>Naturvårdsverket</t>
        </is>
      </c>
      <c r="G407" t="n">
        <v>3.7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66708-2019</t>
        </is>
      </c>
      <c r="B408" s="1" t="n">
        <v>43809</v>
      </c>
      <c r="C408" s="1" t="n">
        <v>45181</v>
      </c>
      <c r="D408" t="inlineStr">
        <is>
          <t>VÄSTERNORRLANDS LÄN</t>
        </is>
      </c>
      <c r="E408" t="inlineStr">
        <is>
          <t>SUNDSVALL</t>
        </is>
      </c>
      <c r="F408" t="inlineStr">
        <is>
          <t>Naturvårdsverket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66705-2019</t>
        </is>
      </c>
      <c r="B409" s="1" t="n">
        <v>43809</v>
      </c>
      <c r="C409" s="1" t="n">
        <v>45181</v>
      </c>
      <c r="D409" t="inlineStr">
        <is>
          <t>VÄSTERNORRLANDS LÄN</t>
        </is>
      </c>
      <c r="E409" t="inlineStr">
        <is>
          <t>SUNDSVALL</t>
        </is>
      </c>
      <c r="F409" t="inlineStr">
        <is>
          <t>Naturvårdsverket</t>
        </is>
      </c>
      <c r="G409" t="n">
        <v>1.4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66706-2019</t>
        </is>
      </c>
      <c r="B410" s="1" t="n">
        <v>43809</v>
      </c>
      <c r="C410" s="1" t="n">
        <v>45181</v>
      </c>
      <c r="D410" t="inlineStr">
        <is>
          <t>VÄSTERNORRLANDS LÄN</t>
        </is>
      </c>
      <c r="E410" t="inlineStr">
        <is>
          <t>SUNDSVALL</t>
        </is>
      </c>
      <c r="F410" t="inlineStr">
        <is>
          <t>Naturvårdsverket</t>
        </is>
      </c>
      <c r="G410" t="n">
        <v>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66969-2019</t>
        </is>
      </c>
      <c r="B411" s="1" t="n">
        <v>43810</v>
      </c>
      <c r="C411" s="1" t="n">
        <v>45181</v>
      </c>
      <c r="D411" t="inlineStr">
        <is>
          <t>VÄSTERNORRLANDS LÄN</t>
        </is>
      </c>
      <c r="E411" t="inlineStr">
        <is>
          <t>SUNDSVALL</t>
        </is>
      </c>
      <c r="F411" t="inlineStr">
        <is>
          <t>SCA</t>
        </is>
      </c>
      <c r="G411" t="n">
        <v>2.8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66998-2019</t>
        </is>
      </c>
      <c r="B412" s="1" t="n">
        <v>43811</v>
      </c>
      <c r="C412" s="1" t="n">
        <v>45181</v>
      </c>
      <c r="D412" t="inlineStr">
        <is>
          <t>VÄSTERNORRLANDS LÄN</t>
        </is>
      </c>
      <c r="E412" t="inlineStr">
        <is>
          <t>SUNDSVALL</t>
        </is>
      </c>
      <c r="G412" t="n">
        <v>3.7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68788-2019</t>
        </is>
      </c>
      <c r="B413" s="1" t="n">
        <v>43815</v>
      </c>
      <c r="C413" s="1" t="n">
        <v>45181</v>
      </c>
      <c r="D413" t="inlineStr">
        <is>
          <t>VÄSTERNORRLANDS LÄN</t>
        </is>
      </c>
      <c r="E413" t="inlineStr">
        <is>
          <t>SUNDSVALL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69043-2019</t>
        </is>
      </c>
      <c r="B414" s="1" t="n">
        <v>43826</v>
      </c>
      <c r="C414" s="1" t="n">
        <v>45181</v>
      </c>
      <c r="D414" t="inlineStr">
        <is>
          <t>VÄSTERNORRLANDS LÄN</t>
        </is>
      </c>
      <c r="E414" t="inlineStr">
        <is>
          <t>SUNDSVALL</t>
        </is>
      </c>
      <c r="F414" t="inlineStr">
        <is>
          <t>Kommuner</t>
        </is>
      </c>
      <c r="G414" t="n">
        <v>3.9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69042-2019</t>
        </is>
      </c>
      <c r="B415" s="1" t="n">
        <v>43826</v>
      </c>
      <c r="C415" s="1" t="n">
        <v>45181</v>
      </c>
      <c r="D415" t="inlineStr">
        <is>
          <t>VÄSTERNORRLANDS LÄN</t>
        </is>
      </c>
      <c r="E415" t="inlineStr">
        <is>
          <t>SUNDSVALL</t>
        </is>
      </c>
      <c r="F415" t="inlineStr">
        <is>
          <t>Kommuner</t>
        </is>
      </c>
      <c r="G415" t="n">
        <v>5.5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69040-2019</t>
        </is>
      </c>
      <c r="B416" s="1" t="n">
        <v>43826</v>
      </c>
      <c r="C416" s="1" t="n">
        <v>45181</v>
      </c>
      <c r="D416" t="inlineStr">
        <is>
          <t>VÄSTERNORRLANDS LÄN</t>
        </is>
      </c>
      <c r="E416" t="inlineStr">
        <is>
          <t>SUNDSVALL</t>
        </is>
      </c>
      <c r="F416" t="inlineStr">
        <is>
          <t>Kommuner</t>
        </is>
      </c>
      <c r="G416" t="n">
        <v>6.1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113-2020</t>
        </is>
      </c>
      <c r="B417" s="1" t="n">
        <v>43832</v>
      </c>
      <c r="C417" s="1" t="n">
        <v>45181</v>
      </c>
      <c r="D417" t="inlineStr">
        <is>
          <t>VÄSTERNORRLANDS LÄN</t>
        </is>
      </c>
      <c r="E417" t="inlineStr">
        <is>
          <t>SUNDSVALL</t>
        </is>
      </c>
      <c r="F417" t="inlineStr">
        <is>
          <t>SCA</t>
        </is>
      </c>
      <c r="G417" t="n">
        <v>5.5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473-2020</t>
        </is>
      </c>
      <c r="B418" s="1" t="n">
        <v>43837</v>
      </c>
      <c r="C418" s="1" t="n">
        <v>45181</v>
      </c>
      <c r="D418" t="inlineStr">
        <is>
          <t>VÄSTERNORRLANDS LÄN</t>
        </is>
      </c>
      <c r="E418" t="inlineStr">
        <is>
          <t>SUNDSVALL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503-2020</t>
        </is>
      </c>
      <c r="B419" s="1" t="n">
        <v>43837</v>
      </c>
      <c r="C419" s="1" t="n">
        <v>45181</v>
      </c>
      <c r="D419" t="inlineStr">
        <is>
          <t>VÄSTERNORRLANDS LÄN</t>
        </is>
      </c>
      <c r="E419" t="inlineStr">
        <is>
          <t>SUNDSVALL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805-2020</t>
        </is>
      </c>
      <c r="B420" s="1" t="n">
        <v>43838</v>
      </c>
      <c r="C420" s="1" t="n">
        <v>45181</v>
      </c>
      <c r="D420" t="inlineStr">
        <is>
          <t>VÄSTERNORRLANDS LÄN</t>
        </is>
      </c>
      <c r="E420" t="inlineStr">
        <is>
          <t>SUNDSVALL</t>
        </is>
      </c>
      <c r="G420" t="n">
        <v>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803-2020</t>
        </is>
      </c>
      <c r="B421" s="1" t="n">
        <v>43838</v>
      </c>
      <c r="C421" s="1" t="n">
        <v>45181</v>
      </c>
      <c r="D421" t="inlineStr">
        <is>
          <t>VÄSTERNORRLANDS LÄN</t>
        </is>
      </c>
      <c r="E421" t="inlineStr">
        <is>
          <t>SUNDSVALL</t>
        </is>
      </c>
      <c r="G421" t="n">
        <v>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1280-2020</t>
        </is>
      </c>
      <c r="B422" s="1" t="n">
        <v>43842</v>
      </c>
      <c r="C422" s="1" t="n">
        <v>45181</v>
      </c>
      <c r="D422" t="inlineStr">
        <is>
          <t>VÄSTERNORRLANDS LÄN</t>
        </is>
      </c>
      <c r="E422" t="inlineStr">
        <is>
          <t>SUNDSVALL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1639-2020</t>
        </is>
      </c>
      <c r="B423" s="1" t="n">
        <v>43844</v>
      </c>
      <c r="C423" s="1" t="n">
        <v>45181</v>
      </c>
      <c r="D423" t="inlineStr">
        <is>
          <t>VÄSTERNORRLANDS LÄN</t>
        </is>
      </c>
      <c r="E423" t="inlineStr">
        <is>
          <t>SUNDSVALL</t>
        </is>
      </c>
      <c r="G423" t="n">
        <v>5.2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1856-2020</t>
        </is>
      </c>
      <c r="B424" s="1" t="n">
        <v>43844</v>
      </c>
      <c r="C424" s="1" t="n">
        <v>45181</v>
      </c>
      <c r="D424" t="inlineStr">
        <is>
          <t>VÄSTERNORRLANDS LÄN</t>
        </is>
      </c>
      <c r="E424" t="inlineStr">
        <is>
          <t>SUNDSVALL</t>
        </is>
      </c>
      <c r="G424" t="n">
        <v>3.8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1655-2020</t>
        </is>
      </c>
      <c r="B425" s="1" t="n">
        <v>43844</v>
      </c>
      <c r="C425" s="1" t="n">
        <v>45181</v>
      </c>
      <c r="D425" t="inlineStr">
        <is>
          <t>VÄSTERNORRLANDS LÄN</t>
        </is>
      </c>
      <c r="E425" t="inlineStr">
        <is>
          <t>SUNDSVALL</t>
        </is>
      </c>
      <c r="G425" t="n">
        <v>4.3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1937-2020</t>
        </is>
      </c>
      <c r="B426" s="1" t="n">
        <v>43845</v>
      </c>
      <c r="C426" s="1" t="n">
        <v>45181</v>
      </c>
      <c r="D426" t="inlineStr">
        <is>
          <t>VÄSTERNORRLANDS LÄN</t>
        </is>
      </c>
      <c r="E426" t="inlineStr">
        <is>
          <t>SUNDSVALL</t>
        </is>
      </c>
      <c r="G426" t="n">
        <v>2.5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1979-2020</t>
        </is>
      </c>
      <c r="B427" s="1" t="n">
        <v>43845</v>
      </c>
      <c r="C427" s="1" t="n">
        <v>45181</v>
      </c>
      <c r="D427" t="inlineStr">
        <is>
          <t>VÄSTERNORRLANDS LÄN</t>
        </is>
      </c>
      <c r="E427" t="inlineStr">
        <is>
          <t>SUNDSVALL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2052-2020</t>
        </is>
      </c>
      <c r="B428" s="1" t="n">
        <v>43845</v>
      </c>
      <c r="C428" s="1" t="n">
        <v>45181</v>
      </c>
      <c r="D428" t="inlineStr">
        <is>
          <t>VÄSTERNORRLANDS LÄN</t>
        </is>
      </c>
      <c r="E428" t="inlineStr">
        <is>
          <t>SUNDSVALL</t>
        </is>
      </c>
      <c r="F428" t="inlineStr">
        <is>
          <t>Kommuner</t>
        </is>
      </c>
      <c r="G428" t="n">
        <v>0.9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2100-2020</t>
        </is>
      </c>
      <c r="B429" s="1" t="n">
        <v>43845</v>
      </c>
      <c r="C429" s="1" t="n">
        <v>45181</v>
      </c>
      <c r="D429" t="inlineStr">
        <is>
          <t>VÄSTERNORRLANDS LÄN</t>
        </is>
      </c>
      <c r="E429" t="inlineStr">
        <is>
          <t>SUNDSVALL</t>
        </is>
      </c>
      <c r="G429" t="n">
        <v>1.9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1919-2020</t>
        </is>
      </c>
      <c r="B430" s="1" t="n">
        <v>43845</v>
      </c>
      <c r="C430" s="1" t="n">
        <v>45181</v>
      </c>
      <c r="D430" t="inlineStr">
        <is>
          <t>VÄSTERNORRLANDS LÄN</t>
        </is>
      </c>
      <c r="E430" t="inlineStr">
        <is>
          <t>SUNDSVALL</t>
        </is>
      </c>
      <c r="F430" t="inlineStr">
        <is>
          <t>Kommuner</t>
        </is>
      </c>
      <c r="G430" t="n">
        <v>11.9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1928-2020</t>
        </is>
      </c>
      <c r="B431" s="1" t="n">
        <v>43845</v>
      </c>
      <c r="C431" s="1" t="n">
        <v>45181</v>
      </c>
      <c r="D431" t="inlineStr">
        <is>
          <t>VÄSTERNORRLANDS LÄN</t>
        </is>
      </c>
      <c r="E431" t="inlineStr">
        <is>
          <t>SUNDSVALL</t>
        </is>
      </c>
      <c r="F431" t="inlineStr">
        <is>
          <t>Kommuner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2065-2020</t>
        </is>
      </c>
      <c r="B432" s="1" t="n">
        <v>43845</v>
      </c>
      <c r="C432" s="1" t="n">
        <v>45181</v>
      </c>
      <c r="D432" t="inlineStr">
        <is>
          <t>VÄSTERNORRLANDS LÄN</t>
        </is>
      </c>
      <c r="E432" t="inlineStr">
        <is>
          <t>SUNDSVALL</t>
        </is>
      </c>
      <c r="F432" t="inlineStr">
        <is>
          <t>Kommuner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3550-2020</t>
        </is>
      </c>
      <c r="B433" s="1" t="n">
        <v>43845</v>
      </c>
      <c r="C433" s="1" t="n">
        <v>45181</v>
      </c>
      <c r="D433" t="inlineStr">
        <is>
          <t>VÄSTERNORRLANDS LÄN</t>
        </is>
      </c>
      <c r="E433" t="inlineStr">
        <is>
          <t>SUNDSVALL</t>
        </is>
      </c>
      <c r="F433" t="inlineStr">
        <is>
          <t>Övriga statliga verk och myndigheter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1946-2020</t>
        </is>
      </c>
      <c r="B434" s="1" t="n">
        <v>43845</v>
      </c>
      <c r="C434" s="1" t="n">
        <v>45181</v>
      </c>
      <c r="D434" t="inlineStr">
        <is>
          <t>VÄSTERNORRLANDS LÄN</t>
        </is>
      </c>
      <c r="E434" t="inlineStr">
        <is>
          <t>SUNDSVALL</t>
        </is>
      </c>
      <c r="F434" t="inlineStr">
        <is>
          <t>Kommuner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2106-2020</t>
        </is>
      </c>
      <c r="B435" s="1" t="n">
        <v>43845</v>
      </c>
      <c r="C435" s="1" t="n">
        <v>45181</v>
      </c>
      <c r="D435" t="inlineStr">
        <is>
          <t>VÄSTERNORRLANDS LÄN</t>
        </is>
      </c>
      <c r="E435" t="inlineStr">
        <is>
          <t>SUNDSVALL</t>
        </is>
      </c>
      <c r="F435" t="inlineStr">
        <is>
          <t>Naturvårdsverket</t>
        </is>
      </c>
      <c r="G435" t="n">
        <v>3.8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2314-2020</t>
        </is>
      </c>
      <c r="B436" s="1" t="n">
        <v>43846</v>
      </c>
      <c r="C436" s="1" t="n">
        <v>45181</v>
      </c>
      <c r="D436" t="inlineStr">
        <is>
          <t>VÄSTERNORRLANDS LÄN</t>
        </is>
      </c>
      <c r="E436" t="inlineStr">
        <is>
          <t>SUNDSVALL</t>
        </is>
      </c>
      <c r="G436" t="n">
        <v>2.9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2478-2020</t>
        </is>
      </c>
      <c r="B437" s="1" t="n">
        <v>43847</v>
      </c>
      <c r="C437" s="1" t="n">
        <v>45181</v>
      </c>
      <c r="D437" t="inlineStr">
        <is>
          <t>VÄSTERNORRLANDS LÄN</t>
        </is>
      </c>
      <c r="E437" t="inlineStr">
        <is>
          <t>SUNDSVALL</t>
        </is>
      </c>
      <c r="G437" t="n">
        <v>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2630-2020</t>
        </is>
      </c>
      <c r="B438" s="1" t="n">
        <v>43847</v>
      </c>
      <c r="C438" s="1" t="n">
        <v>45181</v>
      </c>
      <c r="D438" t="inlineStr">
        <is>
          <t>VÄSTERNORRLANDS LÄN</t>
        </is>
      </c>
      <c r="E438" t="inlineStr">
        <is>
          <t>SUNDSVALL</t>
        </is>
      </c>
      <c r="F438" t="inlineStr">
        <is>
          <t>Kommuner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2631-2020</t>
        </is>
      </c>
      <c r="B439" s="1" t="n">
        <v>43847</v>
      </c>
      <c r="C439" s="1" t="n">
        <v>45181</v>
      </c>
      <c r="D439" t="inlineStr">
        <is>
          <t>VÄSTERNORRLANDS LÄN</t>
        </is>
      </c>
      <c r="E439" t="inlineStr">
        <is>
          <t>SUNDSVALL</t>
        </is>
      </c>
      <c r="F439" t="inlineStr">
        <is>
          <t>Kommuner</t>
        </is>
      </c>
      <c r="G439" t="n">
        <v>4.4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3002-2020</t>
        </is>
      </c>
      <c r="B440" s="1" t="n">
        <v>43850</v>
      </c>
      <c r="C440" s="1" t="n">
        <v>45181</v>
      </c>
      <c r="D440" t="inlineStr">
        <is>
          <t>VÄSTERNORRLANDS LÄN</t>
        </is>
      </c>
      <c r="E440" t="inlineStr">
        <is>
          <t>SUNDSVALL</t>
        </is>
      </c>
      <c r="G440" t="n">
        <v>14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3003-2020</t>
        </is>
      </c>
      <c r="B441" s="1" t="n">
        <v>43850</v>
      </c>
      <c r="C441" s="1" t="n">
        <v>45181</v>
      </c>
      <c r="D441" t="inlineStr">
        <is>
          <t>VÄSTERNORRLANDS LÄN</t>
        </is>
      </c>
      <c r="E441" t="inlineStr">
        <is>
          <t>SUNDSVALL</t>
        </is>
      </c>
      <c r="G441" t="n">
        <v>2.4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3092-2020</t>
        </is>
      </c>
      <c r="B442" s="1" t="n">
        <v>43851</v>
      </c>
      <c r="C442" s="1" t="n">
        <v>45181</v>
      </c>
      <c r="D442" t="inlineStr">
        <is>
          <t>VÄSTERNORRLANDS LÄN</t>
        </is>
      </c>
      <c r="E442" t="inlineStr">
        <is>
          <t>SUNDSVALL</t>
        </is>
      </c>
      <c r="G442" t="n">
        <v>2.4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3415-2020</t>
        </is>
      </c>
      <c r="B443" s="1" t="n">
        <v>43852</v>
      </c>
      <c r="C443" s="1" t="n">
        <v>45181</v>
      </c>
      <c r="D443" t="inlineStr">
        <is>
          <t>VÄSTERNORRLANDS LÄN</t>
        </is>
      </c>
      <c r="E443" t="inlineStr">
        <is>
          <t>SUNDSVALL</t>
        </is>
      </c>
      <c r="F443" t="inlineStr">
        <is>
          <t>Kommuner</t>
        </is>
      </c>
      <c r="G443" t="n">
        <v>6.3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3538-2020</t>
        </is>
      </c>
      <c r="B444" s="1" t="n">
        <v>43853</v>
      </c>
      <c r="C444" s="1" t="n">
        <v>45181</v>
      </c>
      <c r="D444" t="inlineStr">
        <is>
          <t>VÄSTERNORRLANDS LÄN</t>
        </is>
      </c>
      <c r="E444" t="inlineStr">
        <is>
          <t>SUNDSVALL</t>
        </is>
      </c>
      <c r="G444" t="n">
        <v>2.3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4528-2020</t>
        </is>
      </c>
      <c r="B445" s="1" t="n">
        <v>43858</v>
      </c>
      <c r="C445" s="1" t="n">
        <v>45181</v>
      </c>
      <c r="D445" t="inlineStr">
        <is>
          <t>VÄSTERNORRLANDS LÄN</t>
        </is>
      </c>
      <c r="E445" t="inlineStr">
        <is>
          <t>SUNDSVALL</t>
        </is>
      </c>
      <c r="F445" t="inlineStr">
        <is>
          <t>Kommuner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5631-2020</t>
        </is>
      </c>
      <c r="B446" s="1" t="n">
        <v>43860</v>
      </c>
      <c r="C446" s="1" t="n">
        <v>45181</v>
      </c>
      <c r="D446" t="inlineStr">
        <is>
          <t>VÄSTERNORRLANDS LÄN</t>
        </is>
      </c>
      <c r="E446" t="inlineStr">
        <is>
          <t>SUNDSVALL</t>
        </is>
      </c>
      <c r="G446" t="n">
        <v>7.3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5705-2020</t>
        </is>
      </c>
      <c r="B447" s="1" t="n">
        <v>43861</v>
      </c>
      <c r="C447" s="1" t="n">
        <v>45181</v>
      </c>
      <c r="D447" t="inlineStr">
        <is>
          <t>VÄSTERNORRLANDS LÄN</t>
        </is>
      </c>
      <c r="E447" t="inlineStr">
        <is>
          <t>SUNDSVALL</t>
        </is>
      </c>
      <c r="G447" t="n">
        <v>0.5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5528-2020</t>
        </is>
      </c>
      <c r="B448" s="1" t="n">
        <v>43861</v>
      </c>
      <c r="C448" s="1" t="n">
        <v>45181</v>
      </c>
      <c r="D448" t="inlineStr">
        <is>
          <t>VÄSTERNORRLANDS LÄN</t>
        </is>
      </c>
      <c r="E448" t="inlineStr">
        <is>
          <t>SUNDSVALL</t>
        </is>
      </c>
      <c r="G448" t="n">
        <v>1.3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5711-2020</t>
        </is>
      </c>
      <c r="B449" s="1" t="n">
        <v>43861</v>
      </c>
      <c r="C449" s="1" t="n">
        <v>45181</v>
      </c>
      <c r="D449" t="inlineStr">
        <is>
          <t>VÄSTERNORRLANDS LÄN</t>
        </is>
      </c>
      <c r="E449" t="inlineStr">
        <is>
          <t>SUNDSVALL</t>
        </is>
      </c>
      <c r="G449" t="n">
        <v>3.4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5815-2020</t>
        </is>
      </c>
      <c r="B450" s="1" t="n">
        <v>43864</v>
      </c>
      <c r="C450" s="1" t="n">
        <v>45181</v>
      </c>
      <c r="D450" t="inlineStr">
        <is>
          <t>VÄSTERNORRLANDS LÄN</t>
        </is>
      </c>
      <c r="E450" t="inlineStr">
        <is>
          <t>SUNDSVALL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5773-2020</t>
        </is>
      </c>
      <c r="B451" s="1" t="n">
        <v>43864</v>
      </c>
      <c r="C451" s="1" t="n">
        <v>45181</v>
      </c>
      <c r="D451" t="inlineStr">
        <is>
          <t>VÄSTERNORRLANDS LÄN</t>
        </is>
      </c>
      <c r="E451" t="inlineStr">
        <is>
          <t>SUNDSVALL</t>
        </is>
      </c>
      <c r="G451" t="n">
        <v>4.7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5963-2020</t>
        </is>
      </c>
      <c r="B452" s="1" t="n">
        <v>43864</v>
      </c>
      <c r="C452" s="1" t="n">
        <v>45181</v>
      </c>
      <c r="D452" t="inlineStr">
        <is>
          <t>VÄSTERNORRLANDS LÄN</t>
        </is>
      </c>
      <c r="E452" t="inlineStr">
        <is>
          <t>SUNDSVALL</t>
        </is>
      </c>
      <c r="G452" t="n">
        <v>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5966-2020</t>
        </is>
      </c>
      <c r="B453" s="1" t="n">
        <v>43864</v>
      </c>
      <c r="C453" s="1" t="n">
        <v>45181</v>
      </c>
      <c r="D453" t="inlineStr">
        <is>
          <t>VÄSTERNORRLANDS LÄN</t>
        </is>
      </c>
      <c r="E453" t="inlineStr">
        <is>
          <t>SUNDSVALL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6292-2020</t>
        </is>
      </c>
      <c r="B454" s="1" t="n">
        <v>43866</v>
      </c>
      <c r="C454" s="1" t="n">
        <v>45181</v>
      </c>
      <c r="D454" t="inlineStr">
        <is>
          <t>VÄSTERNORRLANDS LÄN</t>
        </is>
      </c>
      <c r="E454" t="inlineStr">
        <is>
          <t>SUNDSVALL</t>
        </is>
      </c>
      <c r="G454" t="n">
        <v>2.1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6807-2020</t>
        </is>
      </c>
      <c r="B455" s="1" t="n">
        <v>43867</v>
      </c>
      <c r="C455" s="1" t="n">
        <v>45181</v>
      </c>
      <c r="D455" t="inlineStr">
        <is>
          <t>VÄSTERNORRLANDS LÄN</t>
        </is>
      </c>
      <c r="E455" t="inlineStr">
        <is>
          <t>SUNDSVALL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7498-2020</t>
        </is>
      </c>
      <c r="B456" s="1" t="n">
        <v>43871</v>
      </c>
      <c r="C456" s="1" t="n">
        <v>45181</v>
      </c>
      <c r="D456" t="inlineStr">
        <is>
          <t>VÄSTERNORRLANDS LÄN</t>
        </is>
      </c>
      <c r="E456" t="inlineStr">
        <is>
          <t>SUNDSVALL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7503-2020</t>
        </is>
      </c>
      <c r="B457" s="1" t="n">
        <v>43871</v>
      </c>
      <c r="C457" s="1" t="n">
        <v>45181</v>
      </c>
      <c r="D457" t="inlineStr">
        <is>
          <t>VÄSTERNORRLANDS LÄN</t>
        </is>
      </c>
      <c r="E457" t="inlineStr">
        <is>
          <t>SUNDSVALL</t>
        </is>
      </c>
      <c r="G457" t="n">
        <v>0.2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7501-2020</t>
        </is>
      </c>
      <c r="B458" s="1" t="n">
        <v>43871</v>
      </c>
      <c r="C458" s="1" t="n">
        <v>45181</v>
      </c>
      <c r="D458" t="inlineStr">
        <is>
          <t>VÄSTERNORRLANDS LÄN</t>
        </is>
      </c>
      <c r="E458" t="inlineStr">
        <is>
          <t>SUNDSVALL</t>
        </is>
      </c>
      <c r="G458" t="n">
        <v>0.1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7497-2020</t>
        </is>
      </c>
      <c r="B459" s="1" t="n">
        <v>43871</v>
      </c>
      <c r="C459" s="1" t="n">
        <v>45181</v>
      </c>
      <c r="D459" t="inlineStr">
        <is>
          <t>VÄSTERNORRLANDS LÄN</t>
        </is>
      </c>
      <c r="E459" t="inlineStr">
        <is>
          <t>SUNDSVALL</t>
        </is>
      </c>
      <c r="G459" t="n">
        <v>0.2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7502-2020</t>
        </is>
      </c>
      <c r="B460" s="1" t="n">
        <v>43871</v>
      </c>
      <c r="C460" s="1" t="n">
        <v>45181</v>
      </c>
      <c r="D460" t="inlineStr">
        <is>
          <t>VÄSTERNORRLANDS LÄN</t>
        </is>
      </c>
      <c r="E460" t="inlineStr">
        <is>
          <t>SUNDSVALL</t>
        </is>
      </c>
      <c r="G460" t="n">
        <v>0.3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7499-2020</t>
        </is>
      </c>
      <c r="B461" s="1" t="n">
        <v>43871</v>
      </c>
      <c r="C461" s="1" t="n">
        <v>45181</v>
      </c>
      <c r="D461" t="inlineStr">
        <is>
          <t>VÄSTERNORRLANDS LÄN</t>
        </is>
      </c>
      <c r="E461" t="inlineStr">
        <is>
          <t>SUNDSVALL</t>
        </is>
      </c>
      <c r="G461" t="n">
        <v>0.8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7505-2020</t>
        </is>
      </c>
      <c r="B462" s="1" t="n">
        <v>43871</v>
      </c>
      <c r="C462" s="1" t="n">
        <v>45181</v>
      </c>
      <c r="D462" t="inlineStr">
        <is>
          <t>VÄSTERNORRLANDS LÄN</t>
        </is>
      </c>
      <c r="E462" t="inlineStr">
        <is>
          <t>SUNDSVALL</t>
        </is>
      </c>
      <c r="G462" t="n">
        <v>10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7944-2020</t>
        </is>
      </c>
      <c r="B463" s="1" t="n">
        <v>43873</v>
      </c>
      <c r="C463" s="1" t="n">
        <v>45181</v>
      </c>
      <c r="D463" t="inlineStr">
        <is>
          <t>VÄSTERNORRLANDS LÄN</t>
        </is>
      </c>
      <c r="E463" t="inlineStr">
        <is>
          <t>SUNDSVALL</t>
        </is>
      </c>
      <c r="G463" t="n">
        <v>18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7956-2020</t>
        </is>
      </c>
      <c r="B464" s="1" t="n">
        <v>43873</v>
      </c>
      <c r="C464" s="1" t="n">
        <v>45181</v>
      </c>
      <c r="D464" t="inlineStr">
        <is>
          <t>VÄSTERNORRLANDS LÄN</t>
        </is>
      </c>
      <c r="E464" t="inlineStr">
        <is>
          <t>SUNDSVALL</t>
        </is>
      </c>
      <c r="G464" t="n">
        <v>15.3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7961-2020</t>
        </is>
      </c>
      <c r="B465" s="1" t="n">
        <v>43873</v>
      </c>
      <c r="C465" s="1" t="n">
        <v>45181</v>
      </c>
      <c r="D465" t="inlineStr">
        <is>
          <t>VÄSTERNORRLANDS LÄN</t>
        </is>
      </c>
      <c r="E465" t="inlineStr">
        <is>
          <t>SUNDSVALL</t>
        </is>
      </c>
      <c r="G465" t="n">
        <v>4.8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8531-2020</t>
        </is>
      </c>
      <c r="B466" s="1" t="n">
        <v>43875</v>
      </c>
      <c r="C466" s="1" t="n">
        <v>45181</v>
      </c>
      <c r="D466" t="inlineStr">
        <is>
          <t>VÄSTERNORRLANDS LÄN</t>
        </is>
      </c>
      <c r="E466" t="inlineStr">
        <is>
          <t>SUNDSVALL</t>
        </is>
      </c>
      <c r="G466" t="n">
        <v>1.1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8527-2020</t>
        </is>
      </c>
      <c r="B467" s="1" t="n">
        <v>43875</v>
      </c>
      <c r="C467" s="1" t="n">
        <v>45181</v>
      </c>
      <c r="D467" t="inlineStr">
        <is>
          <t>VÄSTERNORRLANDS LÄN</t>
        </is>
      </c>
      <c r="E467" t="inlineStr">
        <is>
          <t>SUNDSVALL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8943-2020</t>
        </is>
      </c>
      <c r="B468" s="1" t="n">
        <v>43878</v>
      </c>
      <c r="C468" s="1" t="n">
        <v>45181</v>
      </c>
      <c r="D468" t="inlineStr">
        <is>
          <t>VÄSTERNORRLANDS LÄN</t>
        </is>
      </c>
      <c r="E468" t="inlineStr">
        <is>
          <t>SUNDSVALL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8882-2020</t>
        </is>
      </c>
      <c r="B469" s="1" t="n">
        <v>43878</v>
      </c>
      <c r="C469" s="1" t="n">
        <v>45181</v>
      </c>
      <c r="D469" t="inlineStr">
        <is>
          <t>VÄSTERNORRLANDS LÄN</t>
        </is>
      </c>
      <c r="E469" t="inlineStr">
        <is>
          <t>SUNDSVALL</t>
        </is>
      </c>
      <c r="G469" t="n">
        <v>7.2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8924-2020</t>
        </is>
      </c>
      <c r="B470" s="1" t="n">
        <v>43878</v>
      </c>
      <c r="C470" s="1" t="n">
        <v>45181</v>
      </c>
      <c r="D470" t="inlineStr">
        <is>
          <t>VÄSTERNORRLANDS LÄN</t>
        </is>
      </c>
      <c r="E470" t="inlineStr">
        <is>
          <t>SUNDSVALL</t>
        </is>
      </c>
      <c r="G470" t="n">
        <v>2.2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9486-2020</t>
        </is>
      </c>
      <c r="B471" s="1" t="n">
        <v>43880</v>
      </c>
      <c r="C471" s="1" t="n">
        <v>45181</v>
      </c>
      <c r="D471" t="inlineStr">
        <is>
          <t>VÄSTERNORRLANDS LÄN</t>
        </is>
      </c>
      <c r="E471" t="inlineStr">
        <is>
          <t>SUNDSVALL</t>
        </is>
      </c>
      <c r="G471" t="n">
        <v>1.5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9837-2020</t>
        </is>
      </c>
      <c r="B472" s="1" t="n">
        <v>43881</v>
      </c>
      <c r="C472" s="1" t="n">
        <v>45181</v>
      </c>
      <c r="D472" t="inlineStr">
        <is>
          <t>VÄSTERNORRLANDS LÄN</t>
        </is>
      </c>
      <c r="E472" t="inlineStr">
        <is>
          <t>SUNDSVALL</t>
        </is>
      </c>
      <c r="G472" t="n">
        <v>2.1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9554-2020</t>
        </is>
      </c>
      <c r="B473" s="1" t="n">
        <v>43881</v>
      </c>
      <c r="C473" s="1" t="n">
        <v>45181</v>
      </c>
      <c r="D473" t="inlineStr">
        <is>
          <t>VÄSTERNORRLANDS LÄN</t>
        </is>
      </c>
      <c r="E473" t="inlineStr">
        <is>
          <t>SUNDSVALL</t>
        </is>
      </c>
      <c r="G473" t="n">
        <v>2.5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9841-2020</t>
        </is>
      </c>
      <c r="B474" s="1" t="n">
        <v>43881</v>
      </c>
      <c r="C474" s="1" t="n">
        <v>45181</v>
      </c>
      <c r="D474" t="inlineStr">
        <is>
          <t>VÄSTERNORRLANDS LÄN</t>
        </is>
      </c>
      <c r="E474" t="inlineStr">
        <is>
          <t>SUNDSVALL</t>
        </is>
      </c>
      <c r="G474" t="n">
        <v>0.6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9915-2020</t>
        </is>
      </c>
      <c r="B475" s="1" t="n">
        <v>43882</v>
      </c>
      <c r="C475" s="1" t="n">
        <v>45181</v>
      </c>
      <c r="D475" t="inlineStr">
        <is>
          <t>VÄSTERNORRLANDS LÄN</t>
        </is>
      </c>
      <c r="E475" t="inlineStr">
        <is>
          <t>SUNDSVALL</t>
        </is>
      </c>
      <c r="G475" t="n">
        <v>2.7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10455-2020</t>
        </is>
      </c>
      <c r="B476" s="1" t="n">
        <v>43886</v>
      </c>
      <c r="C476" s="1" t="n">
        <v>45181</v>
      </c>
      <c r="D476" t="inlineStr">
        <is>
          <t>VÄSTERNORRLANDS LÄN</t>
        </is>
      </c>
      <c r="E476" t="inlineStr">
        <is>
          <t>SUNDSVALL</t>
        </is>
      </c>
      <c r="G476" t="n">
        <v>6.7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10456-2020</t>
        </is>
      </c>
      <c r="B477" s="1" t="n">
        <v>43886</v>
      </c>
      <c r="C477" s="1" t="n">
        <v>45181</v>
      </c>
      <c r="D477" t="inlineStr">
        <is>
          <t>VÄSTERNORRLANDS LÄN</t>
        </is>
      </c>
      <c r="E477" t="inlineStr">
        <is>
          <t>SUNDSVALL</t>
        </is>
      </c>
      <c r="G477" t="n">
        <v>2.4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10649-2020</t>
        </is>
      </c>
      <c r="B478" s="1" t="n">
        <v>43887</v>
      </c>
      <c r="C478" s="1" t="n">
        <v>45181</v>
      </c>
      <c r="D478" t="inlineStr">
        <is>
          <t>VÄSTERNORRLANDS LÄN</t>
        </is>
      </c>
      <c r="E478" t="inlineStr">
        <is>
          <t>SUNDSVALL</t>
        </is>
      </c>
      <c r="G478" t="n">
        <v>5.8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10571-2020</t>
        </is>
      </c>
      <c r="B479" s="1" t="n">
        <v>43887</v>
      </c>
      <c r="C479" s="1" t="n">
        <v>45181</v>
      </c>
      <c r="D479" t="inlineStr">
        <is>
          <t>VÄSTERNORRLANDS LÄN</t>
        </is>
      </c>
      <c r="E479" t="inlineStr">
        <is>
          <t>SUNDSVALL</t>
        </is>
      </c>
      <c r="G479" t="n">
        <v>5.1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10904-2020</t>
        </is>
      </c>
      <c r="B480" s="1" t="n">
        <v>43889</v>
      </c>
      <c r="C480" s="1" t="n">
        <v>45181</v>
      </c>
      <c r="D480" t="inlineStr">
        <is>
          <t>VÄSTERNORRLANDS LÄN</t>
        </is>
      </c>
      <c r="E480" t="inlineStr">
        <is>
          <t>SUNDSVALL</t>
        </is>
      </c>
      <c r="G480" t="n">
        <v>2.5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11411-2020</t>
        </is>
      </c>
      <c r="B481" s="1" t="n">
        <v>43892</v>
      </c>
      <c r="C481" s="1" t="n">
        <v>45181</v>
      </c>
      <c r="D481" t="inlineStr">
        <is>
          <t>VÄSTERNORRLANDS LÄN</t>
        </is>
      </c>
      <c r="E481" t="inlineStr">
        <is>
          <t>SUNDSVALL</t>
        </is>
      </c>
      <c r="G481" t="n">
        <v>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11277-2020</t>
        </is>
      </c>
      <c r="B482" s="1" t="n">
        <v>43892</v>
      </c>
      <c r="C482" s="1" t="n">
        <v>45181</v>
      </c>
      <c r="D482" t="inlineStr">
        <is>
          <t>VÄSTERNORRLANDS LÄN</t>
        </is>
      </c>
      <c r="E482" t="inlineStr">
        <is>
          <t>SUNDSVALL</t>
        </is>
      </c>
      <c r="G482" t="n">
        <v>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11426-2020</t>
        </is>
      </c>
      <c r="B483" s="1" t="n">
        <v>43892</v>
      </c>
      <c r="C483" s="1" t="n">
        <v>45181</v>
      </c>
      <c r="D483" t="inlineStr">
        <is>
          <t>VÄSTERNORRLANDS LÄN</t>
        </is>
      </c>
      <c r="E483" t="inlineStr">
        <is>
          <t>SUNDSVALL</t>
        </is>
      </c>
      <c r="G483" t="n">
        <v>0.7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11427-2020</t>
        </is>
      </c>
      <c r="B484" s="1" t="n">
        <v>43892</v>
      </c>
      <c r="C484" s="1" t="n">
        <v>45181</v>
      </c>
      <c r="D484" t="inlineStr">
        <is>
          <t>VÄSTERNORRLANDS LÄN</t>
        </is>
      </c>
      <c r="E484" t="inlineStr">
        <is>
          <t>SUNDSVALL</t>
        </is>
      </c>
      <c r="G484" t="n">
        <v>0.3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11413-2020</t>
        </is>
      </c>
      <c r="B485" s="1" t="n">
        <v>43892</v>
      </c>
      <c r="C485" s="1" t="n">
        <v>45181</v>
      </c>
      <c r="D485" t="inlineStr">
        <is>
          <t>VÄSTERNORRLANDS LÄN</t>
        </is>
      </c>
      <c r="E485" t="inlineStr">
        <is>
          <t>SUNDSVALL</t>
        </is>
      </c>
      <c r="G485" t="n">
        <v>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11682-2020</t>
        </is>
      </c>
      <c r="B486" s="1" t="n">
        <v>43893</v>
      </c>
      <c r="C486" s="1" t="n">
        <v>45181</v>
      </c>
      <c r="D486" t="inlineStr">
        <is>
          <t>VÄSTERNORRLANDS LÄN</t>
        </is>
      </c>
      <c r="E486" t="inlineStr">
        <is>
          <t>SUNDSVALL</t>
        </is>
      </c>
      <c r="F486" t="inlineStr">
        <is>
          <t>SCA</t>
        </is>
      </c>
      <c r="G486" t="n">
        <v>3.1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12065-2020</t>
        </is>
      </c>
      <c r="B487" s="1" t="n">
        <v>43894</v>
      </c>
      <c r="C487" s="1" t="n">
        <v>45181</v>
      </c>
      <c r="D487" t="inlineStr">
        <is>
          <t>VÄSTERNORRLANDS LÄN</t>
        </is>
      </c>
      <c r="E487" t="inlineStr">
        <is>
          <t>SUNDSVALL</t>
        </is>
      </c>
      <c r="G487" t="n">
        <v>4.4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12066-2020</t>
        </is>
      </c>
      <c r="B488" s="1" t="n">
        <v>43894</v>
      </c>
      <c r="C488" s="1" t="n">
        <v>45181</v>
      </c>
      <c r="D488" t="inlineStr">
        <is>
          <t>VÄSTERNORRLANDS LÄN</t>
        </is>
      </c>
      <c r="E488" t="inlineStr">
        <is>
          <t>SUNDSVALL</t>
        </is>
      </c>
      <c r="G488" t="n">
        <v>2.1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12336-2020</t>
        </is>
      </c>
      <c r="B489" s="1" t="n">
        <v>43895</v>
      </c>
      <c r="C489" s="1" t="n">
        <v>45181</v>
      </c>
      <c r="D489" t="inlineStr">
        <is>
          <t>VÄSTERNORRLANDS LÄN</t>
        </is>
      </c>
      <c r="E489" t="inlineStr">
        <is>
          <t>SUNDSVALL</t>
        </is>
      </c>
      <c r="F489" t="inlineStr">
        <is>
          <t>SCA</t>
        </is>
      </c>
      <c r="G489" t="n">
        <v>2.4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13082-2020</t>
        </is>
      </c>
      <c r="B490" s="1" t="n">
        <v>43900</v>
      </c>
      <c r="C490" s="1" t="n">
        <v>45181</v>
      </c>
      <c r="D490" t="inlineStr">
        <is>
          <t>VÄSTERNORRLANDS LÄN</t>
        </is>
      </c>
      <c r="E490" t="inlineStr">
        <is>
          <t>SUNDSVALL</t>
        </is>
      </c>
      <c r="G490" t="n">
        <v>12.8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13073-2020</t>
        </is>
      </c>
      <c r="B491" s="1" t="n">
        <v>43900</v>
      </c>
      <c r="C491" s="1" t="n">
        <v>45181</v>
      </c>
      <c r="D491" t="inlineStr">
        <is>
          <t>VÄSTERNORRLANDS LÄN</t>
        </is>
      </c>
      <c r="E491" t="inlineStr">
        <is>
          <t>SUNDSVALL</t>
        </is>
      </c>
      <c r="G491" t="n">
        <v>0.8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13068-2020</t>
        </is>
      </c>
      <c r="B492" s="1" t="n">
        <v>43900</v>
      </c>
      <c r="C492" s="1" t="n">
        <v>45181</v>
      </c>
      <c r="D492" t="inlineStr">
        <is>
          <t>VÄSTERNORRLANDS LÄN</t>
        </is>
      </c>
      <c r="E492" t="inlineStr">
        <is>
          <t>SUNDSVALL</t>
        </is>
      </c>
      <c r="G492" t="n">
        <v>0.5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13074-2020</t>
        </is>
      </c>
      <c r="B493" s="1" t="n">
        <v>43900</v>
      </c>
      <c r="C493" s="1" t="n">
        <v>45181</v>
      </c>
      <c r="D493" t="inlineStr">
        <is>
          <t>VÄSTERNORRLANDS LÄN</t>
        </is>
      </c>
      <c r="E493" t="inlineStr">
        <is>
          <t>SUNDSVALL</t>
        </is>
      </c>
      <c r="G493" t="n">
        <v>2.3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13291-2020</t>
        </is>
      </c>
      <c r="B494" s="1" t="n">
        <v>43901</v>
      </c>
      <c r="C494" s="1" t="n">
        <v>45181</v>
      </c>
      <c r="D494" t="inlineStr">
        <is>
          <t>VÄSTERNORRLANDS LÄN</t>
        </is>
      </c>
      <c r="E494" t="inlineStr">
        <is>
          <t>SUNDSVALL</t>
        </is>
      </c>
      <c r="G494" t="n">
        <v>2.4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14330-2020</t>
        </is>
      </c>
      <c r="B495" s="1" t="n">
        <v>43907</v>
      </c>
      <c r="C495" s="1" t="n">
        <v>45181</v>
      </c>
      <c r="D495" t="inlineStr">
        <is>
          <t>VÄSTERNORRLANDS LÄN</t>
        </is>
      </c>
      <c r="E495" t="inlineStr">
        <is>
          <t>SUNDSVALL</t>
        </is>
      </c>
      <c r="G495" t="n">
        <v>1.8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14853-2020</t>
        </is>
      </c>
      <c r="B496" s="1" t="n">
        <v>43909</v>
      </c>
      <c r="C496" s="1" t="n">
        <v>45181</v>
      </c>
      <c r="D496" t="inlineStr">
        <is>
          <t>VÄSTERNORRLANDS LÄN</t>
        </is>
      </c>
      <c r="E496" t="inlineStr">
        <is>
          <t>SUNDSVALL</t>
        </is>
      </c>
      <c r="G496" t="n">
        <v>3.7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15098-2020</t>
        </is>
      </c>
      <c r="B497" s="1" t="n">
        <v>43910</v>
      </c>
      <c r="C497" s="1" t="n">
        <v>45181</v>
      </c>
      <c r="D497" t="inlineStr">
        <is>
          <t>VÄSTERNORRLANDS LÄN</t>
        </is>
      </c>
      <c r="E497" t="inlineStr">
        <is>
          <t>SUNDSVALL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15215-2020</t>
        </is>
      </c>
      <c r="B498" s="1" t="n">
        <v>43913</v>
      </c>
      <c r="C498" s="1" t="n">
        <v>45181</v>
      </c>
      <c r="D498" t="inlineStr">
        <is>
          <t>VÄSTERNORRLANDS LÄN</t>
        </is>
      </c>
      <c r="E498" t="inlineStr">
        <is>
          <t>SUNDSVALL</t>
        </is>
      </c>
      <c r="G498" t="n">
        <v>7.1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15267-2020</t>
        </is>
      </c>
      <c r="B499" s="1" t="n">
        <v>43913</v>
      </c>
      <c r="C499" s="1" t="n">
        <v>45181</v>
      </c>
      <c r="D499" t="inlineStr">
        <is>
          <t>VÄSTERNORRLANDS LÄN</t>
        </is>
      </c>
      <c r="E499" t="inlineStr">
        <is>
          <t>SUNDSVALL</t>
        </is>
      </c>
      <c r="G499" t="n">
        <v>4.3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15639-2020</t>
        </is>
      </c>
      <c r="B500" s="1" t="n">
        <v>43914</v>
      </c>
      <c r="C500" s="1" t="n">
        <v>45181</v>
      </c>
      <c r="D500" t="inlineStr">
        <is>
          <t>VÄSTERNORRLANDS LÄN</t>
        </is>
      </c>
      <c r="E500" t="inlineStr">
        <is>
          <t>SUNDSVALL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15640-2020</t>
        </is>
      </c>
      <c r="B501" s="1" t="n">
        <v>43914</v>
      </c>
      <c r="C501" s="1" t="n">
        <v>45181</v>
      </c>
      <c r="D501" t="inlineStr">
        <is>
          <t>VÄSTERNORRLANDS LÄN</t>
        </is>
      </c>
      <c r="E501" t="inlineStr">
        <is>
          <t>SUNDSVALL</t>
        </is>
      </c>
      <c r="G501" t="n">
        <v>9.9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15726-2020</t>
        </is>
      </c>
      <c r="B502" s="1" t="n">
        <v>43915</v>
      </c>
      <c r="C502" s="1" t="n">
        <v>45181</v>
      </c>
      <c r="D502" t="inlineStr">
        <is>
          <t>VÄSTERNORRLANDS LÄN</t>
        </is>
      </c>
      <c r="E502" t="inlineStr">
        <is>
          <t>SUNDSVALL</t>
        </is>
      </c>
      <c r="G502" t="n">
        <v>5.7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15890-2020</t>
        </is>
      </c>
      <c r="B503" s="1" t="n">
        <v>43915</v>
      </c>
      <c r="C503" s="1" t="n">
        <v>45181</v>
      </c>
      <c r="D503" t="inlineStr">
        <is>
          <t>VÄSTERNORRLANDS LÄN</t>
        </is>
      </c>
      <c r="E503" t="inlineStr">
        <is>
          <t>SUNDSVALL</t>
        </is>
      </c>
      <c r="F503" t="inlineStr">
        <is>
          <t>SCA</t>
        </is>
      </c>
      <c r="G503" t="n">
        <v>2.6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15892-2020</t>
        </is>
      </c>
      <c r="B504" s="1" t="n">
        <v>43915</v>
      </c>
      <c r="C504" s="1" t="n">
        <v>45181</v>
      </c>
      <c r="D504" t="inlineStr">
        <is>
          <t>VÄSTERNORRLANDS LÄN</t>
        </is>
      </c>
      <c r="E504" t="inlineStr">
        <is>
          <t>SUNDSVALL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16167-2020</t>
        </is>
      </c>
      <c r="B505" s="1" t="n">
        <v>43916</v>
      </c>
      <c r="C505" s="1" t="n">
        <v>45181</v>
      </c>
      <c r="D505" t="inlineStr">
        <is>
          <t>VÄSTERNORRLANDS LÄN</t>
        </is>
      </c>
      <c r="E505" t="inlineStr">
        <is>
          <t>SUNDSVALL</t>
        </is>
      </c>
      <c r="F505" t="inlineStr">
        <is>
          <t>SCA</t>
        </is>
      </c>
      <c r="G505" t="n">
        <v>24.1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16165-2020</t>
        </is>
      </c>
      <c r="B506" s="1" t="n">
        <v>43916</v>
      </c>
      <c r="C506" s="1" t="n">
        <v>45181</v>
      </c>
      <c r="D506" t="inlineStr">
        <is>
          <t>VÄSTERNORRLANDS LÄN</t>
        </is>
      </c>
      <c r="E506" t="inlineStr">
        <is>
          <t>SUNDSVALL</t>
        </is>
      </c>
      <c r="F506" t="inlineStr">
        <is>
          <t>SCA</t>
        </is>
      </c>
      <c r="G506" t="n">
        <v>1.7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16166-2020</t>
        </is>
      </c>
      <c r="B507" s="1" t="n">
        <v>43916</v>
      </c>
      <c r="C507" s="1" t="n">
        <v>45181</v>
      </c>
      <c r="D507" t="inlineStr">
        <is>
          <t>VÄSTERNORRLANDS LÄN</t>
        </is>
      </c>
      <c r="E507" t="inlineStr">
        <is>
          <t>SUNDSVALL</t>
        </is>
      </c>
      <c r="F507" t="inlineStr">
        <is>
          <t>SCA</t>
        </is>
      </c>
      <c r="G507" t="n">
        <v>7.7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16947-2020</t>
        </is>
      </c>
      <c r="B508" s="1" t="n">
        <v>43921</v>
      </c>
      <c r="C508" s="1" t="n">
        <v>45181</v>
      </c>
      <c r="D508" t="inlineStr">
        <is>
          <t>VÄSTERNORRLANDS LÄN</t>
        </is>
      </c>
      <c r="E508" t="inlineStr">
        <is>
          <t>SUNDSVALL</t>
        </is>
      </c>
      <c r="G508" t="n">
        <v>3.8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17691-2020</t>
        </is>
      </c>
      <c r="B509" s="1" t="n">
        <v>43923</v>
      </c>
      <c r="C509" s="1" t="n">
        <v>45181</v>
      </c>
      <c r="D509" t="inlineStr">
        <is>
          <t>VÄSTERNORRLANDS LÄN</t>
        </is>
      </c>
      <c r="E509" t="inlineStr">
        <is>
          <t>SUNDSVALL</t>
        </is>
      </c>
      <c r="G509" t="n">
        <v>0.7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19074-2020</t>
        </is>
      </c>
      <c r="B510" s="1" t="n">
        <v>43936</v>
      </c>
      <c r="C510" s="1" t="n">
        <v>45181</v>
      </c>
      <c r="D510" t="inlineStr">
        <is>
          <t>VÄSTERNORRLANDS LÄN</t>
        </is>
      </c>
      <c r="E510" t="inlineStr">
        <is>
          <t>SUNDSVALL</t>
        </is>
      </c>
      <c r="G510" t="n">
        <v>5.2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19034-2020</t>
        </is>
      </c>
      <c r="B511" s="1" t="n">
        <v>43936</v>
      </c>
      <c r="C511" s="1" t="n">
        <v>45181</v>
      </c>
      <c r="D511" t="inlineStr">
        <is>
          <t>VÄSTERNORRLANDS LÄN</t>
        </is>
      </c>
      <c r="E511" t="inlineStr">
        <is>
          <t>SUNDSVALL</t>
        </is>
      </c>
      <c r="F511" t="inlineStr">
        <is>
          <t>Kommuner</t>
        </is>
      </c>
      <c r="G511" t="n">
        <v>2.4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19726-2020</t>
        </is>
      </c>
      <c r="B512" s="1" t="n">
        <v>43941</v>
      </c>
      <c r="C512" s="1" t="n">
        <v>45181</v>
      </c>
      <c r="D512" t="inlineStr">
        <is>
          <t>VÄSTERNORRLANDS LÄN</t>
        </is>
      </c>
      <c r="E512" t="inlineStr">
        <is>
          <t>SUNDSVALL</t>
        </is>
      </c>
      <c r="G512" t="n">
        <v>3.7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19724-2020</t>
        </is>
      </c>
      <c r="B513" s="1" t="n">
        <v>43941</v>
      </c>
      <c r="C513" s="1" t="n">
        <v>45181</v>
      </c>
      <c r="D513" t="inlineStr">
        <is>
          <t>VÄSTERNORRLANDS LÄN</t>
        </is>
      </c>
      <c r="E513" t="inlineStr">
        <is>
          <t>SUNDSVALL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20090-2020</t>
        </is>
      </c>
      <c r="B514" s="1" t="n">
        <v>43943</v>
      </c>
      <c r="C514" s="1" t="n">
        <v>45181</v>
      </c>
      <c r="D514" t="inlineStr">
        <is>
          <t>VÄSTERNORRLANDS LÄN</t>
        </is>
      </c>
      <c r="E514" t="inlineStr">
        <is>
          <t>SUNDSVALL</t>
        </is>
      </c>
      <c r="F514" t="inlineStr">
        <is>
          <t>SCA</t>
        </is>
      </c>
      <c r="G514" t="n">
        <v>2.1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20082-2020</t>
        </is>
      </c>
      <c r="B515" s="1" t="n">
        <v>43943</v>
      </c>
      <c r="C515" s="1" t="n">
        <v>45181</v>
      </c>
      <c r="D515" t="inlineStr">
        <is>
          <t>VÄSTERNORRLANDS LÄN</t>
        </is>
      </c>
      <c r="E515" t="inlineStr">
        <is>
          <t>SUNDSVALL</t>
        </is>
      </c>
      <c r="G515" t="n">
        <v>1.8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20623-2020</t>
        </is>
      </c>
      <c r="B516" s="1" t="n">
        <v>43948</v>
      </c>
      <c r="C516" s="1" t="n">
        <v>45181</v>
      </c>
      <c r="D516" t="inlineStr">
        <is>
          <t>VÄSTERNORRLANDS LÄN</t>
        </is>
      </c>
      <c r="E516" t="inlineStr">
        <is>
          <t>SUNDSVALL</t>
        </is>
      </c>
      <c r="G516" t="n">
        <v>2.3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21411-2020</t>
        </is>
      </c>
      <c r="B517" s="1" t="n">
        <v>43955</v>
      </c>
      <c r="C517" s="1" t="n">
        <v>45181</v>
      </c>
      <c r="D517" t="inlineStr">
        <is>
          <t>VÄSTERNORRLANDS LÄN</t>
        </is>
      </c>
      <c r="E517" t="inlineStr">
        <is>
          <t>SUNDSVALL</t>
        </is>
      </c>
      <c r="G517" t="n">
        <v>1.6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22101-2020</t>
        </is>
      </c>
      <c r="B518" s="1" t="n">
        <v>43959</v>
      </c>
      <c r="C518" s="1" t="n">
        <v>45181</v>
      </c>
      <c r="D518" t="inlineStr">
        <is>
          <t>VÄSTERNORRLANDS LÄN</t>
        </is>
      </c>
      <c r="E518" t="inlineStr">
        <is>
          <t>SUNDSVALL</t>
        </is>
      </c>
      <c r="G518" t="n">
        <v>3.8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23283-2020</t>
        </is>
      </c>
      <c r="B519" s="1" t="n">
        <v>43965</v>
      </c>
      <c r="C519" s="1" t="n">
        <v>45181</v>
      </c>
      <c r="D519" t="inlineStr">
        <is>
          <t>VÄSTERNORRLANDS LÄN</t>
        </is>
      </c>
      <c r="E519" t="inlineStr">
        <is>
          <t>SUNDSVALL</t>
        </is>
      </c>
      <c r="G519" t="n">
        <v>4.6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23210-2020</t>
        </is>
      </c>
      <c r="B520" s="1" t="n">
        <v>43966</v>
      </c>
      <c r="C520" s="1" t="n">
        <v>45181</v>
      </c>
      <c r="D520" t="inlineStr">
        <is>
          <t>VÄSTERNORRLANDS LÄN</t>
        </is>
      </c>
      <c r="E520" t="inlineStr">
        <is>
          <t>SUNDSVALL</t>
        </is>
      </c>
      <c r="G520" t="n">
        <v>2.5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23642-2020</t>
        </is>
      </c>
      <c r="B521" s="1" t="n">
        <v>43969</v>
      </c>
      <c r="C521" s="1" t="n">
        <v>45181</v>
      </c>
      <c r="D521" t="inlineStr">
        <is>
          <t>VÄSTERNORRLANDS LÄN</t>
        </is>
      </c>
      <c r="E521" t="inlineStr">
        <is>
          <t>SUNDSVALL</t>
        </is>
      </c>
      <c r="G521" t="n">
        <v>1.4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23641-2020</t>
        </is>
      </c>
      <c r="B522" s="1" t="n">
        <v>43969</v>
      </c>
      <c r="C522" s="1" t="n">
        <v>45181</v>
      </c>
      <c r="D522" t="inlineStr">
        <is>
          <t>VÄSTERNORRLANDS LÄN</t>
        </is>
      </c>
      <c r="E522" t="inlineStr">
        <is>
          <t>SUNDSVALL</t>
        </is>
      </c>
      <c r="G522" t="n">
        <v>0.7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23587-2020</t>
        </is>
      </c>
      <c r="B523" s="1" t="n">
        <v>43969</v>
      </c>
      <c r="C523" s="1" t="n">
        <v>45181</v>
      </c>
      <c r="D523" t="inlineStr">
        <is>
          <t>VÄSTERNORRLANDS LÄN</t>
        </is>
      </c>
      <c r="E523" t="inlineStr">
        <is>
          <t>SUNDSVALL</t>
        </is>
      </c>
      <c r="G523" t="n">
        <v>1.2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24494-2020</t>
        </is>
      </c>
      <c r="B524" s="1" t="n">
        <v>43976</v>
      </c>
      <c r="C524" s="1" t="n">
        <v>45181</v>
      </c>
      <c r="D524" t="inlineStr">
        <is>
          <t>VÄSTERNORRLANDS LÄN</t>
        </is>
      </c>
      <c r="E524" t="inlineStr">
        <is>
          <t>SUNDSVALL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24301-2020</t>
        </is>
      </c>
      <c r="B525" s="1" t="n">
        <v>43976</v>
      </c>
      <c r="C525" s="1" t="n">
        <v>45181</v>
      </c>
      <c r="D525" t="inlineStr">
        <is>
          <t>VÄSTERNORRLANDS LÄN</t>
        </is>
      </c>
      <c r="E525" t="inlineStr">
        <is>
          <t>SUNDSVALL</t>
        </is>
      </c>
      <c r="F525" t="inlineStr">
        <is>
          <t>Holmen skog AB</t>
        </is>
      </c>
      <c r="G525" t="n">
        <v>5.1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24662-2020</t>
        </is>
      </c>
      <c r="B526" s="1" t="n">
        <v>43977</v>
      </c>
      <c r="C526" s="1" t="n">
        <v>45181</v>
      </c>
      <c r="D526" t="inlineStr">
        <is>
          <t>VÄSTERNORRLANDS LÄN</t>
        </is>
      </c>
      <c r="E526" t="inlineStr">
        <is>
          <t>SUNDSVALL</t>
        </is>
      </c>
      <c r="G526" t="n">
        <v>4.8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25217-2020</t>
        </is>
      </c>
      <c r="B527" s="1" t="n">
        <v>43980</v>
      </c>
      <c r="C527" s="1" t="n">
        <v>45181</v>
      </c>
      <c r="D527" t="inlineStr">
        <is>
          <t>VÄSTERNORRLANDS LÄN</t>
        </is>
      </c>
      <c r="E527" t="inlineStr">
        <is>
          <t>SUNDSVALL</t>
        </is>
      </c>
      <c r="G527" t="n">
        <v>4.9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26613-2020</t>
        </is>
      </c>
      <c r="B528" s="1" t="n">
        <v>43987</v>
      </c>
      <c r="C528" s="1" t="n">
        <v>45181</v>
      </c>
      <c r="D528" t="inlineStr">
        <is>
          <t>VÄSTERNORRLANDS LÄN</t>
        </is>
      </c>
      <c r="E528" t="inlineStr">
        <is>
          <t>SUNDSVALL</t>
        </is>
      </c>
      <c r="G528" t="n">
        <v>0.4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26962-2020</t>
        </is>
      </c>
      <c r="B529" s="1" t="n">
        <v>43990</v>
      </c>
      <c r="C529" s="1" t="n">
        <v>45181</v>
      </c>
      <c r="D529" t="inlineStr">
        <is>
          <t>VÄSTERNORRLANDS LÄN</t>
        </is>
      </c>
      <c r="E529" t="inlineStr">
        <is>
          <t>SUNDSVALL</t>
        </is>
      </c>
      <c r="G529" t="n">
        <v>0.5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27195-2020</t>
        </is>
      </c>
      <c r="B530" s="1" t="n">
        <v>43991</v>
      </c>
      <c r="C530" s="1" t="n">
        <v>45181</v>
      </c>
      <c r="D530" t="inlineStr">
        <is>
          <t>VÄSTERNORRLANDS LÄN</t>
        </is>
      </c>
      <c r="E530" t="inlineStr">
        <is>
          <t>SUNDSVALL</t>
        </is>
      </c>
      <c r="G530" t="n">
        <v>5.5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27274-2020</t>
        </is>
      </c>
      <c r="B531" s="1" t="n">
        <v>43992</v>
      </c>
      <c r="C531" s="1" t="n">
        <v>45181</v>
      </c>
      <c r="D531" t="inlineStr">
        <is>
          <t>VÄSTERNORRLANDS LÄN</t>
        </is>
      </c>
      <c r="E531" t="inlineStr">
        <is>
          <t>SUNDSVALL</t>
        </is>
      </c>
      <c r="G531" t="n">
        <v>0.1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27551-2020</t>
        </is>
      </c>
      <c r="B532" s="1" t="n">
        <v>43993</v>
      </c>
      <c r="C532" s="1" t="n">
        <v>45181</v>
      </c>
      <c r="D532" t="inlineStr">
        <is>
          <t>VÄSTERNORRLANDS LÄN</t>
        </is>
      </c>
      <c r="E532" t="inlineStr">
        <is>
          <t>SUNDSVALL</t>
        </is>
      </c>
      <c r="G532" t="n">
        <v>9.699999999999999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28218-2020</t>
        </is>
      </c>
      <c r="B533" s="1" t="n">
        <v>43997</v>
      </c>
      <c r="C533" s="1" t="n">
        <v>45181</v>
      </c>
      <c r="D533" t="inlineStr">
        <is>
          <t>VÄSTERNORRLANDS LÄN</t>
        </is>
      </c>
      <c r="E533" t="inlineStr">
        <is>
          <t>SUNDSVALL</t>
        </is>
      </c>
      <c r="G533" t="n">
        <v>0.6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28222-2020</t>
        </is>
      </c>
      <c r="B534" s="1" t="n">
        <v>43997</v>
      </c>
      <c r="C534" s="1" t="n">
        <v>45181</v>
      </c>
      <c r="D534" t="inlineStr">
        <is>
          <t>VÄSTERNORRLANDS LÄN</t>
        </is>
      </c>
      <c r="E534" t="inlineStr">
        <is>
          <t>SUNDSVALL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27992-2020</t>
        </is>
      </c>
      <c r="B535" s="1" t="n">
        <v>43997</v>
      </c>
      <c r="C535" s="1" t="n">
        <v>45181</v>
      </c>
      <c r="D535" t="inlineStr">
        <is>
          <t>VÄSTERNORRLANDS LÄN</t>
        </is>
      </c>
      <c r="E535" t="inlineStr">
        <is>
          <t>SUNDSVALL</t>
        </is>
      </c>
      <c r="G535" t="n">
        <v>0.1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28220-2020</t>
        </is>
      </c>
      <c r="B536" s="1" t="n">
        <v>43997</v>
      </c>
      <c r="C536" s="1" t="n">
        <v>45181</v>
      </c>
      <c r="D536" t="inlineStr">
        <is>
          <t>VÄSTERNORRLANDS LÄN</t>
        </is>
      </c>
      <c r="E536" t="inlineStr">
        <is>
          <t>SUNDSVALL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28559-2020</t>
        </is>
      </c>
      <c r="B537" s="1" t="n">
        <v>43997</v>
      </c>
      <c r="C537" s="1" t="n">
        <v>45181</v>
      </c>
      <c r="D537" t="inlineStr">
        <is>
          <t>VÄSTERNORRLANDS LÄN</t>
        </is>
      </c>
      <c r="E537" t="inlineStr">
        <is>
          <t>SUNDSVALL</t>
        </is>
      </c>
      <c r="F537" t="inlineStr">
        <is>
          <t>SCA</t>
        </is>
      </c>
      <c r="G537" t="n">
        <v>12.8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28724-2020</t>
        </is>
      </c>
      <c r="B538" s="1" t="n">
        <v>43999</v>
      </c>
      <c r="C538" s="1" t="n">
        <v>45181</v>
      </c>
      <c r="D538" t="inlineStr">
        <is>
          <t>VÄSTERNORRLANDS LÄN</t>
        </is>
      </c>
      <c r="E538" t="inlineStr">
        <is>
          <t>SUNDSVALL</t>
        </is>
      </c>
      <c r="G538" t="n">
        <v>3.1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28655-2020</t>
        </is>
      </c>
      <c r="B539" s="1" t="n">
        <v>43999</v>
      </c>
      <c r="C539" s="1" t="n">
        <v>45181</v>
      </c>
      <c r="D539" t="inlineStr">
        <is>
          <t>VÄSTERNORRLANDS LÄN</t>
        </is>
      </c>
      <c r="E539" t="inlineStr">
        <is>
          <t>SUNDSVALL</t>
        </is>
      </c>
      <c r="G539" t="n">
        <v>2.9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28727-2020</t>
        </is>
      </c>
      <c r="B540" s="1" t="n">
        <v>43999</v>
      </c>
      <c r="C540" s="1" t="n">
        <v>45181</v>
      </c>
      <c r="D540" t="inlineStr">
        <is>
          <t>VÄSTERNORRLANDS LÄN</t>
        </is>
      </c>
      <c r="E540" t="inlineStr">
        <is>
          <t>SUNDSVALL</t>
        </is>
      </c>
      <c r="G540" t="n">
        <v>4.7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29059-2020</t>
        </is>
      </c>
      <c r="B541" s="1" t="n">
        <v>44000</v>
      </c>
      <c r="C541" s="1" t="n">
        <v>45181</v>
      </c>
      <c r="D541" t="inlineStr">
        <is>
          <t>VÄSTERNORRLANDS LÄN</t>
        </is>
      </c>
      <c r="E541" t="inlineStr">
        <is>
          <t>SUNDSVALL</t>
        </is>
      </c>
      <c r="G541" t="n">
        <v>0.7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29189-2020</t>
        </is>
      </c>
      <c r="B542" s="1" t="n">
        <v>44004</v>
      </c>
      <c r="C542" s="1" t="n">
        <v>45181</v>
      </c>
      <c r="D542" t="inlineStr">
        <is>
          <t>VÄSTERNORRLANDS LÄN</t>
        </is>
      </c>
      <c r="E542" t="inlineStr">
        <is>
          <t>SUNDSVALL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29784-2020</t>
        </is>
      </c>
      <c r="B543" s="1" t="n">
        <v>44005</v>
      </c>
      <c r="C543" s="1" t="n">
        <v>45181</v>
      </c>
      <c r="D543" t="inlineStr">
        <is>
          <t>VÄSTERNORRLANDS LÄN</t>
        </is>
      </c>
      <c r="E543" t="inlineStr">
        <is>
          <t>SUNDSVALL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29777-2020</t>
        </is>
      </c>
      <c r="B544" s="1" t="n">
        <v>44005</v>
      </c>
      <c r="C544" s="1" t="n">
        <v>45181</v>
      </c>
      <c r="D544" t="inlineStr">
        <is>
          <t>VÄSTERNORRLANDS LÄN</t>
        </is>
      </c>
      <c r="E544" t="inlineStr">
        <is>
          <t>SUNDSVALL</t>
        </is>
      </c>
      <c r="G544" t="n">
        <v>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29906-2020</t>
        </is>
      </c>
      <c r="B545" s="1" t="n">
        <v>44006</v>
      </c>
      <c r="C545" s="1" t="n">
        <v>45181</v>
      </c>
      <c r="D545" t="inlineStr">
        <is>
          <t>VÄSTERNORRLANDS LÄN</t>
        </is>
      </c>
      <c r="E545" t="inlineStr">
        <is>
          <t>SUNDSVALL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30685-2020</t>
        </is>
      </c>
      <c r="B546" s="1" t="n">
        <v>44008</v>
      </c>
      <c r="C546" s="1" t="n">
        <v>45181</v>
      </c>
      <c r="D546" t="inlineStr">
        <is>
          <t>VÄSTERNORRLANDS LÄN</t>
        </is>
      </c>
      <c r="E546" t="inlineStr">
        <is>
          <t>SUNDSVALL</t>
        </is>
      </c>
      <c r="G546" t="n">
        <v>0.4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31586-2020</t>
        </is>
      </c>
      <c r="B547" s="1" t="n">
        <v>44013</v>
      </c>
      <c r="C547" s="1" t="n">
        <v>45181</v>
      </c>
      <c r="D547" t="inlineStr">
        <is>
          <t>VÄSTERNORRLANDS LÄN</t>
        </is>
      </c>
      <c r="E547" t="inlineStr">
        <is>
          <t>SUNDSVALL</t>
        </is>
      </c>
      <c r="G547" t="n">
        <v>2.7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31965-2020</t>
        </is>
      </c>
      <c r="B548" s="1" t="n">
        <v>44014</v>
      </c>
      <c r="C548" s="1" t="n">
        <v>45181</v>
      </c>
      <c r="D548" t="inlineStr">
        <is>
          <t>VÄSTERNORRLANDS LÄN</t>
        </is>
      </c>
      <c r="E548" t="inlineStr">
        <is>
          <t>SUNDSVALL</t>
        </is>
      </c>
      <c r="G548" t="n">
        <v>2.1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31984-2020</t>
        </is>
      </c>
      <c r="B549" s="1" t="n">
        <v>44014</v>
      </c>
      <c r="C549" s="1" t="n">
        <v>45181</v>
      </c>
      <c r="D549" t="inlineStr">
        <is>
          <t>VÄSTERNORRLANDS LÄN</t>
        </is>
      </c>
      <c r="E549" t="inlineStr">
        <is>
          <t>SUNDSVALL</t>
        </is>
      </c>
      <c r="G549" t="n">
        <v>2.1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32425-2020</t>
        </is>
      </c>
      <c r="B550" s="1" t="n">
        <v>44018</v>
      </c>
      <c r="C550" s="1" t="n">
        <v>45181</v>
      </c>
      <c r="D550" t="inlineStr">
        <is>
          <t>VÄSTERNORRLANDS LÄN</t>
        </is>
      </c>
      <c r="E550" t="inlineStr">
        <is>
          <t>SUNDSVALL</t>
        </is>
      </c>
      <c r="G550" t="n">
        <v>3.4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32646-2020</t>
        </is>
      </c>
      <c r="B551" s="1" t="n">
        <v>44018</v>
      </c>
      <c r="C551" s="1" t="n">
        <v>45181</v>
      </c>
      <c r="D551" t="inlineStr">
        <is>
          <t>VÄSTERNORRLANDS LÄN</t>
        </is>
      </c>
      <c r="E551" t="inlineStr">
        <is>
          <t>SUNDSVALL</t>
        </is>
      </c>
      <c r="G551" t="n">
        <v>0.9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32998-2020</t>
        </is>
      </c>
      <c r="B552" s="1" t="n">
        <v>44020</v>
      </c>
      <c r="C552" s="1" t="n">
        <v>45181</v>
      </c>
      <c r="D552" t="inlineStr">
        <is>
          <t>VÄSTERNORRLANDS LÄN</t>
        </is>
      </c>
      <c r="E552" t="inlineStr">
        <is>
          <t>SUNDSVALL</t>
        </is>
      </c>
      <c r="G552" t="n">
        <v>1.9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33877-2020</t>
        </is>
      </c>
      <c r="B553" s="1" t="n">
        <v>44025</v>
      </c>
      <c r="C553" s="1" t="n">
        <v>45181</v>
      </c>
      <c r="D553" t="inlineStr">
        <is>
          <t>VÄSTERNORRLANDS LÄN</t>
        </is>
      </c>
      <c r="E553" t="inlineStr">
        <is>
          <t>SUNDSVALL</t>
        </is>
      </c>
      <c r="G553" t="n">
        <v>1.4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33779-2020</t>
        </is>
      </c>
      <c r="B554" s="1" t="n">
        <v>44026</v>
      </c>
      <c r="C554" s="1" t="n">
        <v>45181</v>
      </c>
      <c r="D554" t="inlineStr">
        <is>
          <t>VÄSTERNORRLANDS LÄN</t>
        </is>
      </c>
      <c r="E554" t="inlineStr">
        <is>
          <t>SUNDSVALL</t>
        </is>
      </c>
      <c r="F554" t="inlineStr">
        <is>
          <t>SCA</t>
        </is>
      </c>
      <c r="G554" t="n">
        <v>2.7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34568-2020</t>
        </is>
      </c>
      <c r="B555" s="1" t="n">
        <v>44033</v>
      </c>
      <c r="C555" s="1" t="n">
        <v>45181</v>
      </c>
      <c r="D555" t="inlineStr">
        <is>
          <t>VÄSTERNORRLANDS LÄN</t>
        </is>
      </c>
      <c r="E555" t="inlineStr">
        <is>
          <t>SUNDSVALL</t>
        </is>
      </c>
      <c r="G555" t="n">
        <v>1.7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34656-2020</t>
        </is>
      </c>
      <c r="B556" s="1" t="n">
        <v>44034</v>
      </c>
      <c r="C556" s="1" t="n">
        <v>45181</v>
      </c>
      <c r="D556" t="inlineStr">
        <is>
          <t>VÄSTERNORRLANDS LÄN</t>
        </is>
      </c>
      <c r="E556" t="inlineStr">
        <is>
          <t>SUNDSVALL</t>
        </is>
      </c>
      <c r="F556" t="inlineStr">
        <is>
          <t>Naturvårdsverket</t>
        </is>
      </c>
      <c r="G556" t="n">
        <v>1.9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34655-2020</t>
        </is>
      </c>
      <c r="B557" s="1" t="n">
        <v>44034</v>
      </c>
      <c r="C557" s="1" t="n">
        <v>45181</v>
      </c>
      <c r="D557" t="inlineStr">
        <is>
          <t>VÄSTERNORRLANDS LÄN</t>
        </is>
      </c>
      <c r="E557" t="inlineStr">
        <is>
          <t>SUNDSVALL</t>
        </is>
      </c>
      <c r="F557" t="inlineStr">
        <is>
          <t>Naturvårdsverket</t>
        </is>
      </c>
      <c r="G557" t="n">
        <v>39.1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34779-2020</t>
        </is>
      </c>
      <c r="B558" s="1" t="n">
        <v>44035</v>
      </c>
      <c r="C558" s="1" t="n">
        <v>45181</v>
      </c>
      <c r="D558" t="inlineStr">
        <is>
          <t>VÄSTERNORRLANDS LÄN</t>
        </is>
      </c>
      <c r="E558" t="inlineStr">
        <is>
          <t>SUNDSVALL</t>
        </is>
      </c>
      <c r="G558" t="n">
        <v>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34780-2020</t>
        </is>
      </c>
      <c r="B559" s="1" t="n">
        <v>44035</v>
      </c>
      <c r="C559" s="1" t="n">
        <v>45181</v>
      </c>
      <c r="D559" t="inlineStr">
        <is>
          <t>VÄSTERNORRLANDS LÄN</t>
        </is>
      </c>
      <c r="E559" t="inlineStr">
        <is>
          <t>SUNDSVALL</t>
        </is>
      </c>
      <c r="G559" t="n">
        <v>2.5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34781-2020</t>
        </is>
      </c>
      <c r="B560" s="1" t="n">
        <v>44035</v>
      </c>
      <c r="C560" s="1" t="n">
        <v>45181</v>
      </c>
      <c r="D560" t="inlineStr">
        <is>
          <t>VÄSTERNORRLANDS LÄN</t>
        </is>
      </c>
      <c r="E560" t="inlineStr">
        <is>
          <t>SUNDSVALL</t>
        </is>
      </c>
      <c r="G560" t="n">
        <v>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35211-2020</t>
        </is>
      </c>
      <c r="B561" s="1" t="n">
        <v>44040</v>
      </c>
      <c r="C561" s="1" t="n">
        <v>45181</v>
      </c>
      <c r="D561" t="inlineStr">
        <is>
          <t>VÄSTERNORRLANDS LÄN</t>
        </is>
      </c>
      <c r="E561" t="inlineStr">
        <is>
          <t>SUNDSVALL</t>
        </is>
      </c>
      <c r="F561" t="inlineStr">
        <is>
          <t>SCA</t>
        </is>
      </c>
      <c r="G561" t="n">
        <v>6.6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35596-2020</t>
        </is>
      </c>
      <c r="B562" s="1" t="n">
        <v>44043</v>
      </c>
      <c r="C562" s="1" t="n">
        <v>45181</v>
      </c>
      <c r="D562" t="inlineStr">
        <is>
          <t>VÄSTERNORRLANDS LÄN</t>
        </is>
      </c>
      <c r="E562" t="inlineStr">
        <is>
          <t>SUNDSVALL</t>
        </is>
      </c>
      <c r="G562" t="n">
        <v>1.9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36020-2020</t>
        </is>
      </c>
      <c r="B563" s="1" t="n">
        <v>44047</v>
      </c>
      <c r="C563" s="1" t="n">
        <v>45181</v>
      </c>
      <c r="D563" t="inlineStr">
        <is>
          <t>VÄSTERNORRLANDS LÄN</t>
        </is>
      </c>
      <c r="E563" t="inlineStr">
        <is>
          <t>SUNDSVALL</t>
        </is>
      </c>
      <c r="G563" t="n">
        <v>1.9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36448-2020</t>
        </is>
      </c>
      <c r="B564" s="1" t="n">
        <v>44049</v>
      </c>
      <c r="C564" s="1" t="n">
        <v>45181</v>
      </c>
      <c r="D564" t="inlineStr">
        <is>
          <t>VÄSTERNORRLANDS LÄN</t>
        </is>
      </c>
      <c r="E564" t="inlineStr">
        <is>
          <t>SUNDSVALL</t>
        </is>
      </c>
      <c r="G564" t="n">
        <v>2.3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36645-2020</t>
        </is>
      </c>
      <c r="B565" s="1" t="n">
        <v>44050</v>
      </c>
      <c r="C565" s="1" t="n">
        <v>45181</v>
      </c>
      <c r="D565" t="inlineStr">
        <is>
          <t>VÄSTERNORRLANDS LÄN</t>
        </is>
      </c>
      <c r="E565" t="inlineStr">
        <is>
          <t>SUNDSVALL</t>
        </is>
      </c>
      <c r="F565" t="inlineStr">
        <is>
          <t>SCA</t>
        </is>
      </c>
      <c r="G565" t="n">
        <v>7.3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36673-2020</t>
        </is>
      </c>
      <c r="B566" s="1" t="n">
        <v>44050</v>
      </c>
      <c r="C566" s="1" t="n">
        <v>45181</v>
      </c>
      <c r="D566" t="inlineStr">
        <is>
          <t>VÄSTERNORRLANDS LÄN</t>
        </is>
      </c>
      <c r="E566" t="inlineStr">
        <is>
          <t>SUNDSVALL</t>
        </is>
      </c>
      <c r="F566" t="inlineStr">
        <is>
          <t>SCA</t>
        </is>
      </c>
      <c r="G566" t="n">
        <v>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37233-2020</t>
        </is>
      </c>
      <c r="B567" s="1" t="n">
        <v>44054</v>
      </c>
      <c r="C567" s="1" t="n">
        <v>45181</v>
      </c>
      <c r="D567" t="inlineStr">
        <is>
          <t>VÄSTERNORRLANDS LÄN</t>
        </is>
      </c>
      <c r="E567" t="inlineStr">
        <is>
          <t>SUNDSVALL</t>
        </is>
      </c>
      <c r="F567" t="inlineStr">
        <is>
          <t>SCA</t>
        </is>
      </c>
      <c r="G567" t="n">
        <v>3.6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38096-2020</t>
        </is>
      </c>
      <c r="B568" s="1" t="n">
        <v>44057</v>
      </c>
      <c r="C568" s="1" t="n">
        <v>45181</v>
      </c>
      <c r="D568" t="inlineStr">
        <is>
          <t>VÄSTERNORRLANDS LÄN</t>
        </is>
      </c>
      <c r="E568" t="inlineStr">
        <is>
          <t>SUNDSVALL</t>
        </is>
      </c>
      <c r="F568" t="inlineStr">
        <is>
          <t>Naturvårdsverket</t>
        </is>
      </c>
      <c r="G568" t="n">
        <v>7.9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38091-2020</t>
        </is>
      </c>
      <c r="B569" s="1" t="n">
        <v>44057</v>
      </c>
      <c r="C569" s="1" t="n">
        <v>45181</v>
      </c>
      <c r="D569" t="inlineStr">
        <is>
          <t>VÄSTERNORRLANDS LÄN</t>
        </is>
      </c>
      <c r="E569" t="inlineStr">
        <is>
          <t>SUNDSVALL</t>
        </is>
      </c>
      <c r="G569" t="n">
        <v>2.8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38754-2020</t>
        </is>
      </c>
      <c r="B570" s="1" t="n">
        <v>44061</v>
      </c>
      <c r="C570" s="1" t="n">
        <v>45181</v>
      </c>
      <c r="D570" t="inlineStr">
        <is>
          <t>VÄSTERNORRLANDS LÄN</t>
        </is>
      </c>
      <c r="E570" t="inlineStr">
        <is>
          <t>SUNDSVALL</t>
        </is>
      </c>
      <c r="F570" t="inlineStr">
        <is>
          <t>Holmen skog AB</t>
        </is>
      </c>
      <c r="G570" t="n">
        <v>0.8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38852-2020</t>
        </is>
      </c>
      <c r="B571" s="1" t="n">
        <v>44062</v>
      </c>
      <c r="C571" s="1" t="n">
        <v>45181</v>
      </c>
      <c r="D571" t="inlineStr">
        <is>
          <t>VÄSTERNORRLANDS LÄN</t>
        </is>
      </c>
      <c r="E571" t="inlineStr">
        <is>
          <t>SUNDSVALL</t>
        </is>
      </c>
      <c r="G571" t="n">
        <v>0.8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38863-2020</t>
        </is>
      </c>
      <c r="B572" s="1" t="n">
        <v>44062</v>
      </c>
      <c r="C572" s="1" t="n">
        <v>45181</v>
      </c>
      <c r="D572" t="inlineStr">
        <is>
          <t>VÄSTERNORRLANDS LÄN</t>
        </is>
      </c>
      <c r="E572" t="inlineStr">
        <is>
          <t>SUNDSVALL</t>
        </is>
      </c>
      <c r="G572" t="n">
        <v>1.2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38858-2020</t>
        </is>
      </c>
      <c r="B573" s="1" t="n">
        <v>44062</v>
      </c>
      <c r="C573" s="1" t="n">
        <v>45181</v>
      </c>
      <c r="D573" t="inlineStr">
        <is>
          <t>VÄSTERNORRLANDS LÄN</t>
        </is>
      </c>
      <c r="E573" t="inlineStr">
        <is>
          <t>SUNDSVALL</t>
        </is>
      </c>
      <c r="G573" t="n">
        <v>9.300000000000001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40554-2020</t>
        </is>
      </c>
      <c r="B574" s="1" t="n">
        <v>44069</v>
      </c>
      <c r="C574" s="1" t="n">
        <v>45181</v>
      </c>
      <c r="D574" t="inlineStr">
        <is>
          <t>VÄSTERNORRLANDS LÄN</t>
        </is>
      </c>
      <c r="E574" t="inlineStr">
        <is>
          <t>SUNDSVALL</t>
        </is>
      </c>
      <c r="G574" t="n">
        <v>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41030-2020</t>
        </is>
      </c>
      <c r="B575" s="1" t="n">
        <v>44070</v>
      </c>
      <c r="C575" s="1" t="n">
        <v>45181</v>
      </c>
      <c r="D575" t="inlineStr">
        <is>
          <t>VÄSTERNORRLANDS LÄN</t>
        </is>
      </c>
      <c r="E575" t="inlineStr">
        <is>
          <t>SUNDSVALL</t>
        </is>
      </c>
      <c r="F575" t="inlineStr">
        <is>
          <t>SCA</t>
        </is>
      </c>
      <c r="G575" t="n">
        <v>2.4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41335-2020</t>
        </is>
      </c>
      <c r="B576" s="1" t="n">
        <v>44071</v>
      </c>
      <c r="C576" s="1" t="n">
        <v>45181</v>
      </c>
      <c r="D576" t="inlineStr">
        <is>
          <t>VÄSTERNORRLANDS LÄN</t>
        </is>
      </c>
      <c r="E576" t="inlineStr">
        <is>
          <t>SUNDSVALL</t>
        </is>
      </c>
      <c r="G576" t="n">
        <v>1.2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41351-2020</t>
        </is>
      </c>
      <c r="B577" s="1" t="n">
        <v>44071</v>
      </c>
      <c r="C577" s="1" t="n">
        <v>45181</v>
      </c>
      <c r="D577" t="inlineStr">
        <is>
          <t>VÄSTERNORRLANDS LÄN</t>
        </is>
      </c>
      <c r="E577" t="inlineStr">
        <is>
          <t>SUNDSVALL</t>
        </is>
      </c>
      <c r="G577" t="n">
        <v>0.9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42099-2020</t>
        </is>
      </c>
      <c r="B578" s="1" t="n">
        <v>44074</v>
      </c>
      <c r="C578" s="1" t="n">
        <v>45181</v>
      </c>
      <c r="D578" t="inlineStr">
        <is>
          <t>VÄSTERNORRLANDS LÄN</t>
        </is>
      </c>
      <c r="E578" t="inlineStr">
        <is>
          <t>SUNDSVALL</t>
        </is>
      </c>
      <c r="G578" t="n">
        <v>2.9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42155-2020</t>
        </is>
      </c>
      <c r="B579" s="1" t="n">
        <v>44074</v>
      </c>
      <c r="C579" s="1" t="n">
        <v>45181</v>
      </c>
      <c r="D579" t="inlineStr">
        <is>
          <t>VÄSTERNORRLANDS LÄN</t>
        </is>
      </c>
      <c r="E579" t="inlineStr">
        <is>
          <t>SUNDSVALL</t>
        </is>
      </c>
      <c r="G579" t="n">
        <v>4.4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43299-2020</t>
        </is>
      </c>
      <c r="B580" s="1" t="n">
        <v>44081</v>
      </c>
      <c r="C580" s="1" t="n">
        <v>45181</v>
      </c>
      <c r="D580" t="inlineStr">
        <is>
          <t>VÄSTERNORRLANDS LÄN</t>
        </is>
      </c>
      <c r="E580" t="inlineStr">
        <is>
          <t>SUNDSVALL</t>
        </is>
      </c>
      <c r="G580" t="n">
        <v>2.6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44210-2020</t>
        </is>
      </c>
      <c r="B581" s="1" t="n">
        <v>44083</v>
      </c>
      <c r="C581" s="1" t="n">
        <v>45181</v>
      </c>
      <c r="D581" t="inlineStr">
        <is>
          <t>VÄSTERNORRLANDS LÄN</t>
        </is>
      </c>
      <c r="E581" t="inlineStr">
        <is>
          <t>SUNDSVALL</t>
        </is>
      </c>
      <c r="F581" t="inlineStr">
        <is>
          <t>SCA</t>
        </is>
      </c>
      <c r="G581" t="n">
        <v>3.7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45053-2020</t>
        </is>
      </c>
      <c r="B582" s="1" t="n">
        <v>44084</v>
      </c>
      <c r="C582" s="1" t="n">
        <v>45181</v>
      </c>
      <c r="D582" t="inlineStr">
        <is>
          <t>VÄSTERNORRLANDS LÄN</t>
        </is>
      </c>
      <c r="E582" t="inlineStr">
        <is>
          <t>SUNDSVALL</t>
        </is>
      </c>
      <c r="G582" t="n">
        <v>16.6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45337-2020</t>
        </is>
      </c>
      <c r="B583" s="1" t="n">
        <v>44085</v>
      </c>
      <c r="C583" s="1" t="n">
        <v>45181</v>
      </c>
      <c r="D583" t="inlineStr">
        <is>
          <t>VÄSTERNORRLANDS LÄN</t>
        </is>
      </c>
      <c r="E583" t="inlineStr">
        <is>
          <t>SUNDSVALL</t>
        </is>
      </c>
      <c r="G583" t="n">
        <v>0.9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44599-2020</t>
        </is>
      </c>
      <c r="B584" s="1" t="n">
        <v>44085</v>
      </c>
      <c r="C584" s="1" t="n">
        <v>45181</v>
      </c>
      <c r="D584" t="inlineStr">
        <is>
          <t>VÄSTERNORRLANDS LÄN</t>
        </is>
      </c>
      <c r="E584" t="inlineStr">
        <is>
          <t>SUNDSVALL</t>
        </is>
      </c>
      <c r="G584" t="n">
        <v>0.2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45099-2020</t>
        </is>
      </c>
      <c r="B585" s="1" t="n">
        <v>44088</v>
      </c>
      <c r="C585" s="1" t="n">
        <v>45181</v>
      </c>
      <c r="D585" t="inlineStr">
        <is>
          <t>VÄSTERNORRLANDS LÄN</t>
        </is>
      </c>
      <c r="E585" t="inlineStr">
        <is>
          <t>SUNDSVALL</t>
        </is>
      </c>
      <c r="F585" t="inlineStr">
        <is>
          <t>Holmen skog AB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45233-2020</t>
        </is>
      </c>
      <c r="B586" s="1" t="n">
        <v>44088</v>
      </c>
      <c r="C586" s="1" t="n">
        <v>45181</v>
      </c>
      <c r="D586" t="inlineStr">
        <is>
          <t>VÄSTERNORRLANDS LÄN</t>
        </is>
      </c>
      <c r="E586" t="inlineStr">
        <is>
          <t>SUNDSVALL</t>
        </is>
      </c>
      <c r="F586" t="inlineStr">
        <is>
          <t>Naturvårdsverket</t>
        </is>
      </c>
      <c r="G586" t="n">
        <v>2.3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45005-2020</t>
        </is>
      </c>
      <c r="B587" s="1" t="n">
        <v>44088</v>
      </c>
      <c r="C587" s="1" t="n">
        <v>45181</v>
      </c>
      <c r="D587" t="inlineStr">
        <is>
          <t>VÄSTERNORRLANDS LÄN</t>
        </is>
      </c>
      <c r="E587" t="inlineStr">
        <is>
          <t>SUNDSVALL</t>
        </is>
      </c>
      <c r="F587" t="inlineStr">
        <is>
          <t>Holmen skog AB</t>
        </is>
      </c>
      <c r="G587" t="n">
        <v>1.1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45596-2020</t>
        </is>
      </c>
      <c r="B588" s="1" t="n">
        <v>44090</v>
      </c>
      <c r="C588" s="1" t="n">
        <v>45181</v>
      </c>
      <c r="D588" t="inlineStr">
        <is>
          <t>VÄSTERNORRLANDS LÄN</t>
        </is>
      </c>
      <c r="E588" t="inlineStr">
        <is>
          <t>SUNDSVALL</t>
        </is>
      </c>
      <c r="F588" t="inlineStr">
        <is>
          <t>Holmen skog AB</t>
        </is>
      </c>
      <c r="G588" t="n">
        <v>1.3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45829-2020</t>
        </is>
      </c>
      <c r="B589" s="1" t="n">
        <v>44090</v>
      </c>
      <c r="C589" s="1" t="n">
        <v>45181</v>
      </c>
      <c r="D589" t="inlineStr">
        <is>
          <t>VÄSTERNORRLANDS LÄN</t>
        </is>
      </c>
      <c r="E589" t="inlineStr">
        <is>
          <t>SUNDSVALL</t>
        </is>
      </c>
      <c r="F589" t="inlineStr">
        <is>
          <t>Naturvårdsverket</t>
        </is>
      </c>
      <c r="G589" t="n">
        <v>5.3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45852-2020</t>
        </is>
      </c>
      <c r="B590" s="1" t="n">
        <v>44090</v>
      </c>
      <c r="C590" s="1" t="n">
        <v>45181</v>
      </c>
      <c r="D590" t="inlineStr">
        <is>
          <t>VÄSTERNORRLANDS LÄN</t>
        </is>
      </c>
      <c r="E590" t="inlineStr">
        <is>
          <t>SUNDSVALL</t>
        </is>
      </c>
      <c r="G590" t="n">
        <v>2.1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49497-2020</t>
        </is>
      </c>
      <c r="B591" s="1" t="n">
        <v>44105</v>
      </c>
      <c r="C591" s="1" t="n">
        <v>45181</v>
      </c>
      <c r="D591" t="inlineStr">
        <is>
          <t>VÄSTERNORRLANDS LÄN</t>
        </is>
      </c>
      <c r="E591" t="inlineStr">
        <is>
          <t>SUNDSVALL</t>
        </is>
      </c>
      <c r="G591" t="n">
        <v>2.1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49489-2020</t>
        </is>
      </c>
      <c r="B592" s="1" t="n">
        <v>44105</v>
      </c>
      <c r="C592" s="1" t="n">
        <v>45181</v>
      </c>
      <c r="D592" t="inlineStr">
        <is>
          <t>VÄSTERNORRLANDS LÄN</t>
        </is>
      </c>
      <c r="E592" t="inlineStr">
        <is>
          <t>SUNDSVALL</t>
        </is>
      </c>
      <c r="G592" t="n">
        <v>1.2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49503-2020</t>
        </is>
      </c>
      <c r="B593" s="1" t="n">
        <v>44105</v>
      </c>
      <c r="C593" s="1" t="n">
        <v>45181</v>
      </c>
      <c r="D593" t="inlineStr">
        <is>
          <t>VÄSTERNORRLANDS LÄN</t>
        </is>
      </c>
      <c r="E593" t="inlineStr">
        <is>
          <t>SUNDSVALL</t>
        </is>
      </c>
      <c r="G593" t="n">
        <v>1.4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49499-2020</t>
        </is>
      </c>
      <c r="B594" s="1" t="n">
        <v>44105</v>
      </c>
      <c r="C594" s="1" t="n">
        <v>45181</v>
      </c>
      <c r="D594" t="inlineStr">
        <is>
          <t>VÄSTERNORRLANDS LÄN</t>
        </is>
      </c>
      <c r="E594" t="inlineStr">
        <is>
          <t>SUNDSVALL</t>
        </is>
      </c>
      <c r="G594" t="n">
        <v>1.1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49496-2020</t>
        </is>
      </c>
      <c r="B595" s="1" t="n">
        <v>44105</v>
      </c>
      <c r="C595" s="1" t="n">
        <v>45181</v>
      </c>
      <c r="D595" t="inlineStr">
        <is>
          <t>VÄSTERNORRLANDS LÄN</t>
        </is>
      </c>
      <c r="E595" t="inlineStr">
        <is>
          <t>SUNDSVALL</t>
        </is>
      </c>
      <c r="G595" t="n">
        <v>9.1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49504-2020</t>
        </is>
      </c>
      <c r="B596" s="1" t="n">
        <v>44105</v>
      </c>
      <c r="C596" s="1" t="n">
        <v>45181</v>
      </c>
      <c r="D596" t="inlineStr">
        <is>
          <t>VÄSTERNORRLANDS LÄN</t>
        </is>
      </c>
      <c r="E596" t="inlineStr">
        <is>
          <t>SUNDSVALL</t>
        </is>
      </c>
      <c r="G596" t="n">
        <v>4.9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50151-2020</t>
        </is>
      </c>
      <c r="B597" s="1" t="n">
        <v>44109</v>
      </c>
      <c r="C597" s="1" t="n">
        <v>45181</v>
      </c>
      <c r="D597" t="inlineStr">
        <is>
          <t>VÄSTERNORRLANDS LÄN</t>
        </is>
      </c>
      <c r="E597" t="inlineStr">
        <is>
          <t>SUNDSVALL</t>
        </is>
      </c>
      <c r="G597" t="n">
        <v>1.8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50169-2020</t>
        </is>
      </c>
      <c r="B598" s="1" t="n">
        <v>44109</v>
      </c>
      <c r="C598" s="1" t="n">
        <v>45181</v>
      </c>
      <c r="D598" t="inlineStr">
        <is>
          <t>VÄSTERNORRLANDS LÄN</t>
        </is>
      </c>
      <c r="E598" t="inlineStr">
        <is>
          <t>SUNDSVALL</t>
        </is>
      </c>
      <c r="G598" t="n">
        <v>4.1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50485-2020</t>
        </is>
      </c>
      <c r="B599" s="1" t="n">
        <v>44110</v>
      </c>
      <c r="C599" s="1" t="n">
        <v>45181</v>
      </c>
      <c r="D599" t="inlineStr">
        <is>
          <t>VÄSTERNORRLANDS LÄN</t>
        </is>
      </c>
      <c r="E599" t="inlineStr">
        <is>
          <t>SUNDSVALL</t>
        </is>
      </c>
      <c r="F599" t="inlineStr">
        <is>
          <t>Kommuner</t>
        </is>
      </c>
      <c r="G599" t="n">
        <v>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50500-2020</t>
        </is>
      </c>
      <c r="B600" s="1" t="n">
        <v>44110</v>
      </c>
      <c r="C600" s="1" t="n">
        <v>45181</v>
      </c>
      <c r="D600" t="inlineStr">
        <is>
          <t>VÄSTERNORRLANDS LÄN</t>
        </is>
      </c>
      <c r="E600" t="inlineStr">
        <is>
          <t>SUNDSVALL</t>
        </is>
      </c>
      <c r="F600" t="inlineStr">
        <is>
          <t>Kommuner</t>
        </is>
      </c>
      <c r="G600" t="n">
        <v>1.7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51368-2020</t>
        </is>
      </c>
      <c r="B601" s="1" t="n">
        <v>44112</v>
      </c>
      <c r="C601" s="1" t="n">
        <v>45181</v>
      </c>
      <c r="D601" t="inlineStr">
        <is>
          <t>VÄSTERNORRLANDS LÄN</t>
        </is>
      </c>
      <c r="E601" t="inlineStr">
        <is>
          <t>SUNDSVALL</t>
        </is>
      </c>
      <c r="G601" t="n">
        <v>1.1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51712-2020</t>
        </is>
      </c>
      <c r="B602" s="1" t="n">
        <v>44113</v>
      </c>
      <c r="C602" s="1" t="n">
        <v>45181</v>
      </c>
      <c r="D602" t="inlineStr">
        <is>
          <t>VÄSTERNORRLANDS LÄN</t>
        </is>
      </c>
      <c r="E602" t="inlineStr">
        <is>
          <t>SUNDSVALL</t>
        </is>
      </c>
      <c r="F602" t="inlineStr">
        <is>
          <t>SCA</t>
        </is>
      </c>
      <c r="G602" t="n">
        <v>21.1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52485-2020</t>
        </is>
      </c>
      <c r="B603" s="1" t="n">
        <v>44113</v>
      </c>
      <c r="C603" s="1" t="n">
        <v>45181</v>
      </c>
      <c r="D603" t="inlineStr">
        <is>
          <t>VÄSTERNORRLANDS LÄN</t>
        </is>
      </c>
      <c r="E603" t="inlineStr">
        <is>
          <t>SUNDSVALL</t>
        </is>
      </c>
      <c r="G603" t="n">
        <v>14.4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51754-2020</t>
        </is>
      </c>
      <c r="B604" s="1" t="n">
        <v>44114</v>
      </c>
      <c r="C604" s="1" t="n">
        <v>45181</v>
      </c>
      <c r="D604" t="inlineStr">
        <is>
          <t>VÄSTERNORRLANDS LÄN</t>
        </is>
      </c>
      <c r="E604" t="inlineStr">
        <is>
          <t>SUNDSVALL</t>
        </is>
      </c>
      <c r="G604" t="n">
        <v>6.8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52036-2020</t>
        </is>
      </c>
      <c r="B605" s="1" t="n">
        <v>44116</v>
      </c>
      <c r="C605" s="1" t="n">
        <v>45181</v>
      </c>
      <c r="D605" t="inlineStr">
        <is>
          <t>VÄSTERNORRLANDS LÄN</t>
        </is>
      </c>
      <c r="E605" t="inlineStr">
        <is>
          <t>SUNDSVALL</t>
        </is>
      </c>
      <c r="F605" t="inlineStr">
        <is>
          <t>SCA</t>
        </is>
      </c>
      <c r="G605" t="n">
        <v>8.699999999999999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53142-2020</t>
        </is>
      </c>
      <c r="B606" s="1" t="n">
        <v>44120</v>
      </c>
      <c r="C606" s="1" t="n">
        <v>45181</v>
      </c>
      <c r="D606" t="inlineStr">
        <is>
          <t>VÄSTERNORRLANDS LÄN</t>
        </is>
      </c>
      <c r="E606" t="inlineStr">
        <is>
          <t>SUNDSVALL</t>
        </is>
      </c>
      <c r="G606" t="n">
        <v>0.8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53503-2020</t>
        </is>
      </c>
      <c r="B607" s="1" t="n">
        <v>44123</v>
      </c>
      <c r="C607" s="1" t="n">
        <v>45181</v>
      </c>
      <c r="D607" t="inlineStr">
        <is>
          <t>VÄSTERNORRLANDS LÄN</t>
        </is>
      </c>
      <c r="E607" t="inlineStr">
        <is>
          <t>SUNDSVALL</t>
        </is>
      </c>
      <c r="G607" t="n">
        <v>0.9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54574-2020</t>
        </is>
      </c>
      <c r="B608" s="1" t="n">
        <v>44126</v>
      </c>
      <c r="C608" s="1" t="n">
        <v>45181</v>
      </c>
      <c r="D608" t="inlineStr">
        <is>
          <t>VÄSTERNORRLANDS LÄN</t>
        </is>
      </c>
      <c r="E608" t="inlineStr">
        <is>
          <t>SUNDSVALL</t>
        </is>
      </c>
      <c r="F608" t="inlineStr">
        <is>
          <t>Naturvårdsverket</t>
        </is>
      </c>
      <c r="G608" t="n">
        <v>4.9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55313-2020</t>
        </is>
      </c>
      <c r="B609" s="1" t="n">
        <v>44130</v>
      </c>
      <c r="C609" s="1" t="n">
        <v>45181</v>
      </c>
      <c r="D609" t="inlineStr">
        <is>
          <t>VÄSTERNORRLANDS LÄN</t>
        </is>
      </c>
      <c r="E609" t="inlineStr">
        <is>
          <t>SUNDSVALL</t>
        </is>
      </c>
      <c r="F609" t="inlineStr">
        <is>
          <t>SCA</t>
        </is>
      </c>
      <c r="G609" t="n">
        <v>2.3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55988-2020</t>
        </is>
      </c>
      <c r="B610" s="1" t="n">
        <v>44132</v>
      </c>
      <c r="C610" s="1" t="n">
        <v>45181</v>
      </c>
      <c r="D610" t="inlineStr">
        <is>
          <t>VÄSTERNORRLANDS LÄN</t>
        </is>
      </c>
      <c r="E610" t="inlineStr">
        <is>
          <t>SUNDSVALL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57405-2020</t>
        </is>
      </c>
      <c r="B611" s="1" t="n">
        <v>44139</v>
      </c>
      <c r="C611" s="1" t="n">
        <v>45181</v>
      </c>
      <c r="D611" t="inlineStr">
        <is>
          <t>VÄSTERNORRLANDS LÄN</t>
        </is>
      </c>
      <c r="E611" t="inlineStr">
        <is>
          <t>SUNDSVALL</t>
        </is>
      </c>
      <c r="G611" t="n">
        <v>1.5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57890-2020</t>
        </is>
      </c>
      <c r="B612" s="1" t="n">
        <v>44140</v>
      </c>
      <c r="C612" s="1" t="n">
        <v>45181</v>
      </c>
      <c r="D612" t="inlineStr">
        <is>
          <t>VÄSTERNORRLANDS LÄN</t>
        </is>
      </c>
      <c r="E612" t="inlineStr">
        <is>
          <t>SUNDSVALL</t>
        </is>
      </c>
      <c r="G612" t="n">
        <v>2.9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57735-2020</t>
        </is>
      </c>
      <c r="B613" s="1" t="n">
        <v>44140</v>
      </c>
      <c r="C613" s="1" t="n">
        <v>45181</v>
      </c>
      <c r="D613" t="inlineStr">
        <is>
          <t>VÄSTERNORRLANDS LÄN</t>
        </is>
      </c>
      <c r="E613" t="inlineStr">
        <is>
          <t>SUNDSVALL</t>
        </is>
      </c>
      <c r="F613" t="inlineStr">
        <is>
          <t>SCA</t>
        </is>
      </c>
      <c r="G613" t="n">
        <v>3.2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57900-2020</t>
        </is>
      </c>
      <c r="B614" s="1" t="n">
        <v>44140</v>
      </c>
      <c r="C614" s="1" t="n">
        <v>45181</v>
      </c>
      <c r="D614" t="inlineStr">
        <is>
          <t>VÄSTERNORRLANDS LÄN</t>
        </is>
      </c>
      <c r="E614" t="inlineStr">
        <is>
          <t>SUNDSVALL</t>
        </is>
      </c>
      <c r="G614" t="n">
        <v>6.8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59013-2020</t>
        </is>
      </c>
      <c r="B615" s="1" t="n">
        <v>44146</v>
      </c>
      <c r="C615" s="1" t="n">
        <v>45181</v>
      </c>
      <c r="D615" t="inlineStr">
        <is>
          <t>VÄSTERNORRLANDS LÄN</t>
        </is>
      </c>
      <c r="E615" t="inlineStr">
        <is>
          <t>SUNDSVALL</t>
        </is>
      </c>
      <c r="G615" t="n">
        <v>2.4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59106-2020</t>
        </is>
      </c>
      <c r="B616" s="1" t="n">
        <v>44147</v>
      </c>
      <c r="C616" s="1" t="n">
        <v>45181</v>
      </c>
      <c r="D616" t="inlineStr">
        <is>
          <t>VÄSTERNORRLANDS LÄN</t>
        </is>
      </c>
      <c r="E616" t="inlineStr">
        <is>
          <t>SUNDSVALL</t>
        </is>
      </c>
      <c r="G616" t="n">
        <v>0.6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60178-2020</t>
        </is>
      </c>
      <c r="B617" s="1" t="n">
        <v>44152</v>
      </c>
      <c r="C617" s="1" t="n">
        <v>45181</v>
      </c>
      <c r="D617" t="inlineStr">
        <is>
          <t>VÄSTERNORRLANDS LÄN</t>
        </is>
      </c>
      <c r="E617" t="inlineStr">
        <is>
          <t>SUNDSVALL</t>
        </is>
      </c>
      <c r="G617" t="n">
        <v>0.4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60391-2020</t>
        </is>
      </c>
      <c r="B618" s="1" t="n">
        <v>44152</v>
      </c>
      <c r="C618" s="1" t="n">
        <v>45181</v>
      </c>
      <c r="D618" t="inlineStr">
        <is>
          <t>VÄSTERNORRLANDS LÄN</t>
        </is>
      </c>
      <c r="E618" t="inlineStr">
        <is>
          <t>SUNDSVALL</t>
        </is>
      </c>
      <c r="F618" t="inlineStr">
        <is>
          <t>SCA</t>
        </is>
      </c>
      <c r="G618" t="n">
        <v>1.4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61568-2020</t>
        </is>
      </c>
      <c r="B619" s="1" t="n">
        <v>44154</v>
      </c>
      <c r="C619" s="1" t="n">
        <v>45181</v>
      </c>
      <c r="D619" t="inlineStr">
        <is>
          <t>VÄSTERNORRLANDS LÄN</t>
        </is>
      </c>
      <c r="E619" t="inlineStr">
        <is>
          <t>SUNDSVALL</t>
        </is>
      </c>
      <c r="G619" t="n">
        <v>1.2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61142-2020</t>
        </is>
      </c>
      <c r="B620" s="1" t="n">
        <v>44154</v>
      </c>
      <c r="C620" s="1" t="n">
        <v>45181</v>
      </c>
      <c r="D620" t="inlineStr">
        <is>
          <t>VÄSTERNORRLANDS LÄN</t>
        </is>
      </c>
      <c r="E620" t="inlineStr">
        <is>
          <t>SUNDSVALL</t>
        </is>
      </c>
      <c r="G620" t="n">
        <v>0.9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61719-2020</t>
        </is>
      </c>
      <c r="B621" s="1" t="n">
        <v>44158</v>
      </c>
      <c r="C621" s="1" t="n">
        <v>45181</v>
      </c>
      <c r="D621" t="inlineStr">
        <is>
          <t>VÄSTERNORRLANDS LÄN</t>
        </is>
      </c>
      <c r="E621" t="inlineStr">
        <is>
          <t>SUNDSVALL</t>
        </is>
      </c>
      <c r="G621" t="n">
        <v>4.8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61723-2020</t>
        </is>
      </c>
      <c r="B622" s="1" t="n">
        <v>44158</v>
      </c>
      <c r="C622" s="1" t="n">
        <v>45181</v>
      </c>
      <c r="D622" t="inlineStr">
        <is>
          <t>VÄSTERNORRLANDS LÄN</t>
        </is>
      </c>
      <c r="E622" t="inlineStr">
        <is>
          <t>SUNDSVALL</t>
        </is>
      </c>
      <c r="G622" t="n">
        <v>2.1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62294-2020</t>
        </is>
      </c>
      <c r="B623" s="1" t="n">
        <v>44160</v>
      </c>
      <c r="C623" s="1" t="n">
        <v>45181</v>
      </c>
      <c r="D623" t="inlineStr">
        <is>
          <t>VÄSTERNORRLANDS LÄN</t>
        </is>
      </c>
      <c r="E623" t="inlineStr">
        <is>
          <t>SUNDSVALL</t>
        </is>
      </c>
      <c r="G623" t="n">
        <v>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63598-2020</t>
        </is>
      </c>
      <c r="B624" s="1" t="n">
        <v>44165</v>
      </c>
      <c r="C624" s="1" t="n">
        <v>45181</v>
      </c>
      <c r="D624" t="inlineStr">
        <is>
          <t>VÄSTERNORRLANDS LÄN</t>
        </is>
      </c>
      <c r="E624" t="inlineStr">
        <is>
          <t>SUNDSVALL</t>
        </is>
      </c>
      <c r="G624" t="n">
        <v>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63786-2020</t>
        </is>
      </c>
      <c r="B625" s="1" t="n">
        <v>44166</v>
      </c>
      <c r="C625" s="1" t="n">
        <v>45181</v>
      </c>
      <c r="D625" t="inlineStr">
        <is>
          <t>VÄSTERNORRLANDS LÄN</t>
        </is>
      </c>
      <c r="E625" t="inlineStr">
        <is>
          <t>SUNDSVALL</t>
        </is>
      </c>
      <c r="F625" t="inlineStr">
        <is>
          <t>Kommuner</t>
        </is>
      </c>
      <c r="G625" t="n">
        <v>7.6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63817-2020</t>
        </is>
      </c>
      <c r="B626" s="1" t="n">
        <v>44166</v>
      </c>
      <c r="C626" s="1" t="n">
        <v>45181</v>
      </c>
      <c r="D626" t="inlineStr">
        <is>
          <t>VÄSTERNORRLANDS LÄN</t>
        </is>
      </c>
      <c r="E626" t="inlineStr">
        <is>
          <t>SUNDSVALL</t>
        </is>
      </c>
      <c r="G626" t="n">
        <v>0.2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63681-2020</t>
        </is>
      </c>
      <c r="B627" s="1" t="n">
        <v>44166</v>
      </c>
      <c r="C627" s="1" t="n">
        <v>45181</v>
      </c>
      <c r="D627" t="inlineStr">
        <is>
          <t>VÄSTERNORRLANDS LÄN</t>
        </is>
      </c>
      <c r="E627" t="inlineStr">
        <is>
          <t>SUNDSVALL</t>
        </is>
      </c>
      <c r="G627" t="n">
        <v>1.1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63774-2020</t>
        </is>
      </c>
      <c r="B628" s="1" t="n">
        <v>44166</v>
      </c>
      <c r="C628" s="1" t="n">
        <v>45181</v>
      </c>
      <c r="D628" t="inlineStr">
        <is>
          <t>VÄSTERNORRLANDS LÄN</t>
        </is>
      </c>
      <c r="E628" t="inlineStr">
        <is>
          <t>SUNDSVALL</t>
        </is>
      </c>
      <c r="F628" t="inlineStr">
        <is>
          <t>Kommuner</t>
        </is>
      </c>
      <c r="G628" t="n">
        <v>4.4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63840-2020</t>
        </is>
      </c>
      <c r="B629" s="1" t="n">
        <v>44166</v>
      </c>
      <c r="C629" s="1" t="n">
        <v>45181</v>
      </c>
      <c r="D629" t="inlineStr">
        <is>
          <t>VÄSTERNORRLANDS LÄN</t>
        </is>
      </c>
      <c r="E629" t="inlineStr">
        <is>
          <t>SUNDSVALL</t>
        </is>
      </c>
      <c r="G629" t="n">
        <v>0.2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63862-2020</t>
        </is>
      </c>
      <c r="B630" s="1" t="n">
        <v>44166</v>
      </c>
      <c r="C630" s="1" t="n">
        <v>45181</v>
      </c>
      <c r="D630" t="inlineStr">
        <is>
          <t>VÄSTERNORRLANDS LÄN</t>
        </is>
      </c>
      <c r="E630" t="inlineStr">
        <is>
          <t>SUNDSVALL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64394-2020</t>
        </is>
      </c>
      <c r="B631" s="1" t="n">
        <v>44168</v>
      </c>
      <c r="C631" s="1" t="n">
        <v>45181</v>
      </c>
      <c r="D631" t="inlineStr">
        <is>
          <t>VÄSTERNORRLANDS LÄN</t>
        </is>
      </c>
      <c r="E631" t="inlineStr">
        <is>
          <t>SUNDSVALL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64479-2020</t>
        </is>
      </c>
      <c r="B632" s="1" t="n">
        <v>44168</v>
      </c>
      <c r="C632" s="1" t="n">
        <v>45181</v>
      </c>
      <c r="D632" t="inlineStr">
        <is>
          <t>VÄSTERNORRLANDS LÄN</t>
        </is>
      </c>
      <c r="E632" t="inlineStr">
        <is>
          <t>SUNDSVALL</t>
        </is>
      </c>
      <c r="G632" t="n">
        <v>0.8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65465-2020</t>
        </is>
      </c>
      <c r="B633" s="1" t="n">
        <v>44173</v>
      </c>
      <c r="C633" s="1" t="n">
        <v>45181</v>
      </c>
      <c r="D633" t="inlineStr">
        <is>
          <t>VÄSTERNORRLANDS LÄN</t>
        </is>
      </c>
      <c r="E633" t="inlineStr">
        <is>
          <t>SUNDSVALL</t>
        </is>
      </c>
      <c r="G633" t="n">
        <v>1.4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66016-2020</t>
        </is>
      </c>
      <c r="B634" s="1" t="n">
        <v>44175</v>
      </c>
      <c r="C634" s="1" t="n">
        <v>45181</v>
      </c>
      <c r="D634" t="inlineStr">
        <is>
          <t>VÄSTERNORRLANDS LÄN</t>
        </is>
      </c>
      <c r="E634" t="inlineStr">
        <is>
          <t>SUNDSVALL</t>
        </is>
      </c>
      <c r="F634" t="inlineStr">
        <is>
          <t>Holmen skog AB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66236-2020</t>
        </is>
      </c>
      <c r="B635" s="1" t="n">
        <v>44175</v>
      </c>
      <c r="C635" s="1" t="n">
        <v>45181</v>
      </c>
      <c r="D635" t="inlineStr">
        <is>
          <t>VÄSTERNORRLANDS LÄN</t>
        </is>
      </c>
      <c r="E635" t="inlineStr">
        <is>
          <t>SUNDSVALL</t>
        </is>
      </c>
      <c r="G635" t="n">
        <v>6.2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67233-2020</t>
        </is>
      </c>
      <c r="B636" s="1" t="n">
        <v>44180</v>
      </c>
      <c r="C636" s="1" t="n">
        <v>45181</v>
      </c>
      <c r="D636" t="inlineStr">
        <is>
          <t>VÄSTERNORRLANDS LÄN</t>
        </is>
      </c>
      <c r="E636" t="inlineStr">
        <is>
          <t>SUNDSVALL</t>
        </is>
      </c>
      <c r="G636" t="n">
        <v>1.3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68285-2020</t>
        </is>
      </c>
      <c r="B637" s="1" t="n">
        <v>44183</v>
      </c>
      <c r="C637" s="1" t="n">
        <v>45181</v>
      </c>
      <c r="D637" t="inlineStr">
        <is>
          <t>VÄSTERNORRLANDS LÄN</t>
        </is>
      </c>
      <c r="E637" t="inlineStr">
        <is>
          <t>SUNDSVALL</t>
        </is>
      </c>
      <c r="G637" t="n">
        <v>0.3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68286-2020</t>
        </is>
      </c>
      <c r="B638" s="1" t="n">
        <v>44183</v>
      </c>
      <c r="C638" s="1" t="n">
        <v>45181</v>
      </c>
      <c r="D638" t="inlineStr">
        <is>
          <t>VÄSTERNORRLANDS LÄN</t>
        </is>
      </c>
      <c r="E638" t="inlineStr">
        <is>
          <t>SUNDSVALL</t>
        </is>
      </c>
      <c r="G638" t="n">
        <v>0.3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69172-2020</t>
        </is>
      </c>
      <c r="B639" s="1" t="n">
        <v>44188</v>
      </c>
      <c r="C639" s="1" t="n">
        <v>45181</v>
      </c>
      <c r="D639" t="inlineStr">
        <is>
          <t>VÄSTERNORRLANDS LÄN</t>
        </is>
      </c>
      <c r="E639" t="inlineStr">
        <is>
          <t>SUNDSVALL</t>
        </is>
      </c>
      <c r="G639" t="n">
        <v>2.5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444-2021</t>
        </is>
      </c>
      <c r="B640" s="1" t="n">
        <v>44201</v>
      </c>
      <c r="C640" s="1" t="n">
        <v>45181</v>
      </c>
      <c r="D640" t="inlineStr">
        <is>
          <t>VÄSTERNORRLANDS LÄN</t>
        </is>
      </c>
      <c r="E640" t="inlineStr">
        <is>
          <t>SUNDSVALL</t>
        </is>
      </c>
      <c r="F640" t="inlineStr">
        <is>
          <t>SCA</t>
        </is>
      </c>
      <c r="G640" t="n">
        <v>1.8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695-2021</t>
        </is>
      </c>
      <c r="B641" s="1" t="n">
        <v>44203</v>
      </c>
      <c r="C641" s="1" t="n">
        <v>45181</v>
      </c>
      <c r="D641" t="inlineStr">
        <is>
          <t>VÄSTERNORRLANDS LÄN</t>
        </is>
      </c>
      <c r="E641" t="inlineStr">
        <is>
          <t>SUNDSVALL</t>
        </is>
      </c>
      <c r="G641" t="n">
        <v>1.4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1174-2021</t>
        </is>
      </c>
      <c r="B642" s="1" t="n">
        <v>44207</v>
      </c>
      <c r="C642" s="1" t="n">
        <v>45181</v>
      </c>
      <c r="D642" t="inlineStr">
        <is>
          <t>VÄSTERNORRLANDS LÄN</t>
        </is>
      </c>
      <c r="E642" t="inlineStr">
        <is>
          <t>SUNDSVALL</t>
        </is>
      </c>
      <c r="G642" t="n">
        <v>2.9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1473-2021</t>
        </is>
      </c>
      <c r="B643" s="1" t="n">
        <v>44208</v>
      </c>
      <c r="C643" s="1" t="n">
        <v>45181</v>
      </c>
      <c r="D643" t="inlineStr">
        <is>
          <t>VÄSTERNORRLANDS LÄN</t>
        </is>
      </c>
      <c r="E643" t="inlineStr">
        <is>
          <t>SUNDSVALL</t>
        </is>
      </c>
      <c r="G643" t="n">
        <v>3.7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1480-2021</t>
        </is>
      </c>
      <c r="B644" s="1" t="n">
        <v>44208</v>
      </c>
      <c r="C644" s="1" t="n">
        <v>45181</v>
      </c>
      <c r="D644" t="inlineStr">
        <is>
          <t>VÄSTERNORRLANDS LÄN</t>
        </is>
      </c>
      <c r="E644" t="inlineStr">
        <is>
          <t>SUNDSVALL</t>
        </is>
      </c>
      <c r="G644" t="n">
        <v>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2233-2021</t>
        </is>
      </c>
      <c r="B645" s="1" t="n">
        <v>44211</v>
      </c>
      <c r="C645" s="1" t="n">
        <v>45181</v>
      </c>
      <c r="D645" t="inlineStr">
        <is>
          <t>VÄSTERNORRLANDS LÄN</t>
        </is>
      </c>
      <c r="E645" t="inlineStr">
        <is>
          <t>SUNDSVALL</t>
        </is>
      </c>
      <c r="G645" t="n">
        <v>2.3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2835-2021</t>
        </is>
      </c>
      <c r="B646" s="1" t="n">
        <v>44215</v>
      </c>
      <c r="C646" s="1" t="n">
        <v>45181</v>
      </c>
      <c r="D646" t="inlineStr">
        <is>
          <t>VÄSTERNORRLANDS LÄN</t>
        </is>
      </c>
      <c r="E646" t="inlineStr">
        <is>
          <t>SUNDSVALL</t>
        </is>
      </c>
      <c r="G646" t="n">
        <v>2.6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2836-2021</t>
        </is>
      </c>
      <c r="B647" s="1" t="n">
        <v>44215</v>
      </c>
      <c r="C647" s="1" t="n">
        <v>45181</v>
      </c>
      <c r="D647" t="inlineStr">
        <is>
          <t>VÄSTERNORRLANDS LÄN</t>
        </is>
      </c>
      <c r="E647" t="inlineStr">
        <is>
          <t>SUNDSVALL</t>
        </is>
      </c>
      <c r="G647" t="n">
        <v>1.6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3351-2021</t>
        </is>
      </c>
      <c r="B648" s="1" t="n">
        <v>44217</v>
      </c>
      <c r="C648" s="1" t="n">
        <v>45181</v>
      </c>
      <c r="D648" t="inlineStr">
        <is>
          <t>VÄSTERNORRLANDS LÄN</t>
        </is>
      </c>
      <c r="E648" t="inlineStr">
        <is>
          <t>SUNDSVALL</t>
        </is>
      </c>
      <c r="F648" t="inlineStr">
        <is>
          <t>SCA</t>
        </is>
      </c>
      <c r="G648" t="n">
        <v>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3811-2021</t>
        </is>
      </c>
      <c r="B649" s="1" t="n">
        <v>44221</v>
      </c>
      <c r="C649" s="1" t="n">
        <v>45181</v>
      </c>
      <c r="D649" t="inlineStr">
        <is>
          <t>VÄSTERNORRLANDS LÄN</t>
        </is>
      </c>
      <c r="E649" t="inlineStr">
        <is>
          <t>SUNDSVALL</t>
        </is>
      </c>
      <c r="G649" t="n">
        <v>1.5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4365-2021</t>
        </is>
      </c>
      <c r="B650" s="1" t="n">
        <v>44221</v>
      </c>
      <c r="C650" s="1" t="n">
        <v>45181</v>
      </c>
      <c r="D650" t="inlineStr">
        <is>
          <t>VÄSTERNORRLANDS LÄN</t>
        </is>
      </c>
      <c r="E650" t="inlineStr">
        <is>
          <t>SUNDSVALL</t>
        </is>
      </c>
      <c r="F650" t="inlineStr">
        <is>
          <t>Kommuner</t>
        </is>
      </c>
      <c r="G650" t="n">
        <v>1.6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4123-2021</t>
        </is>
      </c>
      <c r="B651" s="1" t="n">
        <v>44222</v>
      </c>
      <c r="C651" s="1" t="n">
        <v>45181</v>
      </c>
      <c r="D651" t="inlineStr">
        <is>
          <t>VÄSTERNORRLANDS LÄN</t>
        </is>
      </c>
      <c r="E651" t="inlineStr">
        <is>
          <t>SUNDSVALL</t>
        </is>
      </c>
      <c r="G651" t="n">
        <v>1.3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3824-2021</t>
        </is>
      </c>
      <c r="B652" s="1" t="n">
        <v>44222</v>
      </c>
      <c r="C652" s="1" t="n">
        <v>45181</v>
      </c>
      <c r="D652" t="inlineStr">
        <is>
          <t>VÄSTERNORRLANDS LÄN</t>
        </is>
      </c>
      <c r="E652" t="inlineStr">
        <is>
          <t>SUNDSVALL</t>
        </is>
      </c>
      <c r="G652" t="n">
        <v>1.2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4659-2021</t>
        </is>
      </c>
      <c r="B653" s="1" t="n">
        <v>44224</v>
      </c>
      <c r="C653" s="1" t="n">
        <v>45181</v>
      </c>
      <c r="D653" t="inlineStr">
        <is>
          <t>VÄSTERNORRLANDS LÄN</t>
        </is>
      </c>
      <c r="E653" t="inlineStr">
        <is>
          <t>SUNDSVALL</t>
        </is>
      </c>
      <c r="F653" t="inlineStr">
        <is>
          <t>SCA</t>
        </is>
      </c>
      <c r="G653" t="n">
        <v>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4760-2021</t>
        </is>
      </c>
      <c r="B654" s="1" t="n">
        <v>44225</v>
      </c>
      <c r="C654" s="1" t="n">
        <v>45181</v>
      </c>
      <c r="D654" t="inlineStr">
        <is>
          <t>VÄSTERNORRLANDS LÄN</t>
        </is>
      </c>
      <c r="E654" t="inlineStr">
        <is>
          <t>SUNDSVALL</t>
        </is>
      </c>
      <c r="F654" t="inlineStr">
        <is>
          <t>Kommuner</t>
        </is>
      </c>
      <c r="G654" t="n">
        <v>5.5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5799-2021</t>
        </is>
      </c>
      <c r="B655" s="1" t="n">
        <v>44230</v>
      </c>
      <c r="C655" s="1" t="n">
        <v>45181</v>
      </c>
      <c r="D655" t="inlineStr">
        <is>
          <t>VÄSTERNORRLANDS LÄN</t>
        </is>
      </c>
      <c r="E655" t="inlineStr">
        <is>
          <t>SUNDSVALL</t>
        </is>
      </c>
      <c r="F655" t="inlineStr">
        <is>
          <t>SCA</t>
        </is>
      </c>
      <c r="G655" t="n">
        <v>0.6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5797-2021</t>
        </is>
      </c>
      <c r="B656" s="1" t="n">
        <v>44230</v>
      </c>
      <c r="C656" s="1" t="n">
        <v>45181</v>
      </c>
      <c r="D656" t="inlineStr">
        <is>
          <t>VÄSTERNORRLANDS LÄN</t>
        </is>
      </c>
      <c r="E656" t="inlineStr">
        <is>
          <t>SUNDSVALL</t>
        </is>
      </c>
      <c r="F656" t="inlineStr">
        <is>
          <t>SCA</t>
        </is>
      </c>
      <c r="G656" t="n">
        <v>0.6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5798-2021</t>
        </is>
      </c>
      <c r="B657" s="1" t="n">
        <v>44230</v>
      </c>
      <c r="C657" s="1" t="n">
        <v>45181</v>
      </c>
      <c r="D657" t="inlineStr">
        <is>
          <t>VÄSTERNORRLANDS LÄN</t>
        </is>
      </c>
      <c r="E657" t="inlineStr">
        <is>
          <t>SUNDSVALL</t>
        </is>
      </c>
      <c r="F657" t="inlineStr">
        <is>
          <t>SCA</t>
        </is>
      </c>
      <c r="G657" t="n">
        <v>0.8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6009-2021</t>
        </is>
      </c>
      <c r="B658" s="1" t="n">
        <v>44231</v>
      </c>
      <c r="C658" s="1" t="n">
        <v>45181</v>
      </c>
      <c r="D658" t="inlineStr">
        <is>
          <t>VÄSTERNORRLANDS LÄN</t>
        </is>
      </c>
      <c r="E658" t="inlineStr">
        <is>
          <t>SUNDSVALL</t>
        </is>
      </c>
      <c r="G658" t="n">
        <v>3.1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6220-2021</t>
        </is>
      </c>
      <c r="B659" s="1" t="n">
        <v>44232</v>
      </c>
      <c r="C659" s="1" t="n">
        <v>45181</v>
      </c>
      <c r="D659" t="inlineStr">
        <is>
          <t>VÄSTERNORRLANDS LÄN</t>
        </is>
      </c>
      <c r="E659" t="inlineStr">
        <is>
          <t>SUNDSVALL</t>
        </is>
      </c>
      <c r="G659" t="n">
        <v>0.9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6708-2021</t>
        </is>
      </c>
      <c r="B660" s="1" t="n">
        <v>44236</v>
      </c>
      <c r="C660" s="1" t="n">
        <v>45181</v>
      </c>
      <c r="D660" t="inlineStr">
        <is>
          <t>VÄSTERNORRLANDS LÄN</t>
        </is>
      </c>
      <c r="E660" t="inlineStr">
        <is>
          <t>SUNDSVALL</t>
        </is>
      </c>
      <c r="G660" t="n">
        <v>2.1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7879-2021</t>
        </is>
      </c>
      <c r="B661" s="1" t="n">
        <v>44242</v>
      </c>
      <c r="C661" s="1" t="n">
        <v>45181</v>
      </c>
      <c r="D661" t="inlineStr">
        <is>
          <t>VÄSTERNORRLANDS LÄN</t>
        </is>
      </c>
      <c r="E661" t="inlineStr">
        <is>
          <t>SUNDSVALL</t>
        </is>
      </c>
      <c r="G661" t="n">
        <v>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7899-2021</t>
        </is>
      </c>
      <c r="B662" s="1" t="n">
        <v>44242</v>
      </c>
      <c r="C662" s="1" t="n">
        <v>45181</v>
      </c>
      <c r="D662" t="inlineStr">
        <is>
          <t>VÄSTERNORRLANDS LÄN</t>
        </is>
      </c>
      <c r="E662" t="inlineStr">
        <is>
          <t>SUNDSVALL</t>
        </is>
      </c>
      <c r="G662" t="n">
        <v>3.6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7875-2021</t>
        </is>
      </c>
      <c r="B663" s="1" t="n">
        <v>44242</v>
      </c>
      <c r="C663" s="1" t="n">
        <v>45181</v>
      </c>
      <c r="D663" t="inlineStr">
        <is>
          <t>VÄSTERNORRLANDS LÄN</t>
        </is>
      </c>
      <c r="E663" t="inlineStr">
        <is>
          <t>SUNDSVALL</t>
        </is>
      </c>
      <c r="G663" t="n">
        <v>2.4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7878-2021</t>
        </is>
      </c>
      <c r="B664" s="1" t="n">
        <v>44242</v>
      </c>
      <c r="C664" s="1" t="n">
        <v>45181</v>
      </c>
      <c r="D664" t="inlineStr">
        <is>
          <t>VÄSTERNORRLANDS LÄN</t>
        </is>
      </c>
      <c r="E664" t="inlineStr">
        <is>
          <t>SUNDSVALL</t>
        </is>
      </c>
      <c r="G664" t="n">
        <v>1.1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9177-2021</t>
        </is>
      </c>
      <c r="B665" s="1" t="n">
        <v>44249</v>
      </c>
      <c r="C665" s="1" t="n">
        <v>45181</v>
      </c>
      <c r="D665" t="inlineStr">
        <is>
          <t>VÄSTERNORRLANDS LÄN</t>
        </is>
      </c>
      <c r="E665" t="inlineStr">
        <is>
          <t>SUNDSVALL</t>
        </is>
      </c>
      <c r="F665" t="inlineStr">
        <is>
          <t>SCA</t>
        </is>
      </c>
      <c r="G665" t="n">
        <v>46.4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9624-2021</t>
        </is>
      </c>
      <c r="B666" s="1" t="n">
        <v>44251</v>
      </c>
      <c r="C666" s="1" t="n">
        <v>45181</v>
      </c>
      <c r="D666" t="inlineStr">
        <is>
          <t>VÄSTERNORRLANDS LÄN</t>
        </is>
      </c>
      <c r="E666" t="inlineStr">
        <is>
          <t>SUNDSVALL</t>
        </is>
      </c>
      <c r="G666" t="n">
        <v>1.2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9628-2021</t>
        </is>
      </c>
      <c r="B667" s="1" t="n">
        <v>44251</v>
      </c>
      <c r="C667" s="1" t="n">
        <v>45181</v>
      </c>
      <c r="D667" t="inlineStr">
        <is>
          <t>VÄSTERNORRLANDS LÄN</t>
        </is>
      </c>
      <c r="E667" t="inlineStr">
        <is>
          <t>SUNDSVALL</t>
        </is>
      </c>
      <c r="G667" t="n">
        <v>0.6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10482-2021</t>
        </is>
      </c>
      <c r="B668" s="1" t="n">
        <v>44257</v>
      </c>
      <c r="C668" s="1" t="n">
        <v>45181</v>
      </c>
      <c r="D668" t="inlineStr">
        <is>
          <t>VÄSTERNORRLANDS LÄN</t>
        </is>
      </c>
      <c r="E668" t="inlineStr">
        <is>
          <t>SUNDSVALL</t>
        </is>
      </c>
      <c r="G668" t="n">
        <v>5.7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10602-2021</t>
        </is>
      </c>
      <c r="B669" s="1" t="n">
        <v>44258</v>
      </c>
      <c r="C669" s="1" t="n">
        <v>45181</v>
      </c>
      <c r="D669" t="inlineStr">
        <is>
          <t>VÄSTERNORRLANDS LÄN</t>
        </is>
      </c>
      <c r="E669" t="inlineStr">
        <is>
          <t>SUNDSVALL</t>
        </is>
      </c>
      <c r="G669" t="n">
        <v>1.6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11696-2021</t>
        </is>
      </c>
      <c r="B670" s="1" t="n">
        <v>44264</v>
      </c>
      <c r="C670" s="1" t="n">
        <v>45181</v>
      </c>
      <c r="D670" t="inlineStr">
        <is>
          <t>VÄSTERNORRLANDS LÄN</t>
        </is>
      </c>
      <c r="E670" t="inlineStr">
        <is>
          <t>SUNDSVALL</t>
        </is>
      </c>
      <c r="G670" t="n">
        <v>0.7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13038-2021</t>
        </is>
      </c>
      <c r="B671" s="1" t="n">
        <v>44271</v>
      </c>
      <c r="C671" s="1" t="n">
        <v>45181</v>
      </c>
      <c r="D671" t="inlineStr">
        <is>
          <t>VÄSTERNORRLANDS LÄN</t>
        </is>
      </c>
      <c r="E671" t="inlineStr">
        <is>
          <t>SUNDSVALL</t>
        </is>
      </c>
      <c r="G671" t="n">
        <v>3.6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14231-2021</t>
        </is>
      </c>
      <c r="B672" s="1" t="n">
        <v>44277</v>
      </c>
      <c r="C672" s="1" t="n">
        <v>45181</v>
      </c>
      <c r="D672" t="inlineStr">
        <is>
          <t>VÄSTERNORRLANDS LÄN</t>
        </is>
      </c>
      <c r="E672" t="inlineStr">
        <is>
          <t>SUNDSVALL</t>
        </is>
      </c>
      <c r="G672" t="n">
        <v>0.9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13987-2021</t>
        </is>
      </c>
      <c r="B673" s="1" t="n">
        <v>44277</v>
      </c>
      <c r="C673" s="1" t="n">
        <v>45181</v>
      </c>
      <c r="D673" t="inlineStr">
        <is>
          <t>VÄSTERNORRLANDS LÄN</t>
        </is>
      </c>
      <c r="E673" t="inlineStr">
        <is>
          <t>SUNDSVALL</t>
        </is>
      </c>
      <c r="G673" t="n">
        <v>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14113-2021</t>
        </is>
      </c>
      <c r="B674" s="1" t="n">
        <v>44277</v>
      </c>
      <c r="C674" s="1" t="n">
        <v>45181</v>
      </c>
      <c r="D674" t="inlineStr">
        <is>
          <t>VÄSTERNORRLANDS LÄN</t>
        </is>
      </c>
      <c r="E674" t="inlineStr">
        <is>
          <t>SUNDSVALL</t>
        </is>
      </c>
      <c r="G674" t="n">
        <v>2.6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15769-2021</t>
        </is>
      </c>
      <c r="B675" s="1" t="n">
        <v>44286</v>
      </c>
      <c r="C675" s="1" t="n">
        <v>45181</v>
      </c>
      <c r="D675" t="inlineStr">
        <is>
          <t>VÄSTERNORRLANDS LÄN</t>
        </is>
      </c>
      <c r="E675" t="inlineStr">
        <is>
          <t>SUNDSVALL</t>
        </is>
      </c>
      <c r="F675" t="inlineStr">
        <is>
          <t>Kommuner</t>
        </is>
      </c>
      <c r="G675" t="n">
        <v>1.3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16334-2021</t>
        </is>
      </c>
      <c r="B676" s="1" t="n">
        <v>44292</v>
      </c>
      <c r="C676" s="1" t="n">
        <v>45181</v>
      </c>
      <c r="D676" t="inlineStr">
        <is>
          <t>VÄSTERNORRLANDS LÄN</t>
        </is>
      </c>
      <c r="E676" t="inlineStr">
        <is>
          <t>SUNDSVALL</t>
        </is>
      </c>
      <c r="G676" t="n">
        <v>0.3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16424-2021</t>
        </is>
      </c>
      <c r="B677" s="1" t="n">
        <v>44292</v>
      </c>
      <c r="C677" s="1" t="n">
        <v>45181</v>
      </c>
      <c r="D677" t="inlineStr">
        <is>
          <t>VÄSTERNORRLANDS LÄN</t>
        </is>
      </c>
      <c r="E677" t="inlineStr">
        <is>
          <t>SUNDSVALL</t>
        </is>
      </c>
      <c r="G677" t="n">
        <v>0.2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17379-2021</t>
        </is>
      </c>
      <c r="B678" s="1" t="n">
        <v>44298</v>
      </c>
      <c r="C678" s="1" t="n">
        <v>45181</v>
      </c>
      <c r="D678" t="inlineStr">
        <is>
          <t>VÄSTERNORRLANDS LÄN</t>
        </is>
      </c>
      <c r="E678" t="inlineStr">
        <is>
          <t>SUNDSVALL</t>
        </is>
      </c>
      <c r="F678" t="inlineStr">
        <is>
          <t>SCA</t>
        </is>
      </c>
      <c r="G678" t="n">
        <v>8.199999999999999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17690-2021</t>
        </is>
      </c>
      <c r="B679" s="1" t="n">
        <v>44300</v>
      </c>
      <c r="C679" s="1" t="n">
        <v>45181</v>
      </c>
      <c r="D679" t="inlineStr">
        <is>
          <t>VÄSTERNORRLANDS LÄN</t>
        </is>
      </c>
      <c r="E679" t="inlineStr">
        <is>
          <t>SUNDSVALL</t>
        </is>
      </c>
      <c r="G679" t="n">
        <v>0.5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18672-2021</t>
        </is>
      </c>
      <c r="B680" s="1" t="n">
        <v>44306</v>
      </c>
      <c r="C680" s="1" t="n">
        <v>45181</v>
      </c>
      <c r="D680" t="inlineStr">
        <is>
          <t>VÄSTERNORRLANDS LÄN</t>
        </is>
      </c>
      <c r="E680" t="inlineStr">
        <is>
          <t>SUNDSVALL</t>
        </is>
      </c>
      <c r="G680" t="n">
        <v>3.1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18774-2021</t>
        </is>
      </c>
      <c r="B681" s="1" t="n">
        <v>44307</v>
      </c>
      <c r="C681" s="1" t="n">
        <v>45181</v>
      </c>
      <c r="D681" t="inlineStr">
        <is>
          <t>VÄSTERNORRLANDS LÄN</t>
        </is>
      </c>
      <c r="E681" t="inlineStr">
        <is>
          <t>SUNDSVALL</t>
        </is>
      </c>
      <c r="G681" t="n">
        <v>0.3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19208-2021</t>
        </is>
      </c>
      <c r="B682" s="1" t="n">
        <v>44308</v>
      </c>
      <c r="C682" s="1" t="n">
        <v>45181</v>
      </c>
      <c r="D682" t="inlineStr">
        <is>
          <t>VÄSTERNORRLANDS LÄN</t>
        </is>
      </c>
      <c r="E682" t="inlineStr">
        <is>
          <t>SUNDSVALL</t>
        </is>
      </c>
      <c r="G682" t="n">
        <v>19.1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19236-2021</t>
        </is>
      </c>
      <c r="B683" s="1" t="n">
        <v>44309</v>
      </c>
      <c r="C683" s="1" t="n">
        <v>45181</v>
      </c>
      <c r="D683" t="inlineStr">
        <is>
          <t>VÄSTERNORRLANDS LÄN</t>
        </is>
      </c>
      <c r="E683" t="inlineStr">
        <is>
          <t>SUNDSVALL</t>
        </is>
      </c>
      <c r="G683" t="n">
        <v>0.6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19729-2021</t>
        </is>
      </c>
      <c r="B684" s="1" t="n">
        <v>44312</v>
      </c>
      <c r="C684" s="1" t="n">
        <v>45181</v>
      </c>
      <c r="D684" t="inlineStr">
        <is>
          <t>VÄSTERNORRLANDS LÄN</t>
        </is>
      </c>
      <c r="E684" t="inlineStr">
        <is>
          <t>SUNDSVALL</t>
        </is>
      </c>
      <c r="F684" t="inlineStr">
        <is>
          <t>SCA</t>
        </is>
      </c>
      <c r="G684" t="n">
        <v>0.6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20416-2021</t>
        </is>
      </c>
      <c r="B685" s="1" t="n">
        <v>44312</v>
      </c>
      <c r="C685" s="1" t="n">
        <v>45181</v>
      </c>
      <c r="D685" t="inlineStr">
        <is>
          <t>VÄSTERNORRLANDS LÄN</t>
        </is>
      </c>
      <c r="E685" t="inlineStr">
        <is>
          <t>SUNDSVALL</t>
        </is>
      </c>
      <c r="G685" t="n">
        <v>2.1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20010-2021</t>
        </is>
      </c>
      <c r="B686" s="1" t="n">
        <v>44313</v>
      </c>
      <c r="C686" s="1" t="n">
        <v>45181</v>
      </c>
      <c r="D686" t="inlineStr">
        <is>
          <t>VÄSTERNORRLANDS LÄN</t>
        </is>
      </c>
      <c r="E686" t="inlineStr">
        <is>
          <t>SUNDSVALL</t>
        </is>
      </c>
      <c r="G686" t="n">
        <v>0.5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20011-2021</t>
        </is>
      </c>
      <c r="B687" s="1" t="n">
        <v>44313</v>
      </c>
      <c r="C687" s="1" t="n">
        <v>45181</v>
      </c>
      <c r="D687" t="inlineStr">
        <is>
          <t>VÄSTERNORRLANDS LÄN</t>
        </is>
      </c>
      <c r="E687" t="inlineStr">
        <is>
          <t>SUNDSVALL</t>
        </is>
      </c>
      <c r="G687" t="n">
        <v>0.7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20186-2021</t>
        </is>
      </c>
      <c r="B688" s="1" t="n">
        <v>44314</v>
      </c>
      <c r="C688" s="1" t="n">
        <v>45181</v>
      </c>
      <c r="D688" t="inlineStr">
        <is>
          <t>VÄSTERNORRLANDS LÄN</t>
        </is>
      </c>
      <c r="E688" t="inlineStr">
        <is>
          <t>SUNDSVALL</t>
        </is>
      </c>
      <c r="G688" t="n">
        <v>2.3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20514-2021</t>
        </is>
      </c>
      <c r="B689" s="1" t="n">
        <v>44315</v>
      </c>
      <c r="C689" s="1" t="n">
        <v>45181</v>
      </c>
      <c r="D689" t="inlineStr">
        <is>
          <t>VÄSTERNORRLANDS LÄN</t>
        </is>
      </c>
      <c r="E689" t="inlineStr">
        <is>
          <t>SUNDSVALL</t>
        </is>
      </c>
      <c r="G689" t="n">
        <v>6.7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20520-2021</t>
        </is>
      </c>
      <c r="B690" s="1" t="n">
        <v>44315</v>
      </c>
      <c r="C690" s="1" t="n">
        <v>45181</v>
      </c>
      <c r="D690" t="inlineStr">
        <is>
          <t>VÄSTERNORRLANDS LÄN</t>
        </is>
      </c>
      <c r="E690" t="inlineStr">
        <is>
          <t>SUNDSVALL</t>
        </is>
      </c>
      <c r="G690" t="n">
        <v>2.3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20698-2021</t>
        </is>
      </c>
      <c r="B691" s="1" t="n">
        <v>44316</v>
      </c>
      <c r="C691" s="1" t="n">
        <v>45181</v>
      </c>
      <c r="D691" t="inlineStr">
        <is>
          <t>VÄSTERNORRLANDS LÄN</t>
        </is>
      </c>
      <c r="E691" t="inlineStr">
        <is>
          <t>SUNDSVALL</t>
        </is>
      </c>
      <c r="G691" t="n">
        <v>5.2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20713-2021</t>
        </is>
      </c>
      <c r="B692" s="1" t="n">
        <v>44316</v>
      </c>
      <c r="C692" s="1" t="n">
        <v>45181</v>
      </c>
      <c r="D692" t="inlineStr">
        <is>
          <t>VÄSTERNORRLANDS LÄN</t>
        </is>
      </c>
      <c r="E692" t="inlineStr">
        <is>
          <t>SUNDSVALL</t>
        </is>
      </c>
      <c r="G692" t="n">
        <v>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21099-2021</t>
        </is>
      </c>
      <c r="B693" s="1" t="n">
        <v>44319</v>
      </c>
      <c r="C693" s="1" t="n">
        <v>45181</v>
      </c>
      <c r="D693" t="inlineStr">
        <is>
          <t>VÄSTERNORRLANDS LÄN</t>
        </is>
      </c>
      <c r="E693" t="inlineStr">
        <is>
          <t>SUNDSVALL</t>
        </is>
      </c>
      <c r="F693" t="inlineStr">
        <is>
          <t>SCA</t>
        </is>
      </c>
      <c r="G693" t="n">
        <v>3.9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21102-2021</t>
        </is>
      </c>
      <c r="B694" s="1" t="n">
        <v>44319</v>
      </c>
      <c r="C694" s="1" t="n">
        <v>45181</v>
      </c>
      <c r="D694" t="inlineStr">
        <is>
          <t>VÄSTERNORRLANDS LÄN</t>
        </is>
      </c>
      <c r="E694" t="inlineStr">
        <is>
          <t>SUNDSVALL</t>
        </is>
      </c>
      <c r="G694" t="n">
        <v>3.1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21370-2021</t>
        </is>
      </c>
      <c r="B695" s="1" t="n">
        <v>44320</v>
      </c>
      <c r="C695" s="1" t="n">
        <v>45181</v>
      </c>
      <c r="D695" t="inlineStr">
        <is>
          <t>VÄSTERNORRLANDS LÄN</t>
        </is>
      </c>
      <c r="E695" t="inlineStr">
        <is>
          <t>SUNDSVALL</t>
        </is>
      </c>
      <c r="G695" t="n">
        <v>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21427-2021</t>
        </is>
      </c>
      <c r="B696" s="1" t="n">
        <v>44320</v>
      </c>
      <c r="C696" s="1" t="n">
        <v>45181</v>
      </c>
      <c r="D696" t="inlineStr">
        <is>
          <t>VÄSTERNORRLANDS LÄN</t>
        </is>
      </c>
      <c r="E696" t="inlineStr">
        <is>
          <t>SUNDSVALL</t>
        </is>
      </c>
      <c r="G696" t="n">
        <v>0.9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22420-2021</t>
        </is>
      </c>
      <c r="B697" s="1" t="n">
        <v>44326</v>
      </c>
      <c r="C697" s="1" t="n">
        <v>45181</v>
      </c>
      <c r="D697" t="inlineStr">
        <is>
          <t>VÄSTERNORRLANDS LÄN</t>
        </is>
      </c>
      <c r="E697" t="inlineStr">
        <is>
          <t>SUNDSVALL</t>
        </is>
      </c>
      <c r="F697" t="inlineStr">
        <is>
          <t>Kyrkan</t>
        </is>
      </c>
      <c r="G697" t="n">
        <v>21.9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22336-2021</t>
        </is>
      </c>
      <c r="B698" s="1" t="n">
        <v>44326</v>
      </c>
      <c r="C698" s="1" t="n">
        <v>45181</v>
      </c>
      <c r="D698" t="inlineStr">
        <is>
          <t>VÄSTERNORRLANDS LÄN</t>
        </is>
      </c>
      <c r="E698" t="inlineStr">
        <is>
          <t>SUNDSVALL</t>
        </is>
      </c>
      <c r="G698" t="n">
        <v>0.4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22395-2021</t>
        </is>
      </c>
      <c r="B699" s="1" t="n">
        <v>44326</v>
      </c>
      <c r="C699" s="1" t="n">
        <v>45181</v>
      </c>
      <c r="D699" t="inlineStr">
        <is>
          <t>VÄSTERNORRLANDS LÄN</t>
        </is>
      </c>
      <c r="E699" t="inlineStr">
        <is>
          <t>SUNDSVALL</t>
        </is>
      </c>
      <c r="G699" t="n">
        <v>8.6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23480-2021</t>
        </is>
      </c>
      <c r="B700" s="1" t="n">
        <v>44333</v>
      </c>
      <c r="C700" s="1" t="n">
        <v>45181</v>
      </c>
      <c r="D700" t="inlineStr">
        <is>
          <t>VÄSTERNORRLANDS LÄN</t>
        </is>
      </c>
      <c r="E700" t="inlineStr">
        <is>
          <t>SUNDSVALL</t>
        </is>
      </c>
      <c r="F700" t="inlineStr">
        <is>
          <t>SCA</t>
        </is>
      </c>
      <c r="G700" t="n">
        <v>10.5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23951-2021</t>
        </is>
      </c>
      <c r="B701" s="1" t="n">
        <v>44335</v>
      </c>
      <c r="C701" s="1" t="n">
        <v>45181</v>
      </c>
      <c r="D701" t="inlineStr">
        <is>
          <t>VÄSTERNORRLANDS LÄN</t>
        </is>
      </c>
      <c r="E701" t="inlineStr">
        <is>
          <t>SUNDSVALL</t>
        </is>
      </c>
      <c r="G701" t="n">
        <v>3.3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24068-2021</t>
        </is>
      </c>
      <c r="B702" s="1" t="n">
        <v>44336</v>
      </c>
      <c r="C702" s="1" t="n">
        <v>45181</v>
      </c>
      <c r="D702" t="inlineStr">
        <is>
          <t>VÄSTERNORRLANDS LÄN</t>
        </is>
      </c>
      <c r="E702" t="inlineStr">
        <is>
          <t>SUNDSVALL</t>
        </is>
      </c>
      <c r="G702" t="n">
        <v>39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24853-2021</t>
        </is>
      </c>
      <c r="B703" s="1" t="n">
        <v>44340</v>
      </c>
      <c r="C703" s="1" t="n">
        <v>45181</v>
      </c>
      <c r="D703" t="inlineStr">
        <is>
          <t>VÄSTERNORRLANDS LÄN</t>
        </is>
      </c>
      <c r="E703" t="inlineStr">
        <is>
          <t>SUNDSVALL</t>
        </is>
      </c>
      <c r="G703" t="n">
        <v>3.2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25148-2021</t>
        </is>
      </c>
      <c r="B704" s="1" t="n">
        <v>44341</v>
      </c>
      <c r="C704" s="1" t="n">
        <v>45181</v>
      </c>
      <c r="D704" t="inlineStr">
        <is>
          <t>VÄSTERNORRLANDS LÄN</t>
        </is>
      </c>
      <c r="E704" t="inlineStr">
        <is>
          <t>SUNDSVALL</t>
        </is>
      </c>
      <c r="G704" t="n">
        <v>0.6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25147-2021</t>
        </is>
      </c>
      <c r="B705" s="1" t="n">
        <v>44341</v>
      </c>
      <c r="C705" s="1" t="n">
        <v>45181</v>
      </c>
      <c r="D705" t="inlineStr">
        <is>
          <t>VÄSTERNORRLANDS LÄN</t>
        </is>
      </c>
      <c r="E705" t="inlineStr">
        <is>
          <t>SUNDSVALL</t>
        </is>
      </c>
      <c r="G705" t="n">
        <v>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25484-2021</t>
        </is>
      </c>
      <c r="B706" s="1" t="n">
        <v>44342</v>
      </c>
      <c r="C706" s="1" t="n">
        <v>45181</v>
      </c>
      <c r="D706" t="inlineStr">
        <is>
          <t>VÄSTERNORRLANDS LÄN</t>
        </is>
      </c>
      <c r="E706" t="inlineStr">
        <is>
          <t>SUNDSVALL</t>
        </is>
      </c>
      <c r="G706" t="n">
        <v>1.8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25748-2021</t>
        </is>
      </c>
      <c r="B707" s="1" t="n">
        <v>44343</v>
      </c>
      <c r="C707" s="1" t="n">
        <v>45181</v>
      </c>
      <c r="D707" t="inlineStr">
        <is>
          <t>VÄSTERNORRLANDS LÄN</t>
        </is>
      </c>
      <c r="E707" t="inlineStr">
        <is>
          <t>SUNDSVALL</t>
        </is>
      </c>
      <c r="F707" t="inlineStr">
        <is>
          <t>Kyrkan</t>
        </is>
      </c>
      <c r="G707" t="n">
        <v>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25747-2021</t>
        </is>
      </c>
      <c r="B708" s="1" t="n">
        <v>44343</v>
      </c>
      <c r="C708" s="1" t="n">
        <v>45181</v>
      </c>
      <c r="D708" t="inlineStr">
        <is>
          <t>VÄSTERNORRLANDS LÄN</t>
        </is>
      </c>
      <c r="E708" t="inlineStr">
        <is>
          <t>SUNDSVALL</t>
        </is>
      </c>
      <c r="F708" t="inlineStr">
        <is>
          <t>Kyrkan</t>
        </is>
      </c>
      <c r="G708" t="n">
        <v>2.9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26108-2021</t>
        </is>
      </c>
      <c r="B709" s="1" t="n">
        <v>44344</v>
      </c>
      <c r="C709" s="1" t="n">
        <v>45181</v>
      </c>
      <c r="D709" t="inlineStr">
        <is>
          <t>VÄSTERNORRLANDS LÄN</t>
        </is>
      </c>
      <c r="E709" t="inlineStr">
        <is>
          <t>SUNDSVALL</t>
        </is>
      </c>
      <c r="G709" t="n">
        <v>5.1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26089-2021</t>
        </is>
      </c>
      <c r="B710" s="1" t="n">
        <v>44344</v>
      </c>
      <c r="C710" s="1" t="n">
        <v>45181</v>
      </c>
      <c r="D710" t="inlineStr">
        <is>
          <t>VÄSTERNORRLANDS LÄN</t>
        </is>
      </c>
      <c r="E710" t="inlineStr">
        <is>
          <t>SUNDSVALL</t>
        </is>
      </c>
      <c r="G710" t="n">
        <v>0.8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26424-2021</t>
        </is>
      </c>
      <c r="B711" s="1" t="n">
        <v>44347</v>
      </c>
      <c r="C711" s="1" t="n">
        <v>45181</v>
      </c>
      <c r="D711" t="inlineStr">
        <is>
          <t>VÄSTERNORRLANDS LÄN</t>
        </is>
      </c>
      <c r="E711" t="inlineStr">
        <is>
          <t>SUNDSVALL</t>
        </is>
      </c>
      <c r="G711" t="n">
        <v>0.8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26396-2021</t>
        </is>
      </c>
      <c r="B712" s="1" t="n">
        <v>44347</v>
      </c>
      <c r="C712" s="1" t="n">
        <v>45181</v>
      </c>
      <c r="D712" t="inlineStr">
        <is>
          <t>VÄSTERNORRLANDS LÄN</t>
        </is>
      </c>
      <c r="E712" t="inlineStr">
        <is>
          <t>SUNDSVALL</t>
        </is>
      </c>
      <c r="G712" t="n">
        <v>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27015-2021</t>
        </is>
      </c>
      <c r="B713" s="1" t="n">
        <v>44349</v>
      </c>
      <c r="C713" s="1" t="n">
        <v>45181</v>
      </c>
      <c r="D713" t="inlineStr">
        <is>
          <t>VÄSTERNORRLANDS LÄN</t>
        </is>
      </c>
      <c r="E713" t="inlineStr">
        <is>
          <t>SUNDSVALL</t>
        </is>
      </c>
      <c r="G713" t="n">
        <v>1.7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26950-2021</t>
        </is>
      </c>
      <c r="B714" s="1" t="n">
        <v>44349</v>
      </c>
      <c r="C714" s="1" t="n">
        <v>45181</v>
      </c>
      <c r="D714" t="inlineStr">
        <is>
          <t>VÄSTERNORRLANDS LÄN</t>
        </is>
      </c>
      <c r="E714" t="inlineStr">
        <is>
          <t>SUNDSVALL</t>
        </is>
      </c>
      <c r="G714" t="n">
        <v>2.5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27238-2021</t>
        </is>
      </c>
      <c r="B715" s="1" t="n">
        <v>44350</v>
      </c>
      <c r="C715" s="1" t="n">
        <v>45181</v>
      </c>
      <c r="D715" t="inlineStr">
        <is>
          <t>VÄSTERNORRLANDS LÄN</t>
        </is>
      </c>
      <c r="E715" t="inlineStr">
        <is>
          <t>SUNDSVALL</t>
        </is>
      </c>
      <c r="G715" t="n">
        <v>1.8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27170-2021</t>
        </is>
      </c>
      <c r="B716" s="1" t="n">
        <v>44350</v>
      </c>
      <c r="C716" s="1" t="n">
        <v>45181</v>
      </c>
      <c r="D716" t="inlineStr">
        <is>
          <t>VÄSTERNORRLANDS LÄN</t>
        </is>
      </c>
      <c r="E716" t="inlineStr">
        <is>
          <t>SUNDSVALL</t>
        </is>
      </c>
      <c r="G716" t="n">
        <v>7.2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27959-2021</t>
        </is>
      </c>
      <c r="B717" s="1" t="n">
        <v>44354</v>
      </c>
      <c r="C717" s="1" t="n">
        <v>45181</v>
      </c>
      <c r="D717" t="inlineStr">
        <is>
          <t>VÄSTERNORRLANDS LÄN</t>
        </is>
      </c>
      <c r="E717" t="inlineStr">
        <is>
          <t>SUNDSVALL</t>
        </is>
      </c>
      <c r="G717" t="n">
        <v>1.3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28264-2021</t>
        </is>
      </c>
      <c r="B718" s="1" t="n">
        <v>44355</v>
      </c>
      <c r="C718" s="1" t="n">
        <v>45181</v>
      </c>
      <c r="D718" t="inlineStr">
        <is>
          <t>VÄSTERNORRLANDS LÄN</t>
        </is>
      </c>
      <c r="E718" t="inlineStr">
        <is>
          <t>SUNDSVALL</t>
        </is>
      </c>
      <c r="G718" t="n">
        <v>0.1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28238-2021</t>
        </is>
      </c>
      <c r="B719" s="1" t="n">
        <v>44355</v>
      </c>
      <c r="C719" s="1" t="n">
        <v>45181</v>
      </c>
      <c r="D719" t="inlineStr">
        <is>
          <t>VÄSTERNORRLANDS LÄN</t>
        </is>
      </c>
      <c r="E719" t="inlineStr">
        <is>
          <t>SUNDSVALL</t>
        </is>
      </c>
      <c r="G719" t="n">
        <v>0.4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28594-2021</t>
        </is>
      </c>
      <c r="B720" s="1" t="n">
        <v>44356</v>
      </c>
      <c r="C720" s="1" t="n">
        <v>45181</v>
      </c>
      <c r="D720" t="inlineStr">
        <is>
          <t>VÄSTERNORRLANDS LÄN</t>
        </is>
      </c>
      <c r="E720" t="inlineStr">
        <is>
          <t>SUNDSVALL</t>
        </is>
      </c>
      <c r="G720" t="n">
        <v>1.2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28595-2021</t>
        </is>
      </c>
      <c r="B721" s="1" t="n">
        <v>44356</v>
      </c>
      <c r="C721" s="1" t="n">
        <v>45181</v>
      </c>
      <c r="D721" t="inlineStr">
        <is>
          <t>VÄSTERNORRLANDS LÄN</t>
        </is>
      </c>
      <c r="E721" t="inlineStr">
        <is>
          <t>SUNDSVALL</t>
        </is>
      </c>
      <c r="G721" t="n">
        <v>1.8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28341-2021</t>
        </is>
      </c>
      <c r="B722" s="1" t="n">
        <v>44356</v>
      </c>
      <c r="C722" s="1" t="n">
        <v>45181</v>
      </c>
      <c r="D722" t="inlineStr">
        <is>
          <t>VÄSTERNORRLANDS LÄN</t>
        </is>
      </c>
      <c r="E722" t="inlineStr">
        <is>
          <t>SUNDSVALL</t>
        </is>
      </c>
      <c r="G722" t="n">
        <v>0.9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28829-2021</t>
        </is>
      </c>
      <c r="B723" s="1" t="n">
        <v>44357</v>
      </c>
      <c r="C723" s="1" t="n">
        <v>45181</v>
      </c>
      <c r="D723" t="inlineStr">
        <is>
          <t>VÄSTERNORRLANDS LÄN</t>
        </is>
      </c>
      <c r="E723" t="inlineStr">
        <is>
          <t>SUNDSVALL</t>
        </is>
      </c>
      <c r="F723" t="inlineStr">
        <is>
          <t>Holmen skog AB</t>
        </is>
      </c>
      <c r="G723" t="n">
        <v>1.7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28684-2021</t>
        </is>
      </c>
      <c r="B724" s="1" t="n">
        <v>44357</v>
      </c>
      <c r="C724" s="1" t="n">
        <v>45181</v>
      </c>
      <c r="D724" t="inlineStr">
        <is>
          <t>VÄSTERNORRLANDS LÄN</t>
        </is>
      </c>
      <c r="E724" t="inlineStr">
        <is>
          <t>SUNDSVALL</t>
        </is>
      </c>
      <c r="G724" t="n">
        <v>12.2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29292-2021</t>
        </is>
      </c>
      <c r="B725" s="1" t="n">
        <v>44358</v>
      </c>
      <c r="C725" s="1" t="n">
        <v>45181</v>
      </c>
      <c r="D725" t="inlineStr">
        <is>
          <t>VÄSTERNORRLANDS LÄN</t>
        </is>
      </c>
      <c r="E725" t="inlineStr">
        <is>
          <t>SUNDSVALL</t>
        </is>
      </c>
      <c r="G725" t="n">
        <v>0.2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29468-2021</t>
        </is>
      </c>
      <c r="B726" s="1" t="n">
        <v>44361</v>
      </c>
      <c r="C726" s="1" t="n">
        <v>45181</v>
      </c>
      <c r="D726" t="inlineStr">
        <is>
          <t>VÄSTERNORRLANDS LÄN</t>
        </is>
      </c>
      <c r="E726" t="inlineStr">
        <is>
          <t>SUNDSVALL</t>
        </is>
      </c>
      <c r="G726" t="n">
        <v>2.5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29403-2021</t>
        </is>
      </c>
      <c r="B727" s="1" t="n">
        <v>44361</v>
      </c>
      <c r="C727" s="1" t="n">
        <v>45181</v>
      </c>
      <c r="D727" t="inlineStr">
        <is>
          <t>VÄSTERNORRLANDS LÄN</t>
        </is>
      </c>
      <c r="E727" t="inlineStr">
        <is>
          <t>SUNDSVALL</t>
        </is>
      </c>
      <c r="G727" t="n">
        <v>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29576-2021</t>
        </is>
      </c>
      <c r="B728" s="1" t="n">
        <v>44361</v>
      </c>
      <c r="C728" s="1" t="n">
        <v>45181</v>
      </c>
      <c r="D728" t="inlineStr">
        <is>
          <t>VÄSTERNORRLANDS LÄN</t>
        </is>
      </c>
      <c r="E728" t="inlineStr">
        <is>
          <t>SUNDSVALL</t>
        </is>
      </c>
      <c r="G728" t="n">
        <v>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29584-2021</t>
        </is>
      </c>
      <c r="B729" s="1" t="n">
        <v>44361</v>
      </c>
      <c r="C729" s="1" t="n">
        <v>45181</v>
      </c>
      <c r="D729" t="inlineStr">
        <is>
          <t>VÄSTERNORRLANDS LÄN</t>
        </is>
      </c>
      <c r="E729" t="inlineStr">
        <is>
          <t>SUNDSVALL</t>
        </is>
      </c>
      <c r="G729" t="n">
        <v>14.6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29643-2021</t>
        </is>
      </c>
      <c r="B730" s="1" t="n">
        <v>44361</v>
      </c>
      <c r="C730" s="1" t="n">
        <v>45181</v>
      </c>
      <c r="D730" t="inlineStr">
        <is>
          <t>VÄSTERNORRLANDS LÄN</t>
        </is>
      </c>
      <c r="E730" t="inlineStr">
        <is>
          <t>SUNDSVALL</t>
        </is>
      </c>
      <c r="F730" t="inlineStr">
        <is>
          <t>SCA</t>
        </is>
      </c>
      <c r="G730" t="n">
        <v>15.2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29535-2021</t>
        </is>
      </c>
      <c r="B731" s="1" t="n">
        <v>44361</v>
      </c>
      <c r="C731" s="1" t="n">
        <v>45181</v>
      </c>
      <c r="D731" t="inlineStr">
        <is>
          <t>VÄSTERNORRLANDS LÄN</t>
        </is>
      </c>
      <c r="E731" t="inlineStr">
        <is>
          <t>SUNDSVALL</t>
        </is>
      </c>
      <c r="G731" t="n">
        <v>1.9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29577-2021</t>
        </is>
      </c>
      <c r="B732" s="1" t="n">
        <v>44361</v>
      </c>
      <c r="C732" s="1" t="n">
        <v>45181</v>
      </c>
      <c r="D732" t="inlineStr">
        <is>
          <t>VÄSTERNORRLANDS LÄN</t>
        </is>
      </c>
      <c r="E732" t="inlineStr">
        <is>
          <t>SUNDSVALL</t>
        </is>
      </c>
      <c r="G732" t="n">
        <v>2.3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30460-2021</t>
        </is>
      </c>
      <c r="B733" s="1" t="n">
        <v>44364</v>
      </c>
      <c r="C733" s="1" t="n">
        <v>45181</v>
      </c>
      <c r="D733" t="inlineStr">
        <is>
          <t>VÄSTERNORRLANDS LÄN</t>
        </is>
      </c>
      <c r="E733" t="inlineStr">
        <is>
          <t>SUNDSVALL</t>
        </is>
      </c>
      <c r="G733" t="n">
        <v>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30450-2021</t>
        </is>
      </c>
      <c r="B734" s="1" t="n">
        <v>44364</v>
      </c>
      <c r="C734" s="1" t="n">
        <v>45181</v>
      </c>
      <c r="D734" t="inlineStr">
        <is>
          <t>VÄSTERNORRLANDS LÄN</t>
        </is>
      </c>
      <c r="E734" t="inlineStr">
        <is>
          <t>SUNDSVALL</t>
        </is>
      </c>
      <c r="G734" t="n">
        <v>6.3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32285-2021</t>
        </is>
      </c>
      <c r="B735" s="1" t="n">
        <v>44371</v>
      </c>
      <c r="C735" s="1" t="n">
        <v>45181</v>
      </c>
      <c r="D735" t="inlineStr">
        <is>
          <t>VÄSTERNORRLANDS LÄN</t>
        </is>
      </c>
      <c r="E735" t="inlineStr">
        <is>
          <t>SUNDSVALL</t>
        </is>
      </c>
      <c r="G735" t="n">
        <v>3.9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32335-2021</t>
        </is>
      </c>
      <c r="B736" s="1" t="n">
        <v>44371</v>
      </c>
      <c r="C736" s="1" t="n">
        <v>45181</v>
      </c>
      <c r="D736" t="inlineStr">
        <is>
          <t>VÄSTERNORRLANDS LÄN</t>
        </is>
      </c>
      <c r="E736" t="inlineStr">
        <is>
          <t>SUNDSVALL</t>
        </is>
      </c>
      <c r="G736" t="n">
        <v>3.1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32275-2021</t>
        </is>
      </c>
      <c r="B737" s="1" t="n">
        <v>44371</v>
      </c>
      <c r="C737" s="1" t="n">
        <v>45181</v>
      </c>
      <c r="D737" t="inlineStr">
        <is>
          <t>VÄSTERNORRLANDS LÄN</t>
        </is>
      </c>
      <c r="E737" t="inlineStr">
        <is>
          <t>SUNDSVALL</t>
        </is>
      </c>
      <c r="G737" t="n">
        <v>3.9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32172-2021</t>
        </is>
      </c>
      <c r="B738" s="1" t="n">
        <v>44371</v>
      </c>
      <c r="C738" s="1" t="n">
        <v>45181</v>
      </c>
      <c r="D738" t="inlineStr">
        <is>
          <t>VÄSTERNORRLANDS LÄN</t>
        </is>
      </c>
      <c r="E738" t="inlineStr">
        <is>
          <t>SUNDSVALL</t>
        </is>
      </c>
      <c r="G738" t="n">
        <v>0.5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32183-2021</t>
        </is>
      </c>
      <c r="B739" s="1" t="n">
        <v>44371</v>
      </c>
      <c r="C739" s="1" t="n">
        <v>45181</v>
      </c>
      <c r="D739" t="inlineStr">
        <is>
          <t>VÄSTERNORRLANDS LÄN</t>
        </is>
      </c>
      <c r="E739" t="inlineStr">
        <is>
          <t>SUNDSVALL</t>
        </is>
      </c>
      <c r="G739" t="n">
        <v>1.7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32203-2021</t>
        </is>
      </c>
      <c r="B740" s="1" t="n">
        <v>44371</v>
      </c>
      <c r="C740" s="1" t="n">
        <v>45181</v>
      </c>
      <c r="D740" t="inlineStr">
        <is>
          <t>VÄSTERNORRLANDS LÄN</t>
        </is>
      </c>
      <c r="E740" t="inlineStr">
        <is>
          <t>SUNDSVALL</t>
        </is>
      </c>
      <c r="G740" t="n">
        <v>0.7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34643-2021</t>
        </is>
      </c>
      <c r="B741" s="1" t="n">
        <v>44379</v>
      </c>
      <c r="C741" s="1" t="n">
        <v>45181</v>
      </c>
      <c r="D741" t="inlineStr">
        <is>
          <t>VÄSTERNORRLANDS LÄN</t>
        </is>
      </c>
      <c r="E741" t="inlineStr">
        <is>
          <t>SUNDSVALL</t>
        </is>
      </c>
      <c r="G741" t="n">
        <v>1.5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34612-2021</t>
        </is>
      </c>
      <c r="B742" s="1" t="n">
        <v>44379</v>
      </c>
      <c r="C742" s="1" t="n">
        <v>45181</v>
      </c>
      <c r="D742" t="inlineStr">
        <is>
          <t>VÄSTERNORRLANDS LÄN</t>
        </is>
      </c>
      <c r="E742" t="inlineStr">
        <is>
          <t>SUNDSVALL</t>
        </is>
      </c>
      <c r="G742" t="n">
        <v>0.4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34931-2021</t>
        </is>
      </c>
      <c r="B743" s="1" t="n">
        <v>44379</v>
      </c>
      <c r="C743" s="1" t="n">
        <v>45181</v>
      </c>
      <c r="D743" t="inlineStr">
        <is>
          <t>VÄSTERNORRLANDS LÄN</t>
        </is>
      </c>
      <c r="E743" t="inlineStr">
        <is>
          <t>SUNDSVALL</t>
        </is>
      </c>
      <c r="G743" t="n">
        <v>2.2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34605-2021</t>
        </is>
      </c>
      <c r="B744" s="1" t="n">
        <v>44379</v>
      </c>
      <c r="C744" s="1" t="n">
        <v>45181</v>
      </c>
      <c r="D744" t="inlineStr">
        <is>
          <t>VÄSTERNORRLANDS LÄN</t>
        </is>
      </c>
      <c r="E744" t="inlineStr">
        <is>
          <t>SUNDSVALL</t>
        </is>
      </c>
      <c r="G744" t="n">
        <v>1.1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35318-2021</t>
        </is>
      </c>
      <c r="B745" s="1" t="n">
        <v>44384</v>
      </c>
      <c r="C745" s="1" t="n">
        <v>45181</v>
      </c>
      <c r="D745" t="inlineStr">
        <is>
          <t>VÄSTERNORRLANDS LÄN</t>
        </is>
      </c>
      <c r="E745" t="inlineStr">
        <is>
          <t>SUNDSVALL</t>
        </is>
      </c>
      <c r="G745" t="n">
        <v>2.6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36809-2021</t>
        </is>
      </c>
      <c r="B746" s="1" t="n">
        <v>44392</v>
      </c>
      <c r="C746" s="1" t="n">
        <v>45181</v>
      </c>
      <c r="D746" t="inlineStr">
        <is>
          <t>VÄSTERNORRLANDS LÄN</t>
        </is>
      </c>
      <c r="E746" t="inlineStr">
        <is>
          <t>SUNDSVALL</t>
        </is>
      </c>
      <c r="G746" t="n">
        <v>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37232-2021</t>
        </is>
      </c>
      <c r="B747" s="1" t="n">
        <v>44396</v>
      </c>
      <c r="C747" s="1" t="n">
        <v>45181</v>
      </c>
      <c r="D747" t="inlineStr">
        <is>
          <t>VÄSTERNORRLANDS LÄN</t>
        </is>
      </c>
      <c r="E747" t="inlineStr">
        <is>
          <t>SUNDSVALL</t>
        </is>
      </c>
      <c r="F747" t="inlineStr">
        <is>
          <t>SCA</t>
        </is>
      </c>
      <c r="G747" t="n">
        <v>1.6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37231-2021</t>
        </is>
      </c>
      <c r="B748" s="1" t="n">
        <v>44396</v>
      </c>
      <c r="C748" s="1" t="n">
        <v>45181</v>
      </c>
      <c r="D748" t="inlineStr">
        <is>
          <t>VÄSTERNORRLANDS LÄN</t>
        </is>
      </c>
      <c r="E748" t="inlineStr">
        <is>
          <t>SUNDSVALL</t>
        </is>
      </c>
      <c r="F748" t="inlineStr">
        <is>
          <t>SCA</t>
        </is>
      </c>
      <c r="G748" t="n">
        <v>7.3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37611-2021</t>
        </is>
      </c>
      <c r="B749" s="1" t="n">
        <v>44399</v>
      </c>
      <c r="C749" s="1" t="n">
        <v>45181</v>
      </c>
      <c r="D749" t="inlineStr">
        <is>
          <t>VÄSTERNORRLANDS LÄN</t>
        </is>
      </c>
      <c r="E749" t="inlineStr">
        <is>
          <t>SUNDSVALL</t>
        </is>
      </c>
      <c r="F749" t="inlineStr">
        <is>
          <t>SCA</t>
        </is>
      </c>
      <c r="G749" t="n">
        <v>3.5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37617-2021</t>
        </is>
      </c>
      <c r="B750" s="1" t="n">
        <v>44399</v>
      </c>
      <c r="C750" s="1" t="n">
        <v>45181</v>
      </c>
      <c r="D750" t="inlineStr">
        <is>
          <t>VÄSTERNORRLANDS LÄN</t>
        </is>
      </c>
      <c r="E750" t="inlineStr">
        <is>
          <t>SUNDSVALL</t>
        </is>
      </c>
      <c r="G750" t="n">
        <v>6.8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37718-2021</t>
        </is>
      </c>
      <c r="B751" s="1" t="n">
        <v>44400</v>
      </c>
      <c r="C751" s="1" t="n">
        <v>45181</v>
      </c>
      <c r="D751" t="inlineStr">
        <is>
          <t>VÄSTERNORRLANDS LÄN</t>
        </is>
      </c>
      <c r="E751" t="inlineStr">
        <is>
          <t>SUNDSVALL</t>
        </is>
      </c>
      <c r="G751" t="n">
        <v>7.2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37708-2021</t>
        </is>
      </c>
      <c r="B752" s="1" t="n">
        <v>44400</v>
      </c>
      <c r="C752" s="1" t="n">
        <v>45181</v>
      </c>
      <c r="D752" t="inlineStr">
        <is>
          <t>VÄSTERNORRLANDS LÄN</t>
        </is>
      </c>
      <c r="E752" t="inlineStr">
        <is>
          <t>SUNDSVALL</t>
        </is>
      </c>
      <c r="G752" t="n">
        <v>1.4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37704-2021</t>
        </is>
      </c>
      <c r="B753" s="1" t="n">
        <v>44400</v>
      </c>
      <c r="C753" s="1" t="n">
        <v>45181</v>
      </c>
      <c r="D753" t="inlineStr">
        <is>
          <t>VÄSTERNORRLANDS LÄN</t>
        </is>
      </c>
      <c r="E753" t="inlineStr">
        <is>
          <t>SUNDSVALL</t>
        </is>
      </c>
      <c r="G753" t="n">
        <v>1.8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38306-2021</t>
        </is>
      </c>
      <c r="B754" s="1" t="n">
        <v>44406</v>
      </c>
      <c r="C754" s="1" t="n">
        <v>45181</v>
      </c>
      <c r="D754" t="inlineStr">
        <is>
          <t>VÄSTERNORRLANDS LÄN</t>
        </is>
      </c>
      <c r="E754" t="inlineStr">
        <is>
          <t>SUNDSVALL</t>
        </is>
      </c>
      <c r="G754" t="n">
        <v>1.7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39169-2021</t>
        </is>
      </c>
      <c r="B755" s="1" t="n">
        <v>44412</v>
      </c>
      <c r="C755" s="1" t="n">
        <v>45181</v>
      </c>
      <c r="D755" t="inlineStr">
        <is>
          <t>VÄSTERNORRLANDS LÄN</t>
        </is>
      </c>
      <c r="E755" t="inlineStr">
        <is>
          <t>SUNDSVALL</t>
        </is>
      </c>
      <c r="G755" t="n">
        <v>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39502-2021</t>
        </is>
      </c>
      <c r="B756" s="1" t="n">
        <v>44414</v>
      </c>
      <c r="C756" s="1" t="n">
        <v>45181</v>
      </c>
      <c r="D756" t="inlineStr">
        <is>
          <t>VÄSTERNORRLANDS LÄN</t>
        </is>
      </c>
      <c r="E756" t="inlineStr">
        <is>
          <t>SUNDSVALL</t>
        </is>
      </c>
      <c r="G756" t="n">
        <v>0.8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39676-2021</t>
        </is>
      </c>
      <c r="B757" s="1" t="n">
        <v>44414</v>
      </c>
      <c r="C757" s="1" t="n">
        <v>45181</v>
      </c>
      <c r="D757" t="inlineStr">
        <is>
          <t>VÄSTERNORRLANDS LÄN</t>
        </is>
      </c>
      <c r="E757" t="inlineStr">
        <is>
          <t>SUNDSVALL</t>
        </is>
      </c>
      <c r="G757" t="n">
        <v>2.8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39503-2021</t>
        </is>
      </c>
      <c r="B758" s="1" t="n">
        <v>44414</v>
      </c>
      <c r="C758" s="1" t="n">
        <v>45181</v>
      </c>
      <c r="D758" t="inlineStr">
        <is>
          <t>VÄSTERNORRLANDS LÄN</t>
        </is>
      </c>
      <c r="E758" t="inlineStr">
        <is>
          <t>SUNDSVALL</t>
        </is>
      </c>
      <c r="G758" t="n">
        <v>0.8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39929-2021</t>
        </is>
      </c>
      <c r="B759" s="1" t="n">
        <v>44417</v>
      </c>
      <c r="C759" s="1" t="n">
        <v>45181</v>
      </c>
      <c r="D759" t="inlineStr">
        <is>
          <t>VÄSTERNORRLANDS LÄN</t>
        </is>
      </c>
      <c r="E759" t="inlineStr">
        <is>
          <t>SUNDSVALL</t>
        </is>
      </c>
      <c r="F759" t="inlineStr">
        <is>
          <t>SCA</t>
        </is>
      </c>
      <c r="G759" t="n">
        <v>3.3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39933-2021</t>
        </is>
      </c>
      <c r="B760" s="1" t="n">
        <v>44417</v>
      </c>
      <c r="C760" s="1" t="n">
        <v>45181</v>
      </c>
      <c r="D760" t="inlineStr">
        <is>
          <t>VÄSTERNORRLANDS LÄN</t>
        </is>
      </c>
      <c r="E760" t="inlineStr">
        <is>
          <t>SUNDSVALL</t>
        </is>
      </c>
      <c r="F760" t="inlineStr">
        <is>
          <t>SCA</t>
        </is>
      </c>
      <c r="G760" t="n">
        <v>3.9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40534-2021</t>
        </is>
      </c>
      <c r="B761" s="1" t="n">
        <v>44420</v>
      </c>
      <c r="C761" s="1" t="n">
        <v>45181</v>
      </c>
      <c r="D761" t="inlineStr">
        <is>
          <t>VÄSTERNORRLANDS LÄN</t>
        </is>
      </c>
      <c r="E761" t="inlineStr">
        <is>
          <t>SUNDSVALL</t>
        </is>
      </c>
      <c r="F761" t="inlineStr">
        <is>
          <t>Holmen skog AB</t>
        </is>
      </c>
      <c r="G761" t="n">
        <v>6.8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41485-2021</t>
        </is>
      </c>
      <c r="B762" s="1" t="n">
        <v>44424</v>
      </c>
      <c r="C762" s="1" t="n">
        <v>45181</v>
      </c>
      <c r="D762" t="inlineStr">
        <is>
          <t>VÄSTERNORRLANDS LÄN</t>
        </is>
      </c>
      <c r="E762" t="inlineStr">
        <is>
          <t>SUNDSVALL</t>
        </is>
      </c>
      <c r="F762" t="inlineStr">
        <is>
          <t>SCA</t>
        </is>
      </c>
      <c r="G762" t="n">
        <v>23.9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41469-2021</t>
        </is>
      </c>
      <c r="B763" s="1" t="n">
        <v>44424</v>
      </c>
      <c r="C763" s="1" t="n">
        <v>45181</v>
      </c>
      <c r="D763" t="inlineStr">
        <is>
          <t>VÄSTERNORRLANDS LÄN</t>
        </is>
      </c>
      <c r="E763" t="inlineStr">
        <is>
          <t>SUNDSVALL</t>
        </is>
      </c>
      <c r="G763" t="n">
        <v>3.3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42700-2021</t>
        </is>
      </c>
      <c r="B764" s="1" t="n">
        <v>44428</v>
      </c>
      <c r="C764" s="1" t="n">
        <v>45181</v>
      </c>
      <c r="D764" t="inlineStr">
        <is>
          <t>VÄSTERNORRLANDS LÄN</t>
        </is>
      </c>
      <c r="E764" t="inlineStr">
        <is>
          <t>SUNDSVALL</t>
        </is>
      </c>
      <c r="G764" t="n">
        <v>8.199999999999999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43194-2021</t>
        </is>
      </c>
      <c r="B765" s="1" t="n">
        <v>44431</v>
      </c>
      <c r="C765" s="1" t="n">
        <v>45181</v>
      </c>
      <c r="D765" t="inlineStr">
        <is>
          <t>VÄSTERNORRLANDS LÄN</t>
        </is>
      </c>
      <c r="E765" t="inlineStr">
        <is>
          <t>SUNDSVALL</t>
        </is>
      </c>
      <c r="G765" t="n">
        <v>1.1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43204-2021</t>
        </is>
      </c>
      <c r="B766" s="1" t="n">
        <v>44431</v>
      </c>
      <c r="C766" s="1" t="n">
        <v>45181</v>
      </c>
      <c r="D766" t="inlineStr">
        <is>
          <t>VÄSTERNORRLANDS LÄN</t>
        </is>
      </c>
      <c r="E766" t="inlineStr">
        <is>
          <t>SUNDSVALL</t>
        </is>
      </c>
      <c r="G766" t="n">
        <v>3.9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43195-2021</t>
        </is>
      </c>
      <c r="B767" s="1" t="n">
        <v>44431</v>
      </c>
      <c r="C767" s="1" t="n">
        <v>45181</v>
      </c>
      <c r="D767" t="inlineStr">
        <is>
          <t>VÄSTERNORRLANDS LÄN</t>
        </is>
      </c>
      <c r="E767" t="inlineStr">
        <is>
          <t>SUNDSVALL</t>
        </is>
      </c>
      <c r="G767" t="n">
        <v>3.7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43205-2021</t>
        </is>
      </c>
      <c r="B768" s="1" t="n">
        <v>44431</v>
      </c>
      <c r="C768" s="1" t="n">
        <v>45181</v>
      </c>
      <c r="D768" t="inlineStr">
        <is>
          <t>VÄSTERNORRLANDS LÄN</t>
        </is>
      </c>
      <c r="E768" t="inlineStr">
        <is>
          <t>SUNDSVALL</t>
        </is>
      </c>
      <c r="G768" t="n">
        <v>2.9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43834-2021</t>
        </is>
      </c>
      <c r="B769" s="1" t="n">
        <v>44433</v>
      </c>
      <c r="C769" s="1" t="n">
        <v>45181</v>
      </c>
      <c r="D769" t="inlineStr">
        <is>
          <t>VÄSTERNORRLANDS LÄN</t>
        </is>
      </c>
      <c r="E769" t="inlineStr">
        <is>
          <t>SUNDSVALL</t>
        </is>
      </c>
      <c r="G769" t="n">
        <v>1.3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44039-2021</t>
        </is>
      </c>
      <c r="B770" s="1" t="n">
        <v>44434</v>
      </c>
      <c r="C770" s="1" t="n">
        <v>45181</v>
      </c>
      <c r="D770" t="inlineStr">
        <is>
          <t>VÄSTERNORRLANDS LÄN</t>
        </is>
      </c>
      <c r="E770" t="inlineStr">
        <is>
          <t>SUNDSVALL</t>
        </is>
      </c>
      <c r="G770" t="n">
        <v>1.7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44030-2021</t>
        </is>
      </c>
      <c r="B771" s="1" t="n">
        <v>44434</v>
      </c>
      <c r="C771" s="1" t="n">
        <v>45181</v>
      </c>
      <c r="D771" t="inlineStr">
        <is>
          <t>VÄSTERNORRLANDS LÄN</t>
        </is>
      </c>
      <c r="E771" t="inlineStr">
        <is>
          <t>SUNDSVALL</t>
        </is>
      </c>
      <c r="G771" t="n">
        <v>2.7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44920-2021</t>
        </is>
      </c>
      <c r="B772" s="1" t="n">
        <v>44438</v>
      </c>
      <c r="C772" s="1" t="n">
        <v>45181</v>
      </c>
      <c r="D772" t="inlineStr">
        <is>
          <t>VÄSTERNORRLANDS LÄN</t>
        </is>
      </c>
      <c r="E772" t="inlineStr">
        <is>
          <t>SUNDSVALL</t>
        </is>
      </c>
      <c r="G772" t="n">
        <v>1.4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44934-2021</t>
        </is>
      </c>
      <c r="B773" s="1" t="n">
        <v>44438</v>
      </c>
      <c r="C773" s="1" t="n">
        <v>45181</v>
      </c>
      <c r="D773" t="inlineStr">
        <is>
          <t>VÄSTERNORRLANDS LÄN</t>
        </is>
      </c>
      <c r="E773" t="inlineStr">
        <is>
          <t>SUNDSVALL</t>
        </is>
      </c>
      <c r="G773" t="n">
        <v>1.4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45506-2021</t>
        </is>
      </c>
      <c r="B774" s="1" t="n">
        <v>44440</v>
      </c>
      <c r="C774" s="1" t="n">
        <v>45181</v>
      </c>
      <c r="D774" t="inlineStr">
        <is>
          <t>VÄSTERNORRLANDS LÄN</t>
        </is>
      </c>
      <c r="E774" t="inlineStr">
        <is>
          <t>SUNDSVALL</t>
        </is>
      </c>
      <c r="G774" t="n">
        <v>2.5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45646-2021</t>
        </is>
      </c>
      <c r="B775" s="1" t="n">
        <v>44440</v>
      </c>
      <c r="C775" s="1" t="n">
        <v>45181</v>
      </c>
      <c r="D775" t="inlineStr">
        <is>
          <t>VÄSTERNORRLANDS LÄN</t>
        </is>
      </c>
      <c r="E775" t="inlineStr">
        <is>
          <t>SUNDSVALL</t>
        </is>
      </c>
      <c r="F775" t="inlineStr">
        <is>
          <t>SCA</t>
        </is>
      </c>
      <c r="G775" t="n">
        <v>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45739-2021</t>
        </is>
      </c>
      <c r="B776" s="1" t="n">
        <v>44441</v>
      </c>
      <c r="C776" s="1" t="n">
        <v>45181</v>
      </c>
      <c r="D776" t="inlineStr">
        <is>
          <t>VÄSTERNORRLANDS LÄN</t>
        </is>
      </c>
      <c r="E776" t="inlineStr">
        <is>
          <t>SUNDSVALL</t>
        </is>
      </c>
      <c r="G776" t="n">
        <v>14.8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45775-2021</t>
        </is>
      </c>
      <c r="B777" s="1" t="n">
        <v>44441</v>
      </c>
      <c r="C777" s="1" t="n">
        <v>45181</v>
      </c>
      <c r="D777" t="inlineStr">
        <is>
          <t>VÄSTERNORRLANDS LÄN</t>
        </is>
      </c>
      <c r="E777" t="inlineStr">
        <is>
          <t>SUNDSVALL</t>
        </is>
      </c>
      <c r="G777" t="n">
        <v>3.7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45959-2021</t>
        </is>
      </c>
      <c r="B778" s="1" t="n">
        <v>44441</v>
      </c>
      <c r="C778" s="1" t="n">
        <v>45181</v>
      </c>
      <c r="D778" t="inlineStr">
        <is>
          <t>VÄSTERNORRLANDS LÄN</t>
        </is>
      </c>
      <c r="E778" t="inlineStr">
        <is>
          <t>SUNDSVALL</t>
        </is>
      </c>
      <c r="G778" t="n">
        <v>1.2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47565-2021</t>
        </is>
      </c>
      <c r="B779" s="1" t="n">
        <v>44447</v>
      </c>
      <c r="C779" s="1" t="n">
        <v>45181</v>
      </c>
      <c r="D779" t="inlineStr">
        <is>
          <t>VÄSTERNORRLANDS LÄN</t>
        </is>
      </c>
      <c r="E779" t="inlineStr">
        <is>
          <t>SUNDSVALL</t>
        </is>
      </c>
      <c r="F779" t="inlineStr">
        <is>
          <t>SCA</t>
        </is>
      </c>
      <c r="G779" t="n">
        <v>1.6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47944-2021</t>
        </is>
      </c>
      <c r="B780" s="1" t="n">
        <v>44448</v>
      </c>
      <c r="C780" s="1" t="n">
        <v>45181</v>
      </c>
      <c r="D780" t="inlineStr">
        <is>
          <t>VÄSTERNORRLANDS LÄN</t>
        </is>
      </c>
      <c r="E780" t="inlineStr">
        <is>
          <t>SUNDSVALL</t>
        </is>
      </c>
      <c r="F780" t="inlineStr">
        <is>
          <t>SCA</t>
        </is>
      </c>
      <c r="G780" t="n">
        <v>5.5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48705-2021</t>
        </is>
      </c>
      <c r="B781" s="1" t="n">
        <v>44452</v>
      </c>
      <c r="C781" s="1" t="n">
        <v>45181</v>
      </c>
      <c r="D781" t="inlineStr">
        <is>
          <t>VÄSTERNORRLANDS LÄN</t>
        </is>
      </c>
      <c r="E781" t="inlineStr">
        <is>
          <t>SUNDSVALL</t>
        </is>
      </c>
      <c r="G781" t="n">
        <v>3.3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48662-2021</t>
        </is>
      </c>
      <c r="B782" s="1" t="n">
        <v>44452</v>
      </c>
      <c r="C782" s="1" t="n">
        <v>45181</v>
      </c>
      <c r="D782" t="inlineStr">
        <is>
          <t>VÄSTERNORRLANDS LÄN</t>
        </is>
      </c>
      <c r="E782" t="inlineStr">
        <is>
          <t>SUNDSVALL</t>
        </is>
      </c>
      <c r="G782" t="n">
        <v>2.5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49380-2021</t>
        </is>
      </c>
      <c r="B783" s="1" t="n">
        <v>44454</v>
      </c>
      <c r="C783" s="1" t="n">
        <v>45181</v>
      </c>
      <c r="D783" t="inlineStr">
        <is>
          <t>VÄSTERNORRLANDS LÄN</t>
        </is>
      </c>
      <c r="E783" t="inlineStr">
        <is>
          <t>SUNDSVALL</t>
        </is>
      </c>
      <c r="F783" t="inlineStr">
        <is>
          <t>Kommuner</t>
        </is>
      </c>
      <c r="G783" t="n">
        <v>4.5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49368-2021</t>
        </is>
      </c>
      <c r="B784" s="1" t="n">
        <v>44454</v>
      </c>
      <c r="C784" s="1" t="n">
        <v>45181</v>
      </c>
      <c r="D784" t="inlineStr">
        <is>
          <t>VÄSTERNORRLANDS LÄN</t>
        </is>
      </c>
      <c r="E784" t="inlineStr">
        <is>
          <t>SUNDSVALL</t>
        </is>
      </c>
      <c r="F784" t="inlineStr">
        <is>
          <t>Kommuner</t>
        </is>
      </c>
      <c r="G784" t="n">
        <v>1.2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49480-2021</t>
        </is>
      </c>
      <c r="B785" s="1" t="n">
        <v>44454</v>
      </c>
      <c r="C785" s="1" t="n">
        <v>45181</v>
      </c>
      <c r="D785" t="inlineStr">
        <is>
          <t>VÄSTERNORRLANDS LÄN</t>
        </is>
      </c>
      <c r="E785" t="inlineStr">
        <is>
          <t>SUNDSVALL</t>
        </is>
      </c>
      <c r="F785" t="inlineStr">
        <is>
          <t>SCA</t>
        </is>
      </c>
      <c r="G785" t="n">
        <v>5.4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50127-2021</t>
        </is>
      </c>
      <c r="B786" s="1" t="n">
        <v>44456</v>
      </c>
      <c r="C786" s="1" t="n">
        <v>45181</v>
      </c>
      <c r="D786" t="inlineStr">
        <is>
          <t>VÄSTERNORRLANDS LÄN</t>
        </is>
      </c>
      <c r="E786" t="inlineStr">
        <is>
          <t>SUNDSVALL</t>
        </is>
      </c>
      <c r="G786" t="n">
        <v>0.5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51011-2021</t>
        </is>
      </c>
      <c r="B787" s="1" t="n">
        <v>44460</v>
      </c>
      <c r="C787" s="1" t="n">
        <v>45181</v>
      </c>
      <c r="D787" t="inlineStr">
        <is>
          <t>VÄSTERNORRLANDS LÄN</t>
        </is>
      </c>
      <c r="E787" t="inlineStr">
        <is>
          <t>SUNDSVALL</t>
        </is>
      </c>
      <c r="G787" t="n">
        <v>0.4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51599-2021</t>
        </is>
      </c>
      <c r="B788" s="1" t="n">
        <v>44461</v>
      </c>
      <c r="C788" s="1" t="n">
        <v>45181</v>
      </c>
      <c r="D788" t="inlineStr">
        <is>
          <t>VÄSTERNORRLANDS LÄN</t>
        </is>
      </c>
      <c r="E788" t="inlineStr">
        <is>
          <t>SUNDSVALL</t>
        </is>
      </c>
      <c r="G788" t="n">
        <v>3.2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51681-2021</t>
        </is>
      </c>
      <c r="B789" s="1" t="n">
        <v>44461</v>
      </c>
      <c r="C789" s="1" t="n">
        <v>45181</v>
      </c>
      <c r="D789" t="inlineStr">
        <is>
          <t>VÄSTERNORRLANDS LÄN</t>
        </is>
      </c>
      <c r="E789" t="inlineStr">
        <is>
          <t>SUNDSVALL</t>
        </is>
      </c>
      <c r="G789" t="n">
        <v>9.199999999999999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51687-2021</t>
        </is>
      </c>
      <c r="B790" s="1" t="n">
        <v>44462</v>
      </c>
      <c r="C790" s="1" t="n">
        <v>45181</v>
      </c>
      <c r="D790" t="inlineStr">
        <is>
          <t>VÄSTERNORRLANDS LÄN</t>
        </is>
      </c>
      <c r="E790" t="inlineStr">
        <is>
          <t>SUNDSVALL</t>
        </is>
      </c>
      <c r="G790" t="n">
        <v>2.4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51768-2021</t>
        </is>
      </c>
      <c r="B791" s="1" t="n">
        <v>44462</v>
      </c>
      <c r="C791" s="1" t="n">
        <v>45181</v>
      </c>
      <c r="D791" t="inlineStr">
        <is>
          <t>VÄSTERNORRLANDS LÄN</t>
        </is>
      </c>
      <c r="E791" t="inlineStr">
        <is>
          <t>SUNDSVALL</t>
        </is>
      </c>
      <c r="G791" t="n">
        <v>1.1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52315-2021</t>
        </is>
      </c>
      <c r="B792" s="1" t="n">
        <v>44463</v>
      </c>
      <c r="C792" s="1" t="n">
        <v>45181</v>
      </c>
      <c r="D792" t="inlineStr">
        <is>
          <t>VÄSTERNORRLANDS LÄN</t>
        </is>
      </c>
      <c r="E792" t="inlineStr">
        <is>
          <t>SUNDSVALL</t>
        </is>
      </c>
      <c r="G792" t="n">
        <v>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52318-2021</t>
        </is>
      </c>
      <c r="B793" s="1" t="n">
        <v>44463</v>
      </c>
      <c r="C793" s="1" t="n">
        <v>45181</v>
      </c>
      <c r="D793" t="inlineStr">
        <is>
          <t>VÄSTERNORRLANDS LÄN</t>
        </is>
      </c>
      <c r="E793" t="inlineStr">
        <is>
          <t>SUNDSVALL</t>
        </is>
      </c>
      <c r="G793" t="n">
        <v>2.5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52554-2021</t>
        </is>
      </c>
      <c r="B794" s="1" t="n">
        <v>44466</v>
      </c>
      <c r="C794" s="1" t="n">
        <v>45181</v>
      </c>
      <c r="D794" t="inlineStr">
        <is>
          <t>VÄSTERNORRLANDS LÄN</t>
        </is>
      </c>
      <c r="E794" t="inlineStr">
        <is>
          <t>SUNDSVALL</t>
        </is>
      </c>
      <c r="G794" t="n">
        <v>0.4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54739-2021</t>
        </is>
      </c>
      <c r="B795" s="1" t="n">
        <v>44473</v>
      </c>
      <c r="C795" s="1" t="n">
        <v>45181</v>
      </c>
      <c r="D795" t="inlineStr">
        <is>
          <t>VÄSTERNORRLANDS LÄN</t>
        </is>
      </c>
      <c r="E795" t="inlineStr">
        <is>
          <t>SUNDSVALL</t>
        </is>
      </c>
      <c r="G795" t="n">
        <v>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54506-2021</t>
        </is>
      </c>
      <c r="B796" s="1" t="n">
        <v>44473</v>
      </c>
      <c r="C796" s="1" t="n">
        <v>45181</v>
      </c>
      <c r="D796" t="inlineStr">
        <is>
          <t>VÄSTERNORRLANDS LÄN</t>
        </is>
      </c>
      <c r="E796" t="inlineStr">
        <is>
          <t>SUNDSVALL</t>
        </is>
      </c>
      <c r="F796" t="inlineStr">
        <is>
          <t>SCA</t>
        </is>
      </c>
      <c r="G796" t="n">
        <v>0.7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55158-2021</t>
        </is>
      </c>
      <c r="B797" s="1" t="n">
        <v>44474</v>
      </c>
      <c r="C797" s="1" t="n">
        <v>45181</v>
      </c>
      <c r="D797" t="inlineStr">
        <is>
          <t>VÄSTERNORRLANDS LÄN</t>
        </is>
      </c>
      <c r="E797" t="inlineStr">
        <is>
          <t>SUNDSVALL</t>
        </is>
      </c>
      <c r="G797" t="n">
        <v>3.6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55594-2021</t>
        </is>
      </c>
      <c r="B798" s="1" t="n">
        <v>44475</v>
      </c>
      <c r="C798" s="1" t="n">
        <v>45181</v>
      </c>
      <c r="D798" t="inlineStr">
        <is>
          <t>VÄSTERNORRLANDS LÄN</t>
        </is>
      </c>
      <c r="E798" t="inlineStr">
        <is>
          <t>SUNDSVALL</t>
        </is>
      </c>
      <c r="G798" t="n">
        <v>1.5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55676-2021</t>
        </is>
      </c>
      <c r="B799" s="1" t="n">
        <v>44476</v>
      </c>
      <c r="C799" s="1" t="n">
        <v>45181</v>
      </c>
      <c r="D799" t="inlineStr">
        <is>
          <t>VÄSTERNORRLANDS LÄN</t>
        </is>
      </c>
      <c r="E799" t="inlineStr">
        <is>
          <t>SUNDSVALL</t>
        </is>
      </c>
      <c r="G799" t="n">
        <v>3.5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56755-2021</t>
        </is>
      </c>
      <c r="B800" s="1" t="n">
        <v>44481</v>
      </c>
      <c r="C800" s="1" t="n">
        <v>45181</v>
      </c>
      <c r="D800" t="inlineStr">
        <is>
          <t>VÄSTERNORRLANDS LÄN</t>
        </is>
      </c>
      <c r="E800" t="inlineStr">
        <is>
          <t>SUNDSVALL</t>
        </is>
      </c>
      <c r="F800" t="inlineStr">
        <is>
          <t>Kommuner</t>
        </is>
      </c>
      <c r="G800" t="n">
        <v>3.7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56892-2021</t>
        </is>
      </c>
      <c r="B801" s="1" t="n">
        <v>44481</v>
      </c>
      <c r="C801" s="1" t="n">
        <v>45181</v>
      </c>
      <c r="D801" t="inlineStr">
        <is>
          <t>VÄSTERNORRLANDS LÄN</t>
        </is>
      </c>
      <c r="E801" t="inlineStr">
        <is>
          <t>SUNDSVALL</t>
        </is>
      </c>
      <c r="G801" t="n">
        <v>0.7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56894-2021</t>
        </is>
      </c>
      <c r="B802" s="1" t="n">
        <v>44481</v>
      </c>
      <c r="C802" s="1" t="n">
        <v>45181</v>
      </c>
      <c r="D802" t="inlineStr">
        <is>
          <t>VÄSTERNORRLANDS LÄN</t>
        </is>
      </c>
      <c r="E802" t="inlineStr">
        <is>
          <t>SUNDSVALL</t>
        </is>
      </c>
      <c r="G802" t="n">
        <v>0.7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57202-2021</t>
        </is>
      </c>
      <c r="B803" s="1" t="n">
        <v>44482</v>
      </c>
      <c r="C803" s="1" t="n">
        <v>45181</v>
      </c>
      <c r="D803" t="inlineStr">
        <is>
          <t>VÄSTERNORRLANDS LÄN</t>
        </is>
      </c>
      <c r="E803" t="inlineStr">
        <is>
          <t>SUNDSVALL</t>
        </is>
      </c>
      <c r="G803" t="n">
        <v>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57082-2021</t>
        </is>
      </c>
      <c r="B804" s="1" t="n">
        <v>44482</v>
      </c>
      <c r="C804" s="1" t="n">
        <v>45181</v>
      </c>
      <c r="D804" t="inlineStr">
        <is>
          <t>VÄSTERNORRLANDS LÄN</t>
        </is>
      </c>
      <c r="E804" t="inlineStr">
        <is>
          <t>SUNDSVALL</t>
        </is>
      </c>
      <c r="G804" t="n">
        <v>0.3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57234-2021</t>
        </is>
      </c>
      <c r="B805" s="1" t="n">
        <v>44482</v>
      </c>
      <c r="C805" s="1" t="n">
        <v>45181</v>
      </c>
      <c r="D805" t="inlineStr">
        <is>
          <t>VÄSTERNORRLANDS LÄN</t>
        </is>
      </c>
      <c r="E805" t="inlineStr">
        <is>
          <t>SUNDSVALL</t>
        </is>
      </c>
      <c r="G805" t="n">
        <v>3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57543-2021</t>
        </is>
      </c>
      <c r="B806" s="1" t="n">
        <v>44483</v>
      </c>
      <c r="C806" s="1" t="n">
        <v>45181</v>
      </c>
      <c r="D806" t="inlineStr">
        <is>
          <t>VÄSTERNORRLANDS LÄN</t>
        </is>
      </c>
      <c r="E806" t="inlineStr">
        <is>
          <t>SUNDSVALL</t>
        </is>
      </c>
      <c r="F806" t="inlineStr">
        <is>
          <t>SCA</t>
        </is>
      </c>
      <c r="G806" t="n">
        <v>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58032-2021</t>
        </is>
      </c>
      <c r="B807" s="1" t="n">
        <v>44487</v>
      </c>
      <c r="C807" s="1" t="n">
        <v>45181</v>
      </c>
      <c r="D807" t="inlineStr">
        <is>
          <t>VÄSTERNORRLANDS LÄN</t>
        </is>
      </c>
      <c r="E807" t="inlineStr">
        <is>
          <t>SUNDSVALL</t>
        </is>
      </c>
      <c r="G807" t="n">
        <v>1.5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58037-2021</t>
        </is>
      </c>
      <c r="B808" s="1" t="n">
        <v>44487</v>
      </c>
      <c r="C808" s="1" t="n">
        <v>45181</v>
      </c>
      <c r="D808" t="inlineStr">
        <is>
          <t>VÄSTERNORRLANDS LÄN</t>
        </is>
      </c>
      <c r="E808" t="inlineStr">
        <is>
          <t>SUNDSVALL</t>
        </is>
      </c>
      <c r="G808" t="n">
        <v>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59146-2021</t>
        </is>
      </c>
      <c r="B809" s="1" t="n">
        <v>44490</v>
      </c>
      <c r="C809" s="1" t="n">
        <v>45181</v>
      </c>
      <c r="D809" t="inlineStr">
        <is>
          <t>VÄSTERNORRLANDS LÄN</t>
        </is>
      </c>
      <c r="E809" t="inlineStr">
        <is>
          <t>SUNDSVALL</t>
        </is>
      </c>
      <c r="G809" t="n">
        <v>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59127-2021</t>
        </is>
      </c>
      <c r="B810" s="1" t="n">
        <v>44490</v>
      </c>
      <c r="C810" s="1" t="n">
        <v>45181</v>
      </c>
      <c r="D810" t="inlineStr">
        <is>
          <t>VÄSTERNORRLANDS LÄN</t>
        </is>
      </c>
      <c r="E810" t="inlineStr">
        <is>
          <t>SUNDSVALL</t>
        </is>
      </c>
      <c r="G810" t="n">
        <v>0.6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59496-2021</t>
        </is>
      </c>
      <c r="B811" s="1" t="n">
        <v>44491</v>
      </c>
      <c r="C811" s="1" t="n">
        <v>45181</v>
      </c>
      <c r="D811" t="inlineStr">
        <is>
          <t>VÄSTERNORRLANDS LÄN</t>
        </is>
      </c>
      <c r="E811" t="inlineStr">
        <is>
          <t>SUNDSVALL</t>
        </is>
      </c>
      <c r="G811" t="n">
        <v>1.3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59440-2021</t>
        </is>
      </c>
      <c r="B812" s="1" t="n">
        <v>44491</v>
      </c>
      <c r="C812" s="1" t="n">
        <v>45181</v>
      </c>
      <c r="D812" t="inlineStr">
        <is>
          <t>VÄSTERNORRLANDS LÄN</t>
        </is>
      </c>
      <c r="E812" t="inlineStr">
        <is>
          <t>SUNDSVALL</t>
        </is>
      </c>
      <c r="G812" t="n">
        <v>4.9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59579-2021</t>
        </is>
      </c>
      <c r="B813" s="1" t="n">
        <v>44491</v>
      </c>
      <c r="C813" s="1" t="n">
        <v>45181</v>
      </c>
      <c r="D813" t="inlineStr">
        <is>
          <t>VÄSTERNORRLANDS LÄN</t>
        </is>
      </c>
      <c r="E813" t="inlineStr">
        <is>
          <t>SUNDSVALL</t>
        </is>
      </c>
      <c r="G813" t="n">
        <v>5.3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60891-2021</t>
        </is>
      </c>
      <c r="B814" s="1" t="n">
        <v>44497</v>
      </c>
      <c r="C814" s="1" t="n">
        <v>45181</v>
      </c>
      <c r="D814" t="inlineStr">
        <is>
          <t>VÄSTERNORRLANDS LÄN</t>
        </is>
      </c>
      <c r="E814" t="inlineStr">
        <is>
          <t>SUNDSVALL</t>
        </is>
      </c>
      <c r="F814" t="inlineStr">
        <is>
          <t>Kommuner</t>
        </is>
      </c>
      <c r="G814" t="n">
        <v>1.1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60911-2021</t>
        </is>
      </c>
      <c r="B815" s="1" t="n">
        <v>44497</v>
      </c>
      <c r="C815" s="1" t="n">
        <v>45181</v>
      </c>
      <c r="D815" t="inlineStr">
        <is>
          <t>VÄSTERNORRLANDS LÄN</t>
        </is>
      </c>
      <c r="E815" t="inlineStr">
        <is>
          <t>SUNDSVALL</t>
        </is>
      </c>
      <c r="F815" t="inlineStr">
        <is>
          <t>Kommuner</t>
        </is>
      </c>
      <c r="G815" t="n">
        <v>1.3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61300-2021</t>
        </is>
      </c>
      <c r="B816" s="1" t="n">
        <v>44497</v>
      </c>
      <c r="C816" s="1" t="n">
        <v>45181</v>
      </c>
      <c r="D816" t="inlineStr">
        <is>
          <t>VÄSTERNORRLANDS LÄN</t>
        </is>
      </c>
      <c r="E816" t="inlineStr">
        <is>
          <t>SUNDSVALL</t>
        </is>
      </c>
      <c r="G816" t="n">
        <v>1.1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61407-2021</t>
        </is>
      </c>
      <c r="B817" s="1" t="n">
        <v>44500</v>
      </c>
      <c r="C817" s="1" t="n">
        <v>45181</v>
      </c>
      <c r="D817" t="inlineStr">
        <is>
          <t>VÄSTERNORRLANDS LÄN</t>
        </is>
      </c>
      <c r="E817" t="inlineStr">
        <is>
          <t>SUNDSVALL</t>
        </is>
      </c>
      <c r="G817" t="n">
        <v>1.8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61851-2021</t>
        </is>
      </c>
      <c r="B818" s="1" t="n">
        <v>44501</v>
      </c>
      <c r="C818" s="1" t="n">
        <v>45181</v>
      </c>
      <c r="D818" t="inlineStr">
        <is>
          <t>VÄSTERNORRLANDS LÄN</t>
        </is>
      </c>
      <c r="E818" t="inlineStr">
        <is>
          <t>SUNDSVALL</t>
        </is>
      </c>
      <c r="F818" t="inlineStr">
        <is>
          <t>SCA</t>
        </is>
      </c>
      <c r="G818" t="n">
        <v>2.4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61562-2021</t>
        </is>
      </c>
      <c r="B819" s="1" t="n">
        <v>44501</v>
      </c>
      <c r="C819" s="1" t="n">
        <v>45181</v>
      </c>
      <c r="D819" t="inlineStr">
        <is>
          <t>VÄSTERNORRLANDS LÄN</t>
        </is>
      </c>
      <c r="E819" t="inlineStr">
        <is>
          <t>SUNDSVALL</t>
        </is>
      </c>
      <c r="G819" t="n">
        <v>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62080-2021</t>
        </is>
      </c>
      <c r="B820" s="1" t="n">
        <v>44502</v>
      </c>
      <c r="C820" s="1" t="n">
        <v>45181</v>
      </c>
      <c r="D820" t="inlineStr">
        <is>
          <t>VÄSTERNORRLANDS LÄN</t>
        </is>
      </c>
      <c r="E820" t="inlineStr">
        <is>
          <t>SUNDSVALL</t>
        </is>
      </c>
      <c r="G820" t="n">
        <v>1.8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62184-2021</t>
        </is>
      </c>
      <c r="B821" s="1" t="n">
        <v>44502</v>
      </c>
      <c r="C821" s="1" t="n">
        <v>45181</v>
      </c>
      <c r="D821" t="inlineStr">
        <is>
          <t>VÄSTERNORRLANDS LÄN</t>
        </is>
      </c>
      <c r="E821" t="inlineStr">
        <is>
          <t>SUNDSVALL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62077-2021</t>
        </is>
      </c>
      <c r="B822" s="1" t="n">
        <v>44502</v>
      </c>
      <c r="C822" s="1" t="n">
        <v>45181</v>
      </c>
      <c r="D822" t="inlineStr">
        <is>
          <t>VÄSTERNORRLANDS LÄN</t>
        </is>
      </c>
      <c r="E822" t="inlineStr">
        <is>
          <t>SUNDSVALL</t>
        </is>
      </c>
      <c r="G822" t="n">
        <v>0.6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62662-2021</t>
        </is>
      </c>
      <c r="B823" s="1" t="n">
        <v>44503</v>
      </c>
      <c r="C823" s="1" t="n">
        <v>45181</v>
      </c>
      <c r="D823" t="inlineStr">
        <is>
          <t>VÄSTERNORRLANDS LÄN</t>
        </is>
      </c>
      <c r="E823" t="inlineStr">
        <is>
          <t>SUNDSVALL</t>
        </is>
      </c>
      <c r="F823" t="inlineStr">
        <is>
          <t>SCA</t>
        </is>
      </c>
      <c r="G823" t="n">
        <v>1.5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63464-2021</t>
        </is>
      </c>
      <c r="B824" s="1" t="n">
        <v>44504</v>
      </c>
      <c r="C824" s="1" t="n">
        <v>45181</v>
      </c>
      <c r="D824" t="inlineStr">
        <is>
          <t>VÄSTERNORRLANDS LÄN</t>
        </is>
      </c>
      <c r="E824" t="inlineStr">
        <is>
          <t>SUNDSVALL</t>
        </is>
      </c>
      <c r="G824" t="n">
        <v>1.6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63163-2021</t>
        </is>
      </c>
      <c r="B825" s="1" t="n">
        <v>44505</v>
      </c>
      <c r="C825" s="1" t="n">
        <v>45181</v>
      </c>
      <c r="D825" t="inlineStr">
        <is>
          <t>VÄSTERNORRLANDS LÄN</t>
        </is>
      </c>
      <c r="E825" t="inlineStr">
        <is>
          <t>SUNDSVALL</t>
        </is>
      </c>
      <c r="F825" t="inlineStr">
        <is>
          <t>SCA</t>
        </is>
      </c>
      <c r="G825" t="n">
        <v>0.8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63655-2021</t>
        </is>
      </c>
      <c r="B826" s="1" t="n">
        <v>44508</v>
      </c>
      <c r="C826" s="1" t="n">
        <v>45181</v>
      </c>
      <c r="D826" t="inlineStr">
        <is>
          <t>VÄSTERNORRLANDS LÄN</t>
        </is>
      </c>
      <c r="E826" t="inlineStr">
        <is>
          <t>SUNDSVALL</t>
        </is>
      </c>
      <c r="G826" t="n">
        <v>2.1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63665-2021</t>
        </is>
      </c>
      <c r="B827" s="1" t="n">
        <v>44508</v>
      </c>
      <c r="C827" s="1" t="n">
        <v>45181</v>
      </c>
      <c r="D827" t="inlineStr">
        <is>
          <t>VÄSTERNORRLANDS LÄN</t>
        </is>
      </c>
      <c r="E827" t="inlineStr">
        <is>
          <t>SUNDSVALL</t>
        </is>
      </c>
      <c r="G827" t="n">
        <v>0.7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63651-2021</t>
        </is>
      </c>
      <c r="B828" s="1" t="n">
        <v>44508</v>
      </c>
      <c r="C828" s="1" t="n">
        <v>45181</v>
      </c>
      <c r="D828" t="inlineStr">
        <is>
          <t>VÄSTERNORRLANDS LÄN</t>
        </is>
      </c>
      <c r="E828" t="inlineStr">
        <is>
          <t>SUNDSVALL</t>
        </is>
      </c>
      <c r="G828" t="n">
        <v>0.6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63661-2021</t>
        </is>
      </c>
      <c r="B829" s="1" t="n">
        <v>44508</v>
      </c>
      <c r="C829" s="1" t="n">
        <v>45181</v>
      </c>
      <c r="D829" t="inlineStr">
        <is>
          <t>VÄSTERNORRLANDS LÄN</t>
        </is>
      </c>
      <c r="E829" t="inlineStr">
        <is>
          <t>SUNDSVALL</t>
        </is>
      </c>
      <c r="G829" t="n">
        <v>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64478-2021</t>
        </is>
      </c>
      <c r="B830" s="1" t="n">
        <v>44511</v>
      </c>
      <c r="C830" s="1" t="n">
        <v>45181</v>
      </c>
      <c r="D830" t="inlineStr">
        <is>
          <t>VÄSTERNORRLANDS LÄN</t>
        </is>
      </c>
      <c r="E830" t="inlineStr">
        <is>
          <t>SUNDSVALL</t>
        </is>
      </c>
      <c r="G830" t="n">
        <v>1.4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64641-2021</t>
        </is>
      </c>
      <c r="B831" s="1" t="n">
        <v>44511</v>
      </c>
      <c r="C831" s="1" t="n">
        <v>45181</v>
      </c>
      <c r="D831" t="inlineStr">
        <is>
          <t>VÄSTERNORRLANDS LÄN</t>
        </is>
      </c>
      <c r="E831" t="inlineStr">
        <is>
          <t>SUNDSVALL</t>
        </is>
      </c>
      <c r="F831" t="inlineStr">
        <is>
          <t>SCA</t>
        </is>
      </c>
      <c r="G831" t="n">
        <v>3.8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64367-2021</t>
        </is>
      </c>
      <c r="B832" s="1" t="n">
        <v>44511</v>
      </c>
      <c r="C832" s="1" t="n">
        <v>45181</v>
      </c>
      <c r="D832" t="inlineStr">
        <is>
          <t>VÄSTERNORRLANDS LÄN</t>
        </is>
      </c>
      <c r="E832" t="inlineStr">
        <is>
          <t>SUNDSVALL</t>
        </is>
      </c>
      <c r="G832" t="n">
        <v>2.2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64922-2021</t>
        </is>
      </c>
      <c r="B833" s="1" t="n">
        <v>44512</v>
      </c>
      <c r="C833" s="1" t="n">
        <v>45181</v>
      </c>
      <c r="D833" t="inlineStr">
        <is>
          <t>VÄSTERNORRLANDS LÄN</t>
        </is>
      </c>
      <c r="E833" t="inlineStr">
        <is>
          <t>SUNDSVALL</t>
        </is>
      </c>
      <c r="F833" t="inlineStr">
        <is>
          <t>Kommuner</t>
        </is>
      </c>
      <c r="G833" t="n">
        <v>1.5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64917-2021</t>
        </is>
      </c>
      <c r="B834" s="1" t="n">
        <v>44512</v>
      </c>
      <c r="C834" s="1" t="n">
        <v>45181</v>
      </c>
      <c r="D834" t="inlineStr">
        <is>
          <t>VÄSTERNORRLANDS LÄN</t>
        </is>
      </c>
      <c r="E834" t="inlineStr">
        <is>
          <t>SUNDSVALL</t>
        </is>
      </c>
      <c r="F834" t="inlineStr">
        <is>
          <t>Kommuner</t>
        </is>
      </c>
      <c r="G834" t="n">
        <v>4.1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65743-2021</t>
        </is>
      </c>
      <c r="B835" s="1" t="n">
        <v>44516</v>
      </c>
      <c r="C835" s="1" t="n">
        <v>45181</v>
      </c>
      <c r="D835" t="inlineStr">
        <is>
          <t>VÄSTERNORRLANDS LÄN</t>
        </is>
      </c>
      <c r="E835" t="inlineStr">
        <is>
          <t>SUNDSVALL</t>
        </is>
      </c>
      <c r="F835" t="inlineStr">
        <is>
          <t>Kommuner</t>
        </is>
      </c>
      <c r="G835" t="n">
        <v>0.3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65696-2021</t>
        </is>
      </c>
      <c r="B836" s="1" t="n">
        <v>44516</v>
      </c>
      <c r="C836" s="1" t="n">
        <v>45181</v>
      </c>
      <c r="D836" t="inlineStr">
        <is>
          <t>VÄSTERNORRLANDS LÄN</t>
        </is>
      </c>
      <c r="E836" t="inlineStr">
        <is>
          <t>SUNDSVALL</t>
        </is>
      </c>
      <c r="G836" t="n">
        <v>0.5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66191-2021</t>
        </is>
      </c>
      <c r="B837" s="1" t="n">
        <v>44517</v>
      </c>
      <c r="C837" s="1" t="n">
        <v>45181</v>
      </c>
      <c r="D837" t="inlineStr">
        <is>
          <t>VÄSTERNORRLANDS LÄN</t>
        </is>
      </c>
      <c r="E837" t="inlineStr">
        <is>
          <t>SUNDSVALL</t>
        </is>
      </c>
      <c r="G837" t="n">
        <v>0.6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66027-2021</t>
        </is>
      </c>
      <c r="B838" s="1" t="n">
        <v>44517</v>
      </c>
      <c r="C838" s="1" t="n">
        <v>45181</v>
      </c>
      <c r="D838" t="inlineStr">
        <is>
          <t>VÄSTERNORRLANDS LÄN</t>
        </is>
      </c>
      <c r="E838" t="inlineStr">
        <is>
          <t>SUNDSVALL</t>
        </is>
      </c>
      <c r="G838" t="n">
        <v>1.7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67075-2021</t>
        </is>
      </c>
      <c r="B839" s="1" t="n">
        <v>44522</v>
      </c>
      <c r="C839" s="1" t="n">
        <v>45181</v>
      </c>
      <c r="D839" t="inlineStr">
        <is>
          <t>VÄSTERNORRLANDS LÄN</t>
        </is>
      </c>
      <c r="E839" t="inlineStr">
        <is>
          <t>SUNDSVALL</t>
        </is>
      </c>
      <c r="G839" t="n">
        <v>0.8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66872-2021</t>
        </is>
      </c>
      <c r="B840" s="1" t="n">
        <v>44522</v>
      </c>
      <c r="C840" s="1" t="n">
        <v>45181</v>
      </c>
      <c r="D840" t="inlineStr">
        <is>
          <t>VÄSTERNORRLANDS LÄN</t>
        </is>
      </c>
      <c r="E840" t="inlineStr">
        <is>
          <t>SUNDSVALL</t>
        </is>
      </c>
      <c r="G840" t="n">
        <v>4.3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67123-2021</t>
        </is>
      </c>
      <c r="B841" s="1" t="n">
        <v>44522</v>
      </c>
      <c r="C841" s="1" t="n">
        <v>45181</v>
      </c>
      <c r="D841" t="inlineStr">
        <is>
          <t>VÄSTERNORRLANDS LÄN</t>
        </is>
      </c>
      <c r="E841" t="inlineStr">
        <is>
          <t>SUNDSVALL</t>
        </is>
      </c>
      <c r="G841" t="n">
        <v>1.2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67095-2021</t>
        </is>
      </c>
      <c r="B842" s="1" t="n">
        <v>44522</v>
      </c>
      <c r="C842" s="1" t="n">
        <v>45181</v>
      </c>
      <c r="D842" t="inlineStr">
        <is>
          <t>VÄSTERNORRLANDS LÄN</t>
        </is>
      </c>
      <c r="E842" t="inlineStr">
        <is>
          <t>SUNDSVALL</t>
        </is>
      </c>
      <c r="F842" t="inlineStr">
        <is>
          <t>SCA</t>
        </is>
      </c>
      <c r="G842" t="n">
        <v>3.4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67474-2021</t>
        </is>
      </c>
      <c r="B843" s="1" t="n">
        <v>44524</v>
      </c>
      <c r="C843" s="1" t="n">
        <v>45181</v>
      </c>
      <c r="D843" t="inlineStr">
        <is>
          <t>VÄSTERNORRLANDS LÄN</t>
        </is>
      </c>
      <c r="E843" t="inlineStr">
        <is>
          <t>SUNDSVALL</t>
        </is>
      </c>
      <c r="G843" t="n">
        <v>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67562-2021</t>
        </is>
      </c>
      <c r="B844" s="1" t="n">
        <v>44524</v>
      </c>
      <c r="C844" s="1" t="n">
        <v>45181</v>
      </c>
      <c r="D844" t="inlineStr">
        <is>
          <t>VÄSTERNORRLANDS LÄN</t>
        </is>
      </c>
      <c r="E844" t="inlineStr">
        <is>
          <t>SUNDSVALL</t>
        </is>
      </c>
      <c r="G844" t="n">
        <v>1.9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68880-2021</t>
        </is>
      </c>
      <c r="B845" s="1" t="n">
        <v>44529</v>
      </c>
      <c r="C845" s="1" t="n">
        <v>45181</v>
      </c>
      <c r="D845" t="inlineStr">
        <is>
          <t>VÄSTERNORRLANDS LÄN</t>
        </is>
      </c>
      <c r="E845" t="inlineStr">
        <is>
          <t>SUNDSVALL</t>
        </is>
      </c>
      <c r="G845" t="n">
        <v>1.6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69260-2021</t>
        </is>
      </c>
      <c r="B846" s="1" t="n">
        <v>44530</v>
      </c>
      <c r="C846" s="1" t="n">
        <v>45181</v>
      </c>
      <c r="D846" t="inlineStr">
        <is>
          <t>VÄSTERNORRLANDS LÄN</t>
        </is>
      </c>
      <c r="E846" t="inlineStr">
        <is>
          <t>SUNDSVALL</t>
        </is>
      </c>
      <c r="G846" t="n">
        <v>1.6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69210-2021</t>
        </is>
      </c>
      <c r="B847" s="1" t="n">
        <v>44531</v>
      </c>
      <c r="C847" s="1" t="n">
        <v>45181</v>
      </c>
      <c r="D847" t="inlineStr">
        <is>
          <t>VÄSTERNORRLANDS LÄN</t>
        </is>
      </c>
      <c r="E847" t="inlineStr">
        <is>
          <t>SUNDSVALL</t>
        </is>
      </c>
      <c r="G847" t="n">
        <v>5.2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70173-2021</t>
        </is>
      </c>
      <c r="B848" s="1" t="n">
        <v>44533</v>
      </c>
      <c r="C848" s="1" t="n">
        <v>45181</v>
      </c>
      <c r="D848" t="inlineStr">
        <is>
          <t>VÄSTERNORRLANDS LÄN</t>
        </is>
      </c>
      <c r="E848" t="inlineStr">
        <is>
          <t>SUNDSVALL</t>
        </is>
      </c>
      <c r="G848" t="n">
        <v>2.3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70174-2021</t>
        </is>
      </c>
      <c r="B849" s="1" t="n">
        <v>44533</v>
      </c>
      <c r="C849" s="1" t="n">
        <v>45181</v>
      </c>
      <c r="D849" t="inlineStr">
        <is>
          <t>VÄSTERNORRLANDS LÄN</t>
        </is>
      </c>
      <c r="E849" t="inlineStr">
        <is>
          <t>SUNDSVALL</t>
        </is>
      </c>
      <c r="G849" t="n">
        <v>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70171-2021</t>
        </is>
      </c>
      <c r="B850" s="1" t="n">
        <v>44533</v>
      </c>
      <c r="C850" s="1" t="n">
        <v>45181</v>
      </c>
      <c r="D850" t="inlineStr">
        <is>
          <t>VÄSTERNORRLANDS LÄN</t>
        </is>
      </c>
      <c r="E850" t="inlineStr">
        <is>
          <t>SUNDSVALL</t>
        </is>
      </c>
      <c r="G850" t="n">
        <v>7.7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70309-2021</t>
        </is>
      </c>
      <c r="B851" s="1" t="n">
        <v>44533</v>
      </c>
      <c r="C851" s="1" t="n">
        <v>45181</v>
      </c>
      <c r="D851" t="inlineStr">
        <is>
          <t>VÄSTERNORRLANDS LÄN</t>
        </is>
      </c>
      <c r="E851" t="inlineStr">
        <is>
          <t>SUNDSVALL</t>
        </is>
      </c>
      <c r="G851" t="n">
        <v>18.8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70690-2021</t>
        </is>
      </c>
      <c r="B852" s="1" t="n">
        <v>44537</v>
      </c>
      <c r="C852" s="1" t="n">
        <v>45181</v>
      </c>
      <c r="D852" t="inlineStr">
        <is>
          <t>VÄSTERNORRLANDS LÄN</t>
        </is>
      </c>
      <c r="E852" t="inlineStr">
        <is>
          <t>SUNDSVALL</t>
        </is>
      </c>
      <c r="G852" t="n">
        <v>8.1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70879-2021</t>
        </is>
      </c>
      <c r="B853" s="1" t="n">
        <v>44538</v>
      </c>
      <c r="C853" s="1" t="n">
        <v>45181</v>
      </c>
      <c r="D853" t="inlineStr">
        <is>
          <t>VÄSTERNORRLANDS LÄN</t>
        </is>
      </c>
      <c r="E853" t="inlineStr">
        <is>
          <t>SUNDSVALL</t>
        </is>
      </c>
      <c r="G853" t="n">
        <v>3.6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70873-2021</t>
        </is>
      </c>
      <c r="B854" s="1" t="n">
        <v>44538</v>
      </c>
      <c r="C854" s="1" t="n">
        <v>45181</v>
      </c>
      <c r="D854" t="inlineStr">
        <is>
          <t>VÄSTERNORRLANDS LÄN</t>
        </is>
      </c>
      <c r="E854" t="inlineStr">
        <is>
          <t>SUNDSVALL</t>
        </is>
      </c>
      <c r="G854" t="n">
        <v>3.9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70901-2021</t>
        </is>
      </c>
      <c r="B855" s="1" t="n">
        <v>44538</v>
      </c>
      <c r="C855" s="1" t="n">
        <v>45181</v>
      </c>
      <c r="D855" t="inlineStr">
        <is>
          <t>VÄSTERNORRLANDS LÄN</t>
        </is>
      </c>
      <c r="E855" t="inlineStr">
        <is>
          <t>SUNDSVALL</t>
        </is>
      </c>
      <c r="F855" t="inlineStr">
        <is>
          <t>Kommuner</t>
        </is>
      </c>
      <c r="G855" t="n">
        <v>2.4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71983-2021</t>
        </is>
      </c>
      <c r="B856" s="1" t="n">
        <v>44540</v>
      </c>
      <c r="C856" s="1" t="n">
        <v>45181</v>
      </c>
      <c r="D856" t="inlineStr">
        <is>
          <t>VÄSTERNORRLANDS LÄN</t>
        </is>
      </c>
      <c r="E856" t="inlineStr">
        <is>
          <t>SUNDSVALL</t>
        </is>
      </c>
      <c r="G856" t="n">
        <v>0.9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73980-2021</t>
        </is>
      </c>
      <c r="B857" s="1" t="n">
        <v>44554</v>
      </c>
      <c r="C857" s="1" t="n">
        <v>45181</v>
      </c>
      <c r="D857" t="inlineStr">
        <is>
          <t>VÄSTERNORRLANDS LÄN</t>
        </is>
      </c>
      <c r="E857" t="inlineStr">
        <is>
          <t>SUNDSVALL</t>
        </is>
      </c>
      <c r="G857" t="n">
        <v>0.5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73979-2021</t>
        </is>
      </c>
      <c r="B858" s="1" t="n">
        <v>44554</v>
      </c>
      <c r="C858" s="1" t="n">
        <v>45181</v>
      </c>
      <c r="D858" t="inlineStr">
        <is>
          <t>VÄSTERNORRLANDS LÄN</t>
        </is>
      </c>
      <c r="E858" t="inlineStr">
        <is>
          <t>SUNDSVALL</t>
        </is>
      </c>
      <c r="G858" t="n">
        <v>0.5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74104-2021</t>
        </is>
      </c>
      <c r="B859" s="1" t="n">
        <v>44557</v>
      </c>
      <c r="C859" s="1" t="n">
        <v>45181</v>
      </c>
      <c r="D859" t="inlineStr">
        <is>
          <t>VÄSTERNORRLANDS LÄN</t>
        </is>
      </c>
      <c r="E859" t="inlineStr">
        <is>
          <t>SUNDSVALL</t>
        </is>
      </c>
      <c r="G859" t="n">
        <v>3.6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74383-2021</t>
        </is>
      </c>
      <c r="B860" s="1" t="n">
        <v>44559</v>
      </c>
      <c r="C860" s="1" t="n">
        <v>45181</v>
      </c>
      <c r="D860" t="inlineStr">
        <is>
          <t>VÄSTERNORRLANDS LÄN</t>
        </is>
      </c>
      <c r="E860" t="inlineStr">
        <is>
          <t>SUNDSVALL</t>
        </is>
      </c>
      <c r="G860" t="n">
        <v>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74384-2021</t>
        </is>
      </c>
      <c r="B861" s="1" t="n">
        <v>44559</v>
      </c>
      <c r="C861" s="1" t="n">
        <v>45181</v>
      </c>
      <c r="D861" t="inlineStr">
        <is>
          <t>VÄSTERNORRLANDS LÄN</t>
        </is>
      </c>
      <c r="E861" t="inlineStr">
        <is>
          <t>SUNDSVALL</t>
        </is>
      </c>
      <c r="G861" t="n">
        <v>4.2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227-2022</t>
        </is>
      </c>
      <c r="B862" s="1" t="n">
        <v>44564</v>
      </c>
      <c r="C862" s="1" t="n">
        <v>45181</v>
      </c>
      <c r="D862" t="inlineStr">
        <is>
          <t>VÄSTERNORRLANDS LÄN</t>
        </is>
      </c>
      <c r="E862" t="inlineStr">
        <is>
          <t>SUNDSVALL</t>
        </is>
      </c>
      <c r="G862" t="n">
        <v>2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228-2022</t>
        </is>
      </c>
      <c r="B863" s="1" t="n">
        <v>44564</v>
      </c>
      <c r="C863" s="1" t="n">
        <v>45181</v>
      </c>
      <c r="D863" t="inlineStr">
        <is>
          <t>VÄSTERNORRLANDS LÄN</t>
        </is>
      </c>
      <c r="E863" t="inlineStr">
        <is>
          <t>SUNDSVALL</t>
        </is>
      </c>
      <c r="G863" t="n">
        <v>0.5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1100-2022</t>
        </is>
      </c>
      <c r="B864" s="1" t="n">
        <v>44571</v>
      </c>
      <c r="C864" s="1" t="n">
        <v>45181</v>
      </c>
      <c r="D864" t="inlineStr">
        <is>
          <t>VÄSTERNORRLANDS LÄN</t>
        </is>
      </c>
      <c r="E864" t="inlineStr">
        <is>
          <t>SUNDSVALL</t>
        </is>
      </c>
      <c r="G864" t="n">
        <v>2.8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1341-2022</t>
        </is>
      </c>
      <c r="B865" s="1" t="n">
        <v>44572</v>
      </c>
      <c r="C865" s="1" t="n">
        <v>45181</v>
      </c>
      <c r="D865" t="inlineStr">
        <is>
          <t>VÄSTERNORRLANDS LÄN</t>
        </is>
      </c>
      <c r="E865" t="inlineStr">
        <is>
          <t>SUNDSVALL</t>
        </is>
      </c>
      <c r="F865" t="inlineStr">
        <is>
          <t>SCA</t>
        </is>
      </c>
      <c r="G865" t="n">
        <v>19.1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1342-2022</t>
        </is>
      </c>
      <c r="B866" s="1" t="n">
        <v>44572</v>
      </c>
      <c r="C866" s="1" t="n">
        <v>45181</v>
      </c>
      <c r="D866" t="inlineStr">
        <is>
          <t>VÄSTERNORRLANDS LÄN</t>
        </is>
      </c>
      <c r="E866" t="inlineStr">
        <is>
          <t>SUNDSVALL</t>
        </is>
      </c>
      <c r="F866" t="inlineStr">
        <is>
          <t>SCA</t>
        </is>
      </c>
      <c r="G866" t="n">
        <v>20.6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2330-2022</t>
        </is>
      </c>
      <c r="B867" s="1" t="n">
        <v>44578</v>
      </c>
      <c r="C867" s="1" t="n">
        <v>45181</v>
      </c>
      <c r="D867" t="inlineStr">
        <is>
          <t>VÄSTERNORRLANDS LÄN</t>
        </is>
      </c>
      <c r="E867" t="inlineStr">
        <is>
          <t>SUNDSVALL</t>
        </is>
      </c>
      <c r="G867" t="n">
        <v>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2332-2022</t>
        </is>
      </c>
      <c r="B868" s="1" t="n">
        <v>44578</v>
      </c>
      <c r="C868" s="1" t="n">
        <v>45181</v>
      </c>
      <c r="D868" t="inlineStr">
        <is>
          <t>VÄSTERNORRLANDS LÄN</t>
        </is>
      </c>
      <c r="E868" t="inlineStr">
        <is>
          <t>SUNDSVALL</t>
        </is>
      </c>
      <c r="G868" t="n">
        <v>2.5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2347-2022</t>
        </is>
      </c>
      <c r="B869" s="1" t="n">
        <v>44578</v>
      </c>
      <c r="C869" s="1" t="n">
        <v>45181</v>
      </c>
      <c r="D869" t="inlineStr">
        <is>
          <t>VÄSTERNORRLANDS LÄN</t>
        </is>
      </c>
      <c r="E869" t="inlineStr">
        <is>
          <t>SUNDSVALL</t>
        </is>
      </c>
      <c r="G869" t="n">
        <v>3.3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2537-2022</t>
        </is>
      </c>
      <c r="B870" s="1" t="n">
        <v>44579</v>
      </c>
      <c r="C870" s="1" t="n">
        <v>45181</v>
      </c>
      <c r="D870" t="inlineStr">
        <is>
          <t>VÄSTERNORRLANDS LÄN</t>
        </is>
      </c>
      <c r="E870" t="inlineStr">
        <is>
          <t>SUNDSVALL</t>
        </is>
      </c>
      <c r="F870" t="inlineStr">
        <is>
          <t>SCA</t>
        </is>
      </c>
      <c r="G870" t="n">
        <v>6.9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3008-2022</t>
        </is>
      </c>
      <c r="B871" s="1" t="n">
        <v>44581</v>
      </c>
      <c r="C871" s="1" t="n">
        <v>45181</v>
      </c>
      <c r="D871" t="inlineStr">
        <is>
          <t>VÄSTERNORRLANDS LÄN</t>
        </is>
      </c>
      <c r="E871" t="inlineStr">
        <is>
          <t>SUNDSVALL</t>
        </is>
      </c>
      <c r="G871" t="n">
        <v>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3236-2022</t>
        </is>
      </c>
      <c r="B872" s="1" t="n">
        <v>44582</v>
      </c>
      <c r="C872" s="1" t="n">
        <v>45181</v>
      </c>
      <c r="D872" t="inlineStr">
        <is>
          <t>VÄSTERNORRLANDS LÄN</t>
        </is>
      </c>
      <c r="E872" t="inlineStr">
        <is>
          <t>SUNDSVALL</t>
        </is>
      </c>
      <c r="F872" t="inlineStr">
        <is>
          <t>SCA</t>
        </is>
      </c>
      <c r="G872" t="n">
        <v>1.6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3238-2022</t>
        </is>
      </c>
      <c r="B873" s="1" t="n">
        <v>44582</v>
      </c>
      <c r="C873" s="1" t="n">
        <v>45181</v>
      </c>
      <c r="D873" t="inlineStr">
        <is>
          <t>VÄSTERNORRLANDS LÄN</t>
        </is>
      </c>
      <c r="E873" t="inlineStr">
        <is>
          <t>SUNDSVALL</t>
        </is>
      </c>
      <c r="F873" t="inlineStr">
        <is>
          <t>SCA</t>
        </is>
      </c>
      <c r="G873" t="n">
        <v>5.1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3546-2022</t>
        </is>
      </c>
      <c r="B874" s="1" t="n">
        <v>44585</v>
      </c>
      <c r="C874" s="1" t="n">
        <v>45181</v>
      </c>
      <c r="D874" t="inlineStr">
        <is>
          <t>VÄSTERNORRLANDS LÄN</t>
        </is>
      </c>
      <c r="E874" t="inlineStr">
        <is>
          <t>SUNDSVALL</t>
        </is>
      </c>
      <c r="F874" t="inlineStr">
        <is>
          <t>SCA</t>
        </is>
      </c>
      <c r="G874" t="n">
        <v>2.3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3359-2022</t>
        </is>
      </c>
      <c r="B875" s="1" t="n">
        <v>44585</v>
      </c>
      <c r="C875" s="1" t="n">
        <v>45181</v>
      </c>
      <c r="D875" t="inlineStr">
        <is>
          <t>VÄSTERNORRLANDS LÄN</t>
        </is>
      </c>
      <c r="E875" t="inlineStr">
        <is>
          <t>SUNDSVALL</t>
        </is>
      </c>
      <c r="G875" t="n">
        <v>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3545-2022</t>
        </is>
      </c>
      <c r="B876" s="1" t="n">
        <v>44585</v>
      </c>
      <c r="C876" s="1" t="n">
        <v>45181</v>
      </c>
      <c r="D876" t="inlineStr">
        <is>
          <t>VÄSTERNORRLANDS LÄN</t>
        </is>
      </c>
      <c r="E876" t="inlineStr">
        <is>
          <t>SUNDSVALL</t>
        </is>
      </c>
      <c r="F876" t="inlineStr">
        <is>
          <t>SCA</t>
        </is>
      </c>
      <c r="G876" t="n">
        <v>9.800000000000001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4332-2022</t>
        </is>
      </c>
      <c r="B877" s="1" t="n">
        <v>44588</v>
      </c>
      <c r="C877" s="1" t="n">
        <v>45181</v>
      </c>
      <c r="D877" t="inlineStr">
        <is>
          <t>VÄSTERNORRLANDS LÄN</t>
        </is>
      </c>
      <c r="E877" t="inlineStr">
        <is>
          <t>SUNDSVALL</t>
        </is>
      </c>
      <c r="G877" t="n">
        <v>0.4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4519-2022</t>
        </is>
      </c>
      <c r="B878" s="1" t="n">
        <v>44589</v>
      </c>
      <c r="C878" s="1" t="n">
        <v>45181</v>
      </c>
      <c r="D878" t="inlineStr">
        <is>
          <t>VÄSTERNORRLANDS LÄN</t>
        </is>
      </c>
      <c r="E878" t="inlineStr">
        <is>
          <t>SUNDSVALL</t>
        </is>
      </c>
      <c r="G878" t="n">
        <v>2.5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4871-2022</t>
        </is>
      </c>
      <c r="B879" s="1" t="n">
        <v>44592</v>
      </c>
      <c r="C879" s="1" t="n">
        <v>45181</v>
      </c>
      <c r="D879" t="inlineStr">
        <is>
          <t>VÄSTERNORRLANDS LÄN</t>
        </is>
      </c>
      <c r="E879" t="inlineStr">
        <is>
          <t>SUNDSVALL</t>
        </is>
      </c>
      <c r="G879" t="n">
        <v>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5119-2022</t>
        </is>
      </c>
      <c r="B880" s="1" t="n">
        <v>44593</v>
      </c>
      <c r="C880" s="1" t="n">
        <v>45181</v>
      </c>
      <c r="D880" t="inlineStr">
        <is>
          <t>VÄSTERNORRLANDS LÄN</t>
        </is>
      </c>
      <c r="E880" t="inlineStr">
        <is>
          <t>SUNDSVALL</t>
        </is>
      </c>
      <c r="F880" t="inlineStr">
        <is>
          <t>SCA</t>
        </is>
      </c>
      <c r="G880" t="n">
        <v>3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5332-2022</t>
        </is>
      </c>
      <c r="B881" s="1" t="n">
        <v>44594</v>
      </c>
      <c r="C881" s="1" t="n">
        <v>45181</v>
      </c>
      <c r="D881" t="inlineStr">
        <is>
          <t>VÄSTERNORRLANDS LÄN</t>
        </is>
      </c>
      <c r="E881" t="inlineStr">
        <is>
          <t>SUNDSVALL</t>
        </is>
      </c>
      <c r="G881" t="n">
        <v>2.2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5650-2022</t>
        </is>
      </c>
      <c r="B882" s="1" t="n">
        <v>44595</v>
      </c>
      <c r="C882" s="1" t="n">
        <v>45181</v>
      </c>
      <c r="D882" t="inlineStr">
        <is>
          <t>VÄSTERNORRLANDS LÄN</t>
        </is>
      </c>
      <c r="E882" t="inlineStr">
        <is>
          <t>SUNDSVALL</t>
        </is>
      </c>
      <c r="G882" t="n">
        <v>1.3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5654-2022</t>
        </is>
      </c>
      <c r="B883" s="1" t="n">
        <v>44595</v>
      </c>
      <c r="C883" s="1" t="n">
        <v>45181</v>
      </c>
      <c r="D883" t="inlineStr">
        <is>
          <t>VÄSTERNORRLANDS LÄN</t>
        </is>
      </c>
      <c r="E883" t="inlineStr">
        <is>
          <t>SUNDSVALL</t>
        </is>
      </c>
      <c r="F883" t="inlineStr">
        <is>
          <t>SCA</t>
        </is>
      </c>
      <c r="G883" t="n">
        <v>7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6239-2022</t>
        </is>
      </c>
      <c r="B884" s="1" t="n">
        <v>44599</v>
      </c>
      <c r="C884" s="1" t="n">
        <v>45181</v>
      </c>
      <c r="D884" t="inlineStr">
        <is>
          <t>VÄSTERNORRLANDS LÄN</t>
        </is>
      </c>
      <c r="E884" t="inlineStr">
        <is>
          <t>SUNDSVALL</t>
        </is>
      </c>
      <c r="G884" t="n">
        <v>1.9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6808-2022</t>
        </is>
      </c>
      <c r="B885" s="1" t="n">
        <v>44602</v>
      </c>
      <c r="C885" s="1" t="n">
        <v>45181</v>
      </c>
      <c r="D885" t="inlineStr">
        <is>
          <t>VÄSTERNORRLANDS LÄN</t>
        </is>
      </c>
      <c r="E885" t="inlineStr">
        <is>
          <t>SUNDSVALL</t>
        </is>
      </c>
      <c r="G885" t="n">
        <v>2.4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7437-2022</t>
        </is>
      </c>
      <c r="B886" s="1" t="n">
        <v>44606</v>
      </c>
      <c r="C886" s="1" t="n">
        <v>45181</v>
      </c>
      <c r="D886" t="inlineStr">
        <is>
          <t>VÄSTERNORRLANDS LÄN</t>
        </is>
      </c>
      <c r="E886" t="inlineStr">
        <is>
          <t>SUNDSVALL</t>
        </is>
      </c>
      <c r="G886" t="n">
        <v>2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7436-2022</t>
        </is>
      </c>
      <c r="B887" s="1" t="n">
        <v>44606</v>
      </c>
      <c r="C887" s="1" t="n">
        <v>45181</v>
      </c>
      <c r="D887" t="inlineStr">
        <is>
          <t>VÄSTERNORRLANDS LÄN</t>
        </is>
      </c>
      <c r="E887" t="inlineStr">
        <is>
          <t>SUNDSVALL</t>
        </is>
      </c>
      <c r="G887" t="n">
        <v>2.1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7946-2022</t>
        </is>
      </c>
      <c r="B888" s="1" t="n">
        <v>44608</v>
      </c>
      <c r="C888" s="1" t="n">
        <v>45181</v>
      </c>
      <c r="D888" t="inlineStr">
        <is>
          <t>VÄSTERNORRLANDS LÄN</t>
        </is>
      </c>
      <c r="E888" t="inlineStr">
        <is>
          <t>SUNDSVALL</t>
        </is>
      </c>
      <c r="G888" t="n">
        <v>5.8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7943-2022</t>
        </is>
      </c>
      <c r="B889" s="1" t="n">
        <v>44608</v>
      </c>
      <c r="C889" s="1" t="n">
        <v>45181</v>
      </c>
      <c r="D889" t="inlineStr">
        <is>
          <t>VÄSTERNORRLANDS LÄN</t>
        </is>
      </c>
      <c r="E889" t="inlineStr">
        <is>
          <t>SUNDSVALL</t>
        </is>
      </c>
      <c r="G889" t="n">
        <v>1.1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8224-2022</t>
        </is>
      </c>
      <c r="B890" s="1" t="n">
        <v>44609</v>
      </c>
      <c r="C890" s="1" t="n">
        <v>45181</v>
      </c>
      <c r="D890" t="inlineStr">
        <is>
          <t>VÄSTERNORRLANDS LÄN</t>
        </is>
      </c>
      <c r="E890" t="inlineStr">
        <is>
          <t>SUNDSVALL</t>
        </is>
      </c>
      <c r="G890" t="n">
        <v>4.3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10890-2022</t>
        </is>
      </c>
      <c r="B891" s="1" t="n">
        <v>44627</v>
      </c>
      <c r="C891" s="1" t="n">
        <v>45181</v>
      </c>
      <c r="D891" t="inlineStr">
        <is>
          <t>VÄSTERNORRLANDS LÄN</t>
        </is>
      </c>
      <c r="E891" t="inlineStr">
        <is>
          <t>SUNDSVALL</t>
        </is>
      </c>
      <c r="F891" t="inlineStr">
        <is>
          <t>Kommuner</t>
        </is>
      </c>
      <c r="G891" t="n">
        <v>1.2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10986-2022</t>
        </is>
      </c>
      <c r="B892" s="1" t="n">
        <v>44628</v>
      </c>
      <c r="C892" s="1" t="n">
        <v>45181</v>
      </c>
      <c r="D892" t="inlineStr">
        <is>
          <t>VÄSTERNORRLANDS LÄN</t>
        </is>
      </c>
      <c r="E892" t="inlineStr">
        <is>
          <t>SUNDSVALL</t>
        </is>
      </c>
      <c r="G892" t="n">
        <v>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10988-2022</t>
        </is>
      </c>
      <c r="B893" s="1" t="n">
        <v>44628</v>
      </c>
      <c r="C893" s="1" t="n">
        <v>45181</v>
      </c>
      <c r="D893" t="inlineStr">
        <is>
          <t>VÄSTERNORRLANDS LÄN</t>
        </is>
      </c>
      <c r="E893" t="inlineStr">
        <is>
          <t>SUNDSVALL</t>
        </is>
      </c>
      <c r="G893" t="n">
        <v>3.5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10984-2022</t>
        </is>
      </c>
      <c r="B894" s="1" t="n">
        <v>44628</v>
      </c>
      <c r="C894" s="1" t="n">
        <v>45181</v>
      </c>
      <c r="D894" t="inlineStr">
        <is>
          <t>VÄSTERNORRLANDS LÄN</t>
        </is>
      </c>
      <c r="E894" t="inlineStr">
        <is>
          <t>SUNDSVALL</t>
        </is>
      </c>
      <c r="G894" t="n">
        <v>1.1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11352-2022</t>
        </is>
      </c>
      <c r="B895" s="1" t="n">
        <v>44630</v>
      </c>
      <c r="C895" s="1" t="n">
        <v>45181</v>
      </c>
      <c r="D895" t="inlineStr">
        <is>
          <t>VÄSTERNORRLANDS LÄN</t>
        </is>
      </c>
      <c r="E895" t="inlineStr">
        <is>
          <t>SUNDSVALL</t>
        </is>
      </c>
      <c r="G895" t="n">
        <v>10.2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11610-2022</t>
        </is>
      </c>
      <c r="B896" s="1" t="n">
        <v>44631</v>
      </c>
      <c r="C896" s="1" t="n">
        <v>45181</v>
      </c>
      <c r="D896" t="inlineStr">
        <is>
          <t>VÄSTERNORRLANDS LÄN</t>
        </is>
      </c>
      <c r="E896" t="inlineStr">
        <is>
          <t>SUNDSVALL</t>
        </is>
      </c>
      <c r="G896" t="n">
        <v>1.3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12012-2022</t>
        </is>
      </c>
      <c r="B897" s="1" t="n">
        <v>44635</v>
      </c>
      <c r="C897" s="1" t="n">
        <v>45181</v>
      </c>
      <c r="D897" t="inlineStr">
        <is>
          <t>VÄSTERNORRLANDS LÄN</t>
        </is>
      </c>
      <c r="E897" t="inlineStr">
        <is>
          <t>SUNDSVALL</t>
        </is>
      </c>
      <c r="F897" t="inlineStr">
        <is>
          <t>SCA</t>
        </is>
      </c>
      <c r="G897" t="n">
        <v>2.2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12751-2022</t>
        </is>
      </c>
      <c r="B898" s="1" t="n">
        <v>44641</v>
      </c>
      <c r="C898" s="1" t="n">
        <v>45181</v>
      </c>
      <c r="D898" t="inlineStr">
        <is>
          <t>VÄSTERNORRLANDS LÄN</t>
        </is>
      </c>
      <c r="E898" t="inlineStr">
        <is>
          <t>SUNDSVALL</t>
        </is>
      </c>
      <c r="G898" t="n">
        <v>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13293-2022</t>
        </is>
      </c>
      <c r="B899" s="1" t="n">
        <v>44644</v>
      </c>
      <c r="C899" s="1" t="n">
        <v>45181</v>
      </c>
      <c r="D899" t="inlineStr">
        <is>
          <t>VÄSTERNORRLANDS LÄN</t>
        </is>
      </c>
      <c r="E899" t="inlineStr">
        <is>
          <t>SUNDSVALL</t>
        </is>
      </c>
      <c r="G899" t="n">
        <v>18.5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13260-2022</t>
        </is>
      </c>
      <c r="B900" s="1" t="n">
        <v>44644</v>
      </c>
      <c r="C900" s="1" t="n">
        <v>45181</v>
      </c>
      <c r="D900" t="inlineStr">
        <is>
          <t>VÄSTERNORRLANDS LÄN</t>
        </is>
      </c>
      <c r="E900" t="inlineStr">
        <is>
          <t>SUNDSVALL</t>
        </is>
      </c>
      <c r="G900" t="n">
        <v>8.5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13461-2022</t>
        </is>
      </c>
      <c r="B901" s="1" t="n">
        <v>44645</v>
      </c>
      <c r="C901" s="1" t="n">
        <v>45181</v>
      </c>
      <c r="D901" t="inlineStr">
        <is>
          <t>VÄSTERNORRLANDS LÄN</t>
        </is>
      </c>
      <c r="E901" t="inlineStr">
        <is>
          <t>SUNDSVALL</t>
        </is>
      </c>
      <c r="G901" t="n">
        <v>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14014-2022</t>
        </is>
      </c>
      <c r="B902" s="1" t="n">
        <v>44650</v>
      </c>
      <c r="C902" s="1" t="n">
        <v>45181</v>
      </c>
      <c r="D902" t="inlineStr">
        <is>
          <t>VÄSTERNORRLANDS LÄN</t>
        </is>
      </c>
      <c r="E902" t="inlineStr">
        <is>
          <t>SUNDSVALL</t>
        </is>
      </c>
      <c r="G902" t="n">
        <v>1.7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14067-2022</t>
        </is>
      </c>
      <c r="B903" s="1" t="n">
        <v>44650</v>
      </c>
      <c r="C903" s="1" t="n">
        <v>45181</v>
      </c>
      <c r="D903" t="inlineStr">
        <is>
          <t>VÄSTERNORRLANDS LÄN</t>
        </is>
      </c>
      <c r="E903" t="inlineStr">
        <is>
          <t>SUNDSVALL</t>
        </is>
      </c>
      <c r="F903" t="inlineStr">
        <is>
          <t>SCA</t>
        </is>
      </c>
      <c r="G903" t="n">
        <v>6.6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14233-2022</t>
        </is>
      </c>
      <c r="B904" s="1" t="n">
        <v>44651</v>
      </c>
      <c r="C904" s="1" t="n">
        <v>45181</v>
      </c>
      <c r="D904" t="inlineStr">
        <is>
          <t>VÄSTERNORRLANDS LÄN</t>
        </is>
      </c>
      <c r="E904" t="inlineStr">
        <is>
          <t>SUNDSVALL</t>
        </is>
      </c>
      <c r="G904" t="n">
        <v>0.7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14466-2022</t>
        </is>
      </c>
      <c r="B905" s="1" t="n">
        <v>44654</v>
      </c>
      <c r="C905" s="1" t="n">
        <v>45181</v>
      </c>
      <c r="D905" t="inlineStr">
        <is>
          <t>VÄSTERNORRLANDS LÄN</t>
        </is>
      </c>
      <c r="E905" t="inlineStr">
        <is>
          <t>SUNDSVALL</t>
        </is>
      </c>
      <c r="G905" t="n">
        <v>4.4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14465-2022</t>
        </is>
      </c>
      <c r="B906" s="1" t="n">
        <v>44654</v>
      </c>
      <c r="C906" s="1" t="n">
        <v>45181</v>
      </c>
      <c r="D906" t="inlineStr">
        <is>
          <t>VÄSTERNORRLANDS LÄN</t>
        </is>
      </c>
      <c r="E906" t="inlineStr">
        <is>
          <t>SUNDSVALL</t>
        </is>
      </c>
      <c r="G906" t="n">
        <v>2.9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15089-2022</t>
        </is>
      </c>
      <c r="B907" s="1" t="n">
        <v>44657</v>
      </c>
      <c r="C907" s="1" t="n">
        <v>45181</v>
      </c>
      <c r="D907" t="inlineStr">
        <is>
          <t>VÄSTERNORRLANDS LÄN</t>
        </is>
      </c>
      <c r="E907" t="inlineStr">
        <is>
          <t>SUNDSVALL</t>
        </is>
      </c>
      <c r="F907" t="inlineStr">
        <is>
          <t>SCA</t>
        </is>
      </c>
      <c r="G907" t="n">
        <v>3.7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15492-2022</t>
        </is>
      </c>
      <c r="B908" s="1" t="n">
        <v>44662</v>
      </c>
      <c r="C908" s="1" t="n">
        <v>45181</v>
      </c>
      <c r="D908" t="inlineStr">
        <is>
          <t>VÄSTERNORRLANDS LÄN</t>
        </is>
      </c>
      <c r="E908" t="inlineStr">
        <is>
          <t>SUNDSVALL</t>
        </is>
      </c>
      <c r="G908" t="n">
        <v>3.1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15598-2022</t>
        </is>
      </c>
      <c r="B909" s="1" t="n">
        <v>44662</v>
      </c>
      <c r="C909" s="1" t="n">
        <v>45181</v>
      </c>
      <c r="D909" t="inlineStr">
        <is>
          <t>VÄSTERNORRLANDS LÄN</t>
        </is>
      </c>
      <c r="E909" t="inlineStr">
        <is>
          <t>SUNDSVALL</t>
        </is>
      </c>
      <c r="G909" t="n">
        <v>0.3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15599-2022</t>
        </is>
      </c>
      <c r="B910" s="1" t="n">
        <v>44662</v>
      </c>
      <c r="C910" s="1" t="n">
        <v>45181</v>
      </c>
      <c r="D910" t="inlineStr">
        <is>
          <t>VÄSTERNORRLANDS LÄN</t>
        </is>
      </c>
      <c r="E910" t="inlineStr">
        <is>
          <t>SUNDSVALL</t>
        </is>
      </c>
      <c r="G910" t="n">
        <v>0.4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15712-2022</t>
        </is>
      </c>
      <c r="B911" s="1" t="n">
        <v>44663</v>
      </c>
      <c r="C911" s="1" t="n">
        <v>45181</v>
      </c>
      <c r="D911" t="inlineStr">
        <is>
          <t>VÄSTERNORRLANDS LÄN</t>
        </is>
      </c>
      <c r="E911" t="inlineStr">
        <is>
          <t>SUNDSVALL</t>
        </is>
      </c>
      <c r="G911" t="n">
        <v>0.9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15698-2022</t>
        </is>
      </c>
      <c r="B912" s="1" t="n">
        <v>44663</v>
      </c>
      <c r="C912" s="1" t="n">
        <v>45181</v>
      </c>
      <c r="D912" t="inlineStr">
        <is>
          <t>VÄSTERNORRLANDS LÄN</t>
        </is>
      </c>
      <c r="E912" t="inlineStr">
        <is>
          <t>SUNDSVALL</t>
        </is>
      </c>
      <c r="G912" t="n">
        <v>1.2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16147-2022</t>
        </is>
      </c>
      <c r="B913" s="1" t="n">
        <v>44665</v>
      </c>
      <c r="C913" s="1" t="n">
        <v>45181</v>
      </c>
      <c r="D913" t="inlineStr">
        <is>
          <t>VÄSTERNORRLANDS LÄN</t>
        </is>
      </c>
      <c r="E913" t="inlineStr">
        <is>
          <t>SUNDSVALL</t>
        </is>
      </c>
      <c r="F913" t="inlineStr">
        <is>
          <t>SCA</t>
        </is>
      </c>
      <c r="G913" t="n">
        <v>8.800000000000001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17059-2022</t>
        </is>
      </c>
      <c r="B914" s="1" t="n">
        <v>44676</v>
      </c>
      <c r="C914" s="1" t="n">
        <v>45181</v>
      </c>
      <c r="D914" t="inlineStr">
        <is>
          <t>VÄSTERNORRLANDS LÄN</t>
        </is>
      </c>
      <c r="E914" t="inlineStr">
        <is>
          <t>SUNDSVALL</t>
        </is>
      </c>
      <c r="F914" t="inlineStr">
        <is>
          <t>SCA</t>
        </is>
      </c>
      <c r="G914" t="n">
        <v>1.9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17211-2022</t>
        </is>
      </c>
      <c r="B915" s="1" t="n">
        <v>44677</v>
      </c>
      <c r="C915" s="1" t="n">
        <v>45181</v>
      </c>
      <c r="D915" t="inlineStr">
        <is>
          <t>VÄSTERNORRLANDS LÄN</t>
        </is>
      </c>
      <c r="E915" t="inlineStr">
        <is>
          <t>SUNDSVALL</t>
        </is>
      </c>
      <c r="G915" t="n">
        <v>5.4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17585-2022</t>
        </is>
      </c>
      <c r="B916" s="1" t="n">
        <v>44679</v>
      </c>
      <c r="C916" s="1" t="n">
        <v>45181</v>
      </c>
      <c r="D916" t="inlineStr">
        <is>
          <t>VÄSTERNORRLANDS LÄN</t>
        </is>
      </c>
      <c r="E916" t="inlineStr">
        <is>
          <t>SUNDSVALL</t>
        </is>
      </c>
      <c r="F916" t="inlineStr">
        <is>
          <t>SCA</t>
        </is>
      </c>
      <c r="G916" t="n">
        <v>4.1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17579-2022</t>
        </is>
      </c>
      <c r="B917" s="1" t="n">
        <v>44679</v>
      </c>
      <c r="C917" s="1" t="n">
        <v>45181</v>
      </c>
      <c r="D917" t="inlineStr">
        <is>
          <t>VÄSTERNORRLANDS LÄN</t>
        </is>
      </c>
      <c r="E917" t="inlineStr">
        <is>
          <t>SUNDSVALL</t>
        </is>
      </c>
      <c r="G917" t="n">
        <v>2.2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17993-2022</t>
        </is>
      </c>
      <c r="B918" s="1" t="n">
        <v>44683</v>
      </c>
      <c r="C918" s="1" t="n">
        <v>45181</v>
      </c>
      <c r="D918" t="inlineStr">
        <is>
          <t>VÄSTERNORRLANDS LÄN</t>
        </is>
      </c>
      <c r="E918" t="inlineStr">
        <is>
          <t>SUNDSVALL</t>
        </is>
      </c>
      <c r="G918" t="n">
        <v>0.7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18207-2022</t>
        </is>
      </c>
      <c r="B919" s="1" t="n">
        <v>44684</v>
      </c>
      <c r="C919" s="1" t="n">
        <v>45181</v>
      </c>
      <c r="D919" t="inlineStr">
        <is>
          <t>VÄSTERNORRLANDS LÄN</t>
        </is>
      </c>
      <c r="E919" t="inlineStr">
        <is>
          <t>SUNDSVALL</t>
        </is>
      </c>
      <c r="F919" t="inlineStr">
        <is>
          <t>SCA</t>
        </is>
      </c>
      <c r="G919" t="n">
        <v>2.3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18455-2022</t>
        </is>
      </c>
      <c r="B920" s="1" t="n">
        <v>44686</v>
      </c>
      <c r="C920" s="1" t="n">
        <v>45181</v>
      </c>
      <c r="D920" t="inlineStr">
        <is>
          <t>VÄSTERNORRLANDS LÄN</t>
        </is>
      </c>
      <c r="E920" t="inlineStr">
        <is>
          <t>SUNDSVALL</t>
        </is>
      </c>
      <c r="G920" t="n">
        <v>2.2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18452-2022</t>
        </is>
      </c>
      <c r="B921" s="1" t="n">
        <v>44686</v>
      </c>
      <c r="C921" s="1" t="n">
        <v>45181</v>
      </c>
      <c r="D921" t="inlineStr">
        <is>
          <t>VÄSTERNORRLANDS LÄN</t>
        </is>
      </c>
      <c r="E921" t="inlineStr">
        <is>
          <t>SUNDSVALL</t>
        </is>
      </c>
      <c r="G921" t="n">
        <v>0.5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18838-2022</t>
        </is>
      </c>
      <c r="B922" s="1" t="n">
        <v>44690</v>
      </c>
      <c r="C922" s="1" t="n">
        <v>45181</v>
      </c>
      <c r="D922" t="inlineStr">
        <is>
          <t>VÄSTERNORRLANDS LÄN</t>
        </is>
      </c>
      <c r="E922" t="inlineStr">
        <is>
          <t>SUNDSVALL</t>
        </is>
      </c>
      <c r="G922" t="n">
        <v>5.1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19178-2022</t>
        </is>
      </c>
      <c r="B923" s="1" t="n">
        <v>44691</v>
      </c>
      <c r="C923" s="1" t="n">
        <v>45181</v>
      </c>
      <c r="D923" t="inlineStr">
        <is>
          <t>VÄSTERNORRLANDS LÄN</t>
        </is>
      </c>
      <c r="E923" t="inlineStr">
        <is>
          <t>SUNDSVALL</t>
        </is>
      </c>
      <c r="G923" t="n">
        <v>1.3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19176-2022</t>
        </is>
      </c>
      <c r="B924" s="1" t="n">
        <v>44691</v>
      </c>
      <c r="C924" s="1" t="n">
        <v>45181</v>
      </c>
      <c r="D924" t="inlineStr">
        <is>
          <t>VÄSTERNORRLANDS LÄN</t>
        </is>
      </c>
      <c r="E924" t="inlineStr">
        <is>
          <t>SUNDSVALL</t>
        </is>
      </c>
      <c r="G924" t="n">
        <v>0.9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19468-2022</t>
        </is>
      </c>
      <c r="B925" s="1" t="n">
        <v>44693</v>
      </c>
      <c r="C925" s="1" t="n">
        <v>45181</v>
      </c>
      <c r="D925" t="inlineStr">
        <is>
          <t>VÄSTERNORRLANDS LÄN</t>
        </is>
      </c>
      <c r="E925" t="inlineStr">
        <is>
          <t>SUNDSVALL</t>
        </is>
      </c>
      <c r="G925" t="n">
        <v>0.1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20086-2022</t>
        </is>
      </c>
      <c r="B926" s="1" t="n">
        <v>44697</v>
      </c>
      <c r="C926" s="1" t="n">
        <v>45181</v>
      </c>
      <c r="D926" t="inlineStr">
        <is>
          <t>VÄSTERNORRLANDS LÄN</t>
        </is>
      </c>
      <c r="E926" t="inlineStr">
        <is>
          <t>SUNDSVALL</t>
        </is>
      </c>
      <c r="G926" t="n">
        <v>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20522-2022</t>
        </is>
      </c>
      <c r="B927" s="1" t="n">
        <v>44699</v>
      </c>
      <c r="C927" s="1" t="n">
        <v>45181</v>
      </c>
      <c r="D927" t="inlineStr">
        <is>
          <t>VÄSTERNORRLANDS LÄN</t>
        </is>
      </c>
      <c r="E927" t="inlineStr">
        <is>
          <t>SUNDSVALL</t>
        </is>
      </c>
      <c r="F927" t="inlineStr">
        <is>
          <t>SCA</t>
        </is>
      </c>
      <c r="G927" t="n">
        <v>1.6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20714-2022</t>
        </is>
      </c>
      <c r="B928" s="1" t="n">
        <v>44700</v>
      </c>
      <c r="C928" s="1" t="n">
        <v>45181</v>
      </c>
      <c r="D928" t="inlineStr">
        <is>
          <t>VÄSTERNORRLANDS LÄN</t>
        </is>
      </c>
      <c r="E928" t="inlineStr">
        <is>
          <t>SUNDSVALL</t>
        </is>
      </c>
      <c r="F928" t="inlineStr">
        <is>
          <t>SCA</t>
        </is>
      </c>
      <c r="G928" t="n">
        <v>1.6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20733-2022</t>
        </is>
      </c>
      <c r="B929" s="1" t="n">
        <v>44700</v>
      </c>
      <c r="C929" s="1" t="n">
        <v>45181</v>
      </c>
      <c r="D929" t="inlineStr">
        <is>
          <t>VÄSTERNORRLANDS LÄN</t>
        </is>
      </c>
      <c r="E929" t="inlineStr">
        <is>
          <t>SUNDSVALL</t>
        </is>
      </c>
      <c r="F929" t="inlineStr">
        <is>
          <t>SCA</t>
        </is>
      </c>
      <c r="G929" t="n">
        <v>2.1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20731-2022</t>
        </is>
      </c>
      <c r="B930" s="1" t="n">
        <v>44700</v>
      </c>
      <c r="C930" s="1" t="n">
        <v>45181</v>
      </c>
      <c r="D930" t="inlineStr">
        <is>
          <t>VÄSTERNORRLANDS LÄN</t>
        </is>
      </c>
      <c r="E930" t="inlineStr">
        <is>
          <t>SUNDSVALL</t>
        </is>
      </c>
      <c r="F930" t="inlineStr">
        <is>
          <t>SCA</t>
        </is>
      </c>
      <c r="G930" t="n">
        <v>1.3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21183-2022</t>
        </is>
      </c>
      <c r="B931" s="1" t="n">
        <v>44704</v>
      </c>
      <c r="C931" s="1" t="n">
        <v>45181</v>
      </c>
      <c r="D931" t="inlineStr">
        <is>
          <t>VÄSTERNORRLANDS LÄN</t>
        </is>
      </c>
      <c r="E931" t="inlineStr">
        <is>
          <t>SUNDSVALL</t>
        </is>
      </c>
      <c r="G931" t="n">
        <v>2.1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21182-2022</t>
        </is>
      </c>
      <c r="B932" s="1" t="n">
        <v>44704</v>
      </c>
      <c r="C932" s="1" t="n">
        <v>45181</v>
      </c>
      <c r="D932" t="inlineStr">
        <is>
          <t>VÄSTERNORRLANDS LÄN</t>
        </is>
      </c>
      <c r="E932" t="inlineStr">
        <is>
          <t>SUNDSVALL</t>
        </is>
      </c>
      <c r="G932" t="n">
        <v>1.4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21389-2022</t>
        </is>
      </c>
      <c r="B933" s="1" t="n">
        <v>44705</v>
      </c>
      <c r="C933" s="1" t="n">
        <v>45181</v>
      </c>
      <c r="D933" t="inlineStr">
        <is>
          <t>VÄSTERNORRLANDS LÄN</t>
        </is>
      </c>
      <c r="E933" t="inlineStr">
        <is>
          <t>SUNDSVALL</t>
        </is>
      </c>
      <c r="G933" t="n">
        <v>2.1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21396-2022</t>
        </is>
      </c>
      <c r="B934" s="1" t="n">
        <v>44705</v>
      </c>
      <c r="C934" s="1" t="n">
        <v>45181</v>
      </c>
      <c r="D934" t="inlineStr">
        <is>
          <t>VÄSTERNORRLANDS LÄN</t>
        </is>
      </c>
      <c r="E934" t="inlineStr">
        <is>
          <t>SUNDSVALL</t>
        </is>
      </c>
      <c r="G934" t="n">
        <v>1.2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21661-2022</t>
        </is>
      </c>
      <c r="B935" s="1" t="n">
        <v>44706</v>
      </c>
      <c r="C935" s="1" t="n">
        <v>45181</v>
      </c>
      <c r="D935" t="inlineStr">
        <is>
          <t>VÄSTERNORRLANDS LÄN</t>
        </is>
      </c>
      <c r="E935" t="inlineStr">
        <is>
          <t>SUNDSVALL</t>
        </is>
      </c>
      <c r="F935" t="inlineStr">
        <is>
          <t>SCA</t>
        </is>
      </c>
      <c r="G935" t="n">
        <v>1.8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22890-2022</t>
        </is>
      </c>
      <c r="B936" s="1" t="n">
        <v>44715</v>
      </c>
      <c r="C936" s="1" t="n">
        <v>45181</v>
      </c>
      <c r="D936" t="inlineStr">
        <is>
          <t>VÄSTERNORRLANDS LÄN</t>
        </is>
      </c>
      <c r="E936" t="inlineStr">
        <is>
          <t>SUNDSVALL</t>
        </is>
      </c>
      <c r="G936" t="n">
        <v>5.8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23423-2022</t>
        </is>
      </c>
      <c r="B937" s="1" t="n">
        <v>44720</v>
      </c>
      <c r="C937" s="1" t="n">
        <v>45181</v>
      </c>
      <c r="D937" t="inlineStr">
        <is>
          <t>VÄSTERNORRLANDS LÄN</t>
        </is>
      </c>
      <c r="E937" t="inlineStr">
        <is>
          <t>SUNDSVALL</t>
        </is>
      </c>
      <c r="G937" t="n">
        <v>1.6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23422-2022</t>
        </is>
      </c>
      <c r="B938" s="1" t="n">
        <v>44720</v>
      </c>
      <c r="C938" s="1" t="n">
        <v>45181</v>
      </c>
      <c r="D938" t="inlineStr">
        <is>
          <t>VÄSTERNORRLANDS LÄN</t>
        </is>
      </c>
      <c r="E938" t="inlineStr">
        <is>
          <t>SUNDSVALL</t>
        </is>
      </c>
      <c r="G938" t="n">
        <v>2.6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23432-2022</t>
        </is>
      </c>
      <c r="B939" s="1" t="n">
        <v>44720</v>
      </c>
      <c r="C939" s="1" t="n">
        <v>45181</v>
      </c>
      <c r="D939" t="inlineStr">
        <is>
          <t>VÄSTERNORRLANDS LÄN</t>
        </is>
      </c>
      <c r="E939" t="inlineStr">
        <is>
          <t>SUNDSVALL</t>
        </is>
      </c>
      <c r="F939" t="inlineStr">
        <is>
          <t>SCA</t>
        </is>
      </c>
      <c r="G939" t="n">
        <v>2.3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23556-2022</t>
        </is>
      </c>
      <c r="B940" s="1" t="n">
        <v>44721</v>
      </c>
      <c r="C940" s="1" t="n">
        <v>45181</v>
      </c>
      <c r="D940" t="inlineStr">
        <is>
          <t>VÄSTERNORRLANDS LÄN</t>
        </is>
      </c>
      <c r="E940" t="inlineStr">
        <is>
          <t>SUNDSVALL</t>
        </is>
      </c>
      <c r="G940" t="n">
        <v>0.5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23669-2022</t>
        </is>
      </c>
      <c r="B941" s="1" t="n">
        <v>44721</v>
      </c>
      <c r="C941" s="1" t="n">
        <v>45181</v>
      </c>
      <c r="D941" t="inlineStr">
        <is>
          <t>VÄSTERNORRLANDS LÄN</t>
        </is>
      </c>
      <c r="E941" t="inlineStr">
        <is>
          <t>SUNDSVALL</t>
        </is>
      </c>
      <c r="G941" t="n">
        <v>2.4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23841-2022</t>
        </is>
      </c>
      <c r="B942" s="1" t="n">
        <v>44722</v>
      </c>
      <c r="C942" s="1" t="n">
        <v>45181</v>
      </c>
      <c r="D942" t="inlineStr">
        <is>
          <t>VÄSTERNORRLANDS LÄN</t>
        </is>
      </c>
      <c r="E942" t="inlineStr">
        <is>
          <t>SUNDSVALL</t>
        </is>
      </c>
      <c r="G942" t="n">
        <v>0.5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23990-2022</t>
        </is>
      </c>
      <c r="B943" s="1" t="n">
        <v>44722</v>
      </c>
      <c r="C943" s="1" t="n">
        <v>45181</v>
      </c>
      <c r="D943" t="inlineStr">
        <is>
          <t>VÄSTERNORRLANDS LÄN</t>
        </is>
      </c>
      <c r="E943" t="inlineStr">
        <is>
          <t>SUNDSVALL</t>
        </is>
      </c>
      <c r="F943" t="inlineStr">
        <is>
          <t>SCA</t>
        </is>
      </c>
      <c r="G943" t="n">
        <v>6.5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23840-2022</t>
        </is>
      </c>
      <c r="B944" s="1" t="n">
        <v>44722</v>
      </c>
      <c r="C944" s="1" t="n">
        <v>45181</v>
      </c>
      <c r="D944" t="inlineStr">
        <is>
          <t>VÄSTERNORRLANDS LÄN</t>
        </is>
      </c>
      <c r="E944" t="inlineStr">
        <is>
          <t>SUNDSVALL</t>
        </is>
      </c>
      <c r="G944" t="n">
        <v>0.4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23998-2022</t>
        </is>
      </c>
      <c r="B945" s="1" t="n">
        <v>44722</v>
      </c>
      <c r="C945" s="1" t="n">
        <v>45181</v>
      </c>
      <c r="D945" t="inlineStr">
        <is>
          <t>VÄSTERNORRLANDS LÄN</t>
        </is>
      </c>
      <c r="E945" t="inlineStr">
        <is>
          <t>SUNDSVALL</t>
        </is>
      </c>
      <c r="F945" t="inlineStr">
        <is>
          <t>SCA</t>
        </is>
      </c>
      <c r="G945" t="n">
        <v>3.9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24514-2022</t>
        </is>
      </c>
      <c r="B946" s="1" t="n">
        <v>44726</v>
      </c>
      <c r="C946" s="1" t="n">
        <v>45181</v>
      </c>
      <c r="D946" t="inlineStr">
        <is>
          <t>VÄSTERNORRLANDS LÄN</t>
        </is>
      </c>
      <c r="E946" t="inlineStr">
        <is>
          <t>SUNDSVALL</t>
        </is>
      </c>
      <c r="G946" t="n">
        <v>10.5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24518-2022</t>
        </is>
      </c>
      <c r="B947" s="1" t="n">
        <v>44726</v>
      </c>
      <c r="C947" s="1" t="n">
        <v>45181</v>
      </c>
      <c r="D947" t="inlineStr">
        <is>
          <t>VÄSTERNORRLANDS LÄN</t>
        </is>
      </c>
      <c r="E947" t="inlineStr">
        <is>
          <t>SUNDSVALL</t>
        </is>
      </c>
      <c r="F947" t="inlineStr">
        <is>
          <t>SCA</t>
        </is>
      </c>
      <c r="G947" t="n">
        <v>4.3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24722-2022</t>
        </is>
      </c>
      <c r="B948" s="1" t="n">
        <v>44727</v>
      </c>
      <c r="C948" s="1" t="n">
        <v>45181</v>
      </c>
      <c r="D948" t="inlineStr">
        <is>
          <t>VÄSTERNORRLANDS LÄN</t>
        </is>
      </c>
      <c r="E948" t="inlineStr">
        <is>
          <t>SUNDSVALL</t>
        </is>
      </c>
      <c r="F948" t="inlineStr">
        <is>
          <t>SCA</t>
        </is>
      </c>
      <c r="G948" t="n">
        <v>18.9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25208-2022</t>
        </is>
      </c>
      <c r="B949" s="1" t="n">
        <v>44729</v>
      </c>
      <c r="C949" s="1" t="n">
        <v>45181</v>
      </c>
      <c r="D949" t="inlineStr">
        <is>
          <t>VÄSTERNORRLANDS LÄN</t>
        </is>
      </c>
      <c r="E949" t="inlineStr">
        <is>
          <t>SUNDSVALL</t>
        </is>
      </c>
      <c r="F949" t="inlineStr">
        <is>
          <t>Holmen skog AB</t>
        </is>
      </c>
      <c r="G949" t="n">
        <v>3.7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25251-2022</t>
        </is>
      </c>
      <c r="B950" s="1" t="n">
        <v>44729</v>
      </c>
      <c r="C950" s="1" t="n">
        <v>45181</v>
      </c>
      <c r="D950" t="inlineStr">
        <is>
          <t>VÄSTERNORRLANDS LÄN</t>
        </is>
      </c>
      <c r="E950" t="inlineStr">
        <is>
          <t>SUNDSVALL</t>
        </is>
      </c>
      <c r="F950" t="inlineStr">
        <is>
          <t>SCA</t>
        </is>
      </c>
      <c r="G950" t="n">
        <v>2.9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25964-2022</t>
        </is>
      </c>
      <c r="B951" s="1" t="n">
        <v>44734</v>
      </c>
      <c r="C951" s="1" t="n">
        <v>45181</v>
      </c>
      <c r="D951" t="inlineStr">
        <is>
          <t>VÄSTERNORRLANDS LÄN</t>
        </is>
      </c>
      <c r="E951" t="inlineStr">
        <is>
          <t>SUNDSVALL</t>
        </is>
      </c>
      <c r="G951" t="n">
        <v>2.4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26287-2022</t>
        </is>
      </c>
      <c r="B952" s="1" t="n">
        <v>44735</v>
      </c>
      <c r="C952" s="1" t="n">
        <v>45181</v>
      </c>
      <c r="D952" t="inlineStr">
        <is>
          <t>VÄSTERNORRLANDS LÄN</t>
        </is>
      </c>
      <c r="E952" t="inlineStr">
        <is>
          <t>SUNDSVALL</t>
        </is>
      </c>
      <c r="G952" t="n">
        <v>0.2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26337-2022</t>
        </is>
      </c>
      <c r="B953" s="1" t="n">
        <v>44735</v>
      </c>
      <c r="C953" s="1" t="n">
        <v>45181</v>
      </c>
      <c r="D953" t="inlineStr">
        <is>
          <t>VÄSTERNORRLANDS LÄN</t>
        </is>
      </c>
      <c r="E953" t="inlineStr">
        <is>
          <t>SUNDSVALL</t>
        </is>
      </c>
      <c r="F953" t="inlineStr">
        <is>
          <t>Holmen skog AB</t>
        </is>
      </c>
      <c r="G953" t="n">
        <v>4.4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26674-2022</t>
        </is>
      </c>
      <c r="B954" s="1" t="n">
        <v>44739</v>
      </c>
      <c r="C954" s="1" t="n">
        <v>45181</v>
      </c>
      <c r="D954" t="inlineStr">
        <is>
          <t>VÄSTERNORRLANDS LÄN</t>
        </is>
      </c>
      <c r="E954" t="inlineStr">
        <is>
          <t>SUNDSVALL</t>
        </is>
      </c>
      <c r="G954" t="n">
        <v>3.4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26453-2022</t>
        </is>
      </c>
      <c r="B955" s="1" t="n">
        <v>44739</v>
      </c>
      <c r="C955" s="1" t="n">
        <v>45181</v>
      </c>
      <c r="D955" t="inlineStr">
        <is>
          <t>VÄSTERNORRLANDS LÄN</t>
        </is>
      </c>
      <c r="E955" t="inlineStr">
        <is>
          <t>SUNDSVALL</t>
        </is>
      </c>
      <c r="G955" t="n">
        <v>0.4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27005-2022</t>
        </is>
      </c>
      <c r="B956" s="1" t="n">
        <v>44740</v>
      </c>
      <c r="C956" s="1" t="n">
        <v>45181</v>
      </c>
      <c r="D956" t="inlineStr">
        <is>
          <t>VÄSTERNORRLANDS LÄN</t>
        </is>
      </c>
      <c r="E956" t="inlineStr">
        <is>
          <t>SUNDSVALL</t>
        </is>
      </c>
      <c r="G956" t="n">
        <v>4.6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27004-2022</t>
        </is>
      </c>
      <c r="B957" s="1" t="n">
        <v>44740</v>
      </c>
      <c r="C957" s="1" t="n">
        <v>45181</v>
      </c>
      <c r="D957" t="inlineStr">
        <is>
          <t>VÄSTERNORRLANDS LÄN</t>
        </is>
      </c>
      <c r="E957" t="inlineStr">
        <is>
          <t>SUNDSVALL</t>
        </is>
      </c>
      <c r="G957" t="n">
        <v>26.1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27026-2022</t>
        </is>
      </c>
      <c r="B958" s="1" t="n">
        <v>44740</v>
      </c>
      <c r="C958" s="1" t="n">
        <v>45181</v>
      </c>
      <c r="D958" t="inlineStr">
        <is>
          <t>VÄSTERNORRLANDS LÄN</t>
        </is>
      </c>
      <c r="E958" t="inlineStr">
        <is>
          <t>SUNDSVALL</t>
        </is>
      </c>
      <c r="F958" t="inlineStr">
        <is>
          <t>SCA</t>
        </is>
      </c>
      <c r="G958" t="n">
        <v>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27934-2022</t>
        </is>
      </c>
      <c r="B959" s="1" t="n">
        <v>44743</v>
      </c>
      <c r="C959" s="1" t="n">
        <v>45181</v>
      </c>
      <c r="D959" t="inlineStr">
        <is>
          <t>VÄSTERNORRLANDS LÄN</t>
        </is>
      </c>
      <c r="E959" t="inlineStr">
        <is>
          <t>SUNDSVALL</t>
        </is>
      </c>
      <c r="F959" t="inlineStr">
        <is>
          <t>SCA</t>
        </is>
      </c>
      <c r="G959" t="n">
        <v>8.4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27948-2022</t>
        </is>
      </c>
      <c r="B960" s="1" t="n">
        <v>44743</v>
      </c>
      <c r="C960" s="1" t="n">
        <v>45181</v>
      </c>
      <c r="D960" t="inlineStr">
        <is>
          <t>VÄSTERNORRLANDS LÄN</t>
        </is>
      </c>
      <c r="E960" t="inlineStr">
        <is>
          <t>SUNDSVALL</t>
        </is>
      </c>
      <c r="F960" t="inlineStr">
        <is>
          <t>SCA</t>
        </is>
      </c>
      <c r="G960" t="n">
        <v>0.6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27932-2022</t>
        </is>
      </c>
      <c r="B961" s="1" t="n">
        <v>44743</v>
      </c>
      <c r="C961" s="1" t="n">
        <v>45181</v>
      </c>
      <c r="D961" t="inlineStr">
        <is>
          <t>VÄSTERNORRLANDS LÄN</t>
        </is>
      </c>
      <c r="E961" t="inlineStr">
        <is>
          <t>SUNDSVALL</t>
        </is>
      </c>
      <c r="F961" t="inlineStr">
        <is>
          <t>SCA</t>
        </is>
      </c>
      <c r="G961" t="n">
        <v>6.1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28232-2022</t>
        </is>
      </c>
      <c r="B962" s="1" t="n">
        <v>44746</v>
      </c>
      <c r="C962" s="1" t="n">
        <v>45181</v>
      </c>
      <c r="D962" t="inlineStr">
        <is>
          <t>VÄSTERNORRLANDS LÄN</t>
        </is>
      </c>
      <c r="E962" t="inlineStr">
        <is>
          <t>SUNDSVALL</t>
        </is>
      </c>
      <c r="G962" t="n">
        <v>0.6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28442-2022</t>
        </is>
      </c>
      <c r="B963" s="1" t="n">
        <v>44747</v>
      </c>
      <c r="C963" s="1" t="n">
        <v>45181</v>
      </c>
      <c r="D963" t="inlineStr">
        <is>
          <t>VÄSTERNORRLANDS LÄN</t>
        </is>
      </c>
      <c r="E963" t="inlineStr">
        <is>
          <t>SUNDSVALL</t>
        </is>
      </c>
      <c r="G963" t="n">
        <v>1.6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28447-2022</t>
        </is>
      </c>
      <c r="B964" s="1" t="n">
        <v>44747</v>
      </c>
      <c r="C964" s="1" t="n">
        <v>45181</v>
      </c>
      <c r="D964" t="inlineStr">
        <is>
          <t>VÄSTERNORRLANDS LÄN</t>
        </is>
      </c>
      <c r="E964" t="inlineStr">
        <is>
          <t>SUNDSVALL</t>
        </is>
      </c>
      <c r="G964" t="n">
        <v>1.8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28480-2022</t>
        </is>
      </c>
      <c r="B965" s="1" t="n">
        <v>44747</v>
      </c>
      <c r="C965" s="1" t="n">
        <v>45181</v>
      </c>
      <c r="D965" t="inlineStr">
        <is>
          <t>VÄSTERNORRLANDS LÄN</t>
        </is>
      </c>
      <c r="E965" t="inlineStr">
        <is>
          <t>SUNDSVALL</t>
        </is>
      </c>
      <c r="G965" t="n">
        <v>11.6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28450-2022</t>
        </is>
      </c>
      <c r="B966" s="1" t="n">
        <v>44747</v>
      </c>
      <c r="C966" s="1" t="n">
        <v>45181</v>
      </c>
      <c r="D966" t="inlineStr">
        <is>
          <t>VÄSTERNORRLANDS LÄN</t>
        </is>
      </c>
      <c r="E966" t="inlineStr">
        <is>
          <t>SUNDSVALL</t>
        </is>
      </c>
      <c r="G966" t="n">
        <v>0.8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28708-2022</t>
        </is>
      </c>
      <c r="B967" s="1" t="n">
        <v>44748</v>
      </c>
      <c r="C967" s="1" t="n">
        <v>45181</v>
      </c>
      <c r="D967" t="inlineStr">
        <is>
          <t>VÄSTERNORRLANDS LÄN</t>
        </is>
      </c>
      <c r="E967" t="inlineStr">
        <is>
          <t>SUNDSVALL</t>
        </is>
      </c>
      <c r="G967" t="n">
        <v>4.4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28536-2022</t>
        </is>
      </c>
      <c r="B968" s="1" t="n">
        <v>44748</v>
      </c>
      <c r="C968" s="1" t="n">
        <v>45181</v>
      </c>
      <c r="D968" t="inlineStr">
        <is>
          <t>VÄSTERNORRLANDS LÄN</t>
        </is>
      </c>
      <c r="E968" t="inlineStr">
        <is>
          <t>SUNDSVALL</t>
        </is>
      </c>
      <c r="G968" t="n">
        <v>8.9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28726-2022</t>
        </is>
      </c>
      <c r="B969" s="1" t="n">
        <v>44748</v>
      </c>
      <c r="C969" s="1" t="n">
        <v>45181</v>
      </c>
      <c r="D969" t="inlineStr">
        <is>
          <t>VÄSTERNORRLANDS LÄN</t>
        </is>
      </c>
      <c r="E969" t="inlineStr">
        <is>
          <t>SUNDSVALL</t>
        </is>
      </c>
      <c r="F969" t="inlineStr">
        <is>
          <t>SCA</t>
        </is>
      </c>
      <c r="G969" t="n">
        <v>2.8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28961-2022</t>
        </is>
      </c>
      <c r="B970" s="1" t="n">
        <v>44749</v>
      </c>
      <c r="C970" s="1" t="n">
        <v>45181</v>
      </c>
      <c r="D970" t="inlineStr">
        <is>
          <t>VÄSTERNORRLANDS LÄN</t>
        </is>
      </c>
      <c r="E970" t="inlineStr">
        <is>
          <t>SUNDSVALL</t>
        </is>
      </c>
      <c r="G970" t="n">
        <v>2.4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29805-2022</t>
        </is>
      </c>
      <c r="B971" s="1" t="n">
        <v>44755</v>
      </c>
      <c r="C971" s="1" t="n">
        <v>45181</v>
      </c>
      <c r="D971" t="inlineStr">
        <is>
          <t>VÄSTERNORRLANDS LÄN</t>
        </is>
      </c>
      <c r="E971" t="inlineStr">
        <is>
          <t>SUNDSVALL</t>
        </is>
      </c>
      <c r="G971" t="n">
        <v>0.8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31439-2022</t>
        </is>
      </c>
      <c r="B972" s="1" t="n">
        <v>44774</v>
      </c>
      <c r="C972" s="1" t="n">
        <v>45181</v>
      </c>
      <c r="D972" t="inlineStr">
        <is>
          <t>VÄSTERNORRLANDS LÄN</t>
        </is>
      </c>
      <c r="E972" t="inlineStr">
        <is>
          <t>SUNDSVALL</t>
        </is>
      </c>
      <c r="G972" t="n">
        <v>1.2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31497-2022</t>
        </is>
      </c>
      <c r="B973" s="1" t="n">
        <v>44774</v>
      </c>
      <c r="C973" s="1" t="n">
        <v>45181</v>
      </c>
      <c r="D973" t="inlineStr">
        <is>
          <t>VÄSTERNORRLANDS LÄN</t>
        </is>
      </c>
      <c r="E973" t="inlineStr">
        <is>
          <t>SUNDSVALL</t>
        </is>
      </c>
      <c r="F973" t="inlineStr">
        <is>
          <t>SCA</t>
        </is>
      </c>
      <c r="G973" t="n">
        <v>6.6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31651-2022</t>
        </is>
      </c>
      <c r="B974" s="1" t="n">
        <v>44775</v>
      </c>
      <c r="C974" s="1" t="n">
        <v>45181</v>
      </c>
      <c r="D974" t="inlineStr">
        <is>
          <t>VÄSTERNORRLANDS LÄN</t>
        </is>
      </c>
      <c r="E974" t="inlineStr">
        <is>
          <t>SUNDSVALL</t>
        </is>
      </c>
      <c r="F974" t="inlineStr">
        <is>
          <t>Naturvårdsverket</t>
        </is>
      </c>
      <c r="G974" t="n">
        <v>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31957-2022</t>
        </is>
      </c>
      <c r="B975" s="1" t="n">
        <v>44777</v>
      </c>
      <c r="C975" s="1" t="n">
        <v>45181</v>
      </c>
      <c r="D975" t="inlineStr">
        <is>
          <t>VÄSTERNORRLANDS LÄN</t>
        </is>
      </c>
      <c r="E975" t="inlineStr">
        <is>
          <t>SUNDSVALL</t>
        </is>
      </c>
      <c r="G975" t="n">
        <v>1.2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32411-2022</t>
        </is>
      </c>
      <c r="B976" s="1" t="n">
        <v>44782</v>
      </c>
      <c r="C976" s="1" t="n">
        <v>45181</v>
      </c>
      <c r="D976" t="inlineStr">
        <is>
          <t>VÄSTERNORRLANDS LÄN</t>
        </is>
      </c>
      <c r="E976" t="inlineStr">
        <is>
          <t>SUNDSVALL</t>
        </is>
      </c>
      <c r="G976" t="n">
        <v>7.5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32532-2022</t>
        </is>
      </c>
      <c r="B977" s="1" t="n">
        <v>44782</v>
      </c>
      <c r="C977" s="1" t="n">
        <v>45181</v>
      </c>
      <c r="D977" t="inlineStr">
        <is>
          <t>VÄSTERNORRLANDS LÄN</t>
        </is>
      </c>
      <c r="E977" t="inlineStr">
        <is>
          <t>SUNDSVALL</t>
        </is>
      </c>
      <c r="F977" t="inlineStr">
        <is>
          <t>SCA</t>
        </is>
      </c>
      <c r="G977" t="n">
        <v>3.3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32987-2022</t>
        </is>
      </c>
      <c r="B978" s="1" t="n">
        <v>44784</v>
      </c>
      <c r="C978" s="1" t="n">
        <v>45181</v>
      </c>
      <c r="D978" t="inlineStr">
        <is>
          <t>VÄSTERNORRLANDS LÄN</t>
        </is>
      </c>
      <c r="E978" t="inlineStr">
        <is>
          <t>SUNDSVALL</t>
        </is>
      </c>
      <c r="F978" t="inlineStr">
        <is>
          <t>SCA</t>
        </is>
      </c>
      <c r="G978" t="n">
        <v>1.8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33317-2022</t>
        </is>
      </c>
      <c r="B979" s="1" t="n">
        <v>44788</v>
      </c>
      <c r="C979" s="1" t="n">
        <v>45181</v>
      </c>
      <c r="D979" t="inlineStr">
        <is>
          <t>VÄSTERNORRLANDS LÄN</t>
        </is>
      </c>
      <c r="E979" t="inlineStr">
        <is>
          <t>SUNDSVALL</t>
        </is>
      </c>
      <c r="F979" t="inlineStr">
        <is>
          <t>Holmen skog AB</t>
        </is>
      </c>
      <c r="G979" t="n">
        <v>14.7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33722-2022</t>
        </is>
      </c>
      <c r="B980" s="1" t="n">
        <v>44789</v>
      </c>
      <c r="C980" s="1" t="n">
        <v>45181</v>
      </c>
      <c r="D980" t="inlineStr">
        <is>
          <t>VÄSTERNORRLANDS LÄN</t>
        </is>
      </c>
      <c r="E980" t="inlineStr">
        <is>
          <t>SUNDSVALL</t>
        </is>
      </c>
      <c r="G980" t="n">
        <v>2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34054-2022</t>
        </is>
      </c>
      <c r="B981" s="1" t="n">
        <v>44790</v>
      </c>
      <c r="C981" s="1" t="n">
        <v>45181</v>
      </c>
      <c r="D981" t="inlineStr">
        <is>
          <t>VÄSTERNORRLANDS LÄN</t>
        </is>
      </c>
      <c r="E981" t="inlineStr">
        <is>
          <t>SUNDSVALL</t>
        </is>
      </c>
      <c r="G981" t="n">
        <v>1.4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34148-2022</t>
        </is>
      </c>
      <c r="B982" s="1" t="n">
        <v>44791</v>
      </c>
      <c r="C982" s="1" t="n">
        <v>45181</v>
      </c>
      <c r="D982" t="inlineStr">
        <is>
          <t>VÄSTERNORRLANDS LÄN</t>
        </is>
      </c>
      <c r="E982" t="inlineStr">
        <is>
          <t>SUNDSVALL</t>
        </is>
      </c>
      <c r="G982" t="n">
        <v>11.5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34118-2022</t>
        </is>
      </c>
      <c r="B983" s="1" t="n">
        <v>44791</v>
      </c>
      <c r="C983" s="1" t="n">
        <v>45181</v>
      </c>
      <c r="D983" t="inlineStr">
        <is>
          <t>VÄSTERNORRLANDS LÄN</t>
        </is>
      </c>
      <c r="E983" t="inlineStr">
        <is>
          <t>SUNDSVALL</t>
        </is>
      </c>
      <c r="G983" t="n">
        <v>5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34554-2022</t>
        </is>
      </c>
      <c r="B984" s="1" t="n">
        <v>44794</v>
      </c>
      <c r="C984" s="1" t="n">
        <v>45181</v>
      </c>
      <c r="D984" t="inlineStr">
        <is>
          <t>VÄSTERNORRLANDS LÄN</t>
        </is>
      </c>
      <c r="E984" t="inlineStr">
        <is>
          <t>SUNDSVALL</t>
        </is>
      </c>
      <c r="G984" t="n">
        <v>3.1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34812-2022</t>
        </is>
      </c>
      <c r="B985" s="1" t="n">
        <v>44795</v>
      </c>
      <c r="C985" s="1" t="n">
        <v>45181</v>
      </c>
      <c r="D985" t="inlineStr">
        <is>
          <t>VÄSTERNORRLANDS LÄN</t>
        </is>
      </c>
      <c r="E985" t="inlineStr">
        <is>
          <t>SUNDSVALL</t>
        </is>
      </c>
      <c r="F985" t="inlineStr">
        <is>
          <t>SCA</t>
        </is>
      </c>
      <c r="G985" t="n">
        <v>6.8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35004-2022</t>
        </is>
      </c>
      <c r="B986" s="1" t="n">
        <v>44796</v>
      </c>
      <c r="C986" s="1" t="n">
        <v>45181</v>
      </c>
      <c r="D986" t="inlineStr">
        <is>
          <t>VÄSTERNORRLANDS LÄN</t>
        </is>
      </c>
      <c r="E986" t="inlineStr">
        <is>
          <t>SUNDSVALL</t>
        </is>
      </c>
      <c r="G986" t="n">
        <v>0.2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35008-2022</t>
        </is>
      </c>
      <c r="B987" s="1" t="n">
        <v>44796</v>
      </c>
      <c r="C987" s="1" t="n">
        <v>45181</v>
      </c>
      <c r="D987" t="inlineStr">
        <is>
          <t>VÄSTERNORRLANDS LÄN</t>
        </is>
      </c>
      <c r="E987" t="inlineStr">
        <is>
          <t>SUNDSVALL</t>
        </is>
      </c>
      <c r="G987" t="n">
        <v>0.7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35165-2022</t>
        </is>
      </c>
      <c r="B988" s="1" t="n">
        <v>44797</v>
      </c>
      <c r="C988" s="1" t="n">
        <v>45181</v>
      </c>
      <c r="D988" t="inlineStr">
        <is>
          <t>VÄSTERNORRLANDS LÄN</t>
        </is>
      </c>
      <c r="E988" t="inlineStr">
        <is>
          <t>SUNDSVALL</t>
        </is>
      </c>
      <c r="G988" t="n">
        <v>1.1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35480-2022</t>
        </is>
      </c>
      <c r="B989" s="1" t="n">
        <v>44798</v>
      </c>
      <c r="C989" s="1" t="n">
        <v>45181</v>
      </c>
      <c r="D989" t="inlineStr">
        <is>
          <t>VÄSTERNORRLANDS LÄN</t>
        </is>
      </c>
      <c r="E989" t="inlineStr">
        <is>
          <t>SUNDSVALL</t>
        </is>
      </c>
      <c r="G989" t="n">
        <v>6.1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35481-2022</t>
        </is>
      </c>
      <c r="B990" s="1" t="n">
        <v>44798</v>
      </c>
      <c r="C990" s="1" t="n">
        <v>45181</v>
      </c>
      <c r="D990" t="inlineStr">
        <is>
          <t>VÄSTERNORRLANDS LÄN</t>
        </is>
      </c>
      <c r="E990" t="inlineStr">
        <is>
          <t>SUNDSVALL</t>
        </is>
      </c>
      <c r="G990" t="n">
        <v>5.8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35923-2022</t>
        </is>
      </c>
      <c r="B991" s="1" t="n">
        <v>44802</v>
      </c>
      <c r="C991" s="1" t="n">
        <v>45181</v>
      </c>
      <c r="D991" t="inlineStr">
        <is>
          <t>VÄSTERNORRLANDS LÄN</t>
        </is>
      </c>
      <c r="E991" t="inlineStr">
        <is>
          <t>SUNDSVALL</t>
        </is>
      </c>
      <c r="G991" t="n">
        <v>8.1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36110-2022</t>
        </is>
      </c>
      <c r="B992" s="1" t="n">
        <v>44802</v>
      </c>
      <c r="C992" s="1" t="n">
        <v>45181</v>
      </c>
      <c r="D992" t="inlineStr">
        <is>
          <t>VÄSTERNORRLANDS LÄN</t>
        </is>
      </c>
      <c r="E992" t="inlineStr">
        <is>
          <t>SUNDSVALL</t>
        </is>
      </c>
      <c r="F992" t="inlineStr">
        <is>
          <t>SCA</t>
        </is>
      </c>
      <c r="G992" t="n">
        <v>1.5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37225-2022</t>
        </is>
      </c>
      <c r="B993" s="1" t="n">
        <v>44806</v>
      </c>
      <c r="C993" s="1" t="n">
        <v>45181</v>
      </c>
      <c r="D993" t="inlineStr">
        <is>
          <t>VÄSTERNORRLANDS LÄN</t>
        </is>
      </c>
      <c r="E993" t="inlineStr">
        <is>
          <t>SUNDSVALL</t>
        </is>
      </c>
      <c r="F993" t="inlineStr">
        <is>
          <t>SCA</t>
        </is>
      </c>
      <c r="G993" t="n">
        <v>1.5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37238-2022</t>
        </is>
      </c>
      <c r="B994" s="1" t="n">
        <v>44806</v>
      </c>
      <c r="C994" s="1" t="n">
        <v>45181</v>
      </c>
      <c r="D994" t="inlineStr">
        <is>
          <t>VÄSTERNORRLANDS LÄN</t>
        </is>
      </c>
      <c r="E994" t="inlineStr">
        <is>
          <t>SUNDSVALL</t>
        </is>
      </c>
      <c r="F994" t="inlineStr">
        <is>
          <t>SCA</t>
        </is>
      </c>
      <c r="G994" t="n">
        <v>2.5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37240-2022</t>
        </is>
      </c>
      <c r="B995" s="1" t="n">
        <v>44806</v>
      </c>
      <c r="C995" s="1" t="n">
        <v>45181</v>
      </c>
      <c r="D995" t="inlineStr">
        <is>
          <t>VÄSTERNORRLANDS LÄN</t>
        </is>
      </c>
      <c r="E995" t="inlineStr">
        <is>
          <t>SUNDSVALL</t>
        </is>
      </c>
      <c r="F995" t="inlineStr">
        <is>
          <t>SCA</t>
        </is>
      </c>
      <c r="G995" t="n">
        <v>0.7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37541-2022</t>
        </is>
      </c>
      <c r="B996" s="1" t="n">
        <v>44809</v>
      </c>
      <c r="C996" s="1" t="n">
        <v>45181</v>
      </c>
      <c r="D996" t="inlineStr">
        <is>
          <t>VÄSTERNORRLANDS LÄN</t>
        </is>
      </c>
      <c r="E996" t="inlineStr">
        <is>
          <t>SUNDSVALL</t>
        </is>
      </c>
      <c r="G996" t="n">
        <v>3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37839-2022</t>
        </is>
      </c>
      <c r="B997" s="1" t="n">
        <v>44810</v>
      </c>
      <c r="C997" s="1" t="n">
        <v>45181</v>
      </c>
      <c r="D997" t="inlineStr">
        <is>
          <t>VÄSTERNORRLANDS LÄN</t>
        </is>
      </c>
      <c r="E997" t="inlineStr">
        <is>
          <t>SUNDSVALL</t>
        </is>
      </c>
      <c r="F997" t="inlineStr">
        <is>
          <t>SCA</t>
        </is>
      </c>
      <c r="G997" t="n">
        <v>1.8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38665-2022</t>
        </is>
      </c>
      <c r="B998" s="1" t="n">
        <v>44813</v>
      </c>
      <c r="C998" s="1" t="n">
        <v>45181</v>
      </c>
      <c r="D998" t="inlineStr">
        <is>
          <t>VÄSTERNORRLANDS LÄN</t>
        </is>
      </c>
      <c r="E998" t="inlineStr">
        <is>
          <t>SUNDSVALL</t>
        </is>
      </c>
      <c r="F998" t="inlineStr">
        <is>
          <t>SCA</t>
        </is>
      </c>
      <c r="G998" t="n">
        <v>3.5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38888-2022</t>
        </is>
      </c>
      <c r="B999" s="1" t="n">
        <v>44816</v>
      </c>
      <c r="C999" s="1" t="n">
        <v>45181</v>
      </c>
      <c r="D999" t="inlineStr">
        <is>
          <t>VÄSTERNORRLANDS LÄN</t>
        </is>
      </c>
      <c r="E999" t="inlineStr">
        <is>
          <t>SUNDSVALL</t>
        </is>
      </c>
      <c r="G999" t="n">
        <v>1.4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38774-2022</t>
        </is>
      </c>
      <c r="B1000" s="1" t="n">
        <v>44816</v>
      </c>
      <c r="C1000" s="1" t="n">
        <v>45181</v>
      </c>
      <c r="D1000" t="inlineStr">
        <is>
          <t>VÄSTERNORRLANDS LÄN</t>
        </is>
      </c>
      <c r="E1000" t="inlineStr">
        <is>
          <t>SUNDSVALL</t>
        </is>
      </c>
      <c r="G1000" t="n">
        <v>3.6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39913-2022</t>
        </is>
      </c>
      <c r="B1001" s="1" t="n">
        <v>44819</v>
      </c>
      <c r="C1001" s="1" t="n">
        <v>45181</v>
      </c>
      <c r="D1001" t="inlineStr">
        <is>
          <t>VÄSTERNORRLANDS LÄN</t>
        </is>
      </c>
      <c r="E1001" t="inlineStr">
        <is>
          <t>SUNDSVALL</t>
        </is>
      </c>
      <c r="G1001" t="n">
        <v>4.7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39952-2022</t>
        </is>
      </c>
      <c r="B1002" s="1" t="n">
        <v>44819</v>
      </c>
      <c r="C1002" s="1" t="n">
        <v>45181</v>
      </c>
      <c r="D1002" t="inlineStr">
        <is>
          <t>VÄSTERNORRLANDS LÄN</t>
        </is>
      </c>
      <c r="E1002" t="inlineStr">
        <is>
          <t>SUNDSVALL</t>
        </is>
      </c>
      <c r="F1002" t="inlineStr">
        <is>
          <t>SCA</t>
        </is>
      </c>
      <c r="G1002" t="n">
        <v>0.6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40016-2022</t>
        </is>
      </c>
      <c r="B1003" s="1" t="n">
        <v>44820</v>
      </c>
      <c r="C1003" s="1" t="n">
        <v>45181</v>
      </c>
      <c r="D1003" t="inlineStr">
        <is>
          <t>VÄSTERNORRLANDS LÄN</t>
        </is>
      </c>
      <c r="E1003" t="inlineStr">
        <is>
          <t>SUNDSVALL</t>
        </is>
      </c>
      <c r="F1003" t="inlineStr">
        <is>
          <t>Holmen skog AB</t>
        </is>
      </c>
      <c r="G1003" t="n">
        <v>3.6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40279-2022</t>
        </is>
      </c>
      <c r="B1004" s="1" t="n">
        <v>44820</v>
      </c>
      <c r="C1004" s="1" t="n">
        <v>45181</v>
      </c>
      <c r="D1004" t="inlineStr">
        <is>
          <t>VÄSTERNORRLANDS LÄN</t>
        </is>
      </c>
      <c r="E1004" t="inlineStr">
        <is>
          <t>SUNDSVALL</t>
        </is>
      </c>
      <c r="F1004" t="inlineStr">
        <is>
          <t>SCA</t>
        </is>
      </c>
      <c r="G1004" t="n">
        <v>1.5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40946-2022</t>
        </is>
      </c>
      <c r="B1005" s="1" t="n">
        <v>44823</v>
      </c>
      <c r="C1005" s="1" t="n">
        <v>45181</v>
      </c>
      <c r="D1005" t="inlineStr">
        <is>
          <t>VÄSTERNORRLANDS LÄN</t>
        </is>
      </c>
      <c r="E1005" t="inlineStr">
        <is>
          <t>SUNDSVALL</t>
        </is>
      </c>
      <c r="G1005" t="n">
        <v>1.7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40591-2022</t>
        </is>
      </c>
      <c r="B1006" s="1" t="n">
        <v>44823</v>
      </c>
      <c r="C1006" s="1" t="n">
        <v>45181</v>
      </c>
      <c r="D1006" t="inlineStr">
        <is>
          <t>VÄSTERNORRLANDS LÄN</t>
        </is>
      </c>
      <c r="E1006" t="inlineStr">
        <is>
          <t>SUNDSVALL</t>
        </is>
      </c>
      <c r="G1006" t="n">
        <v>1.3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40950-2022</t>
        </is>
      </c>
      <c r="B1007" s="1" t="n">
        <v>44823</v>
      </c>
      <c r="C1007" s="1" t="n">
        <v>45181</v>
      </c>
      <c r="D1007" t="inlineStr">
        <is>
          <t>VÄSTERNORRLANDS LÄN</t>
        </is>
      </c>
      <c r="E1007" t="inlineStr">
        <is>
          <t>SUNDSVALL</t>
        </is>
      </c>
      <c r="G1007" t="n">
        <v>0.1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40827-2022</t>
        </is>
      </c>
      <c r="B1008" s="1" t="n">
        <v>44824</v>
      </c>
      <c r="C1008" s="1" t="n">
        <v>45181</v>
      </c>
      <c r="D1008" t="inlineStr">
        <is>
          <t>VÄSTERNORRLANDS LÄN</t>
        </is>
      </c>
      <c r="E1008" t="inlineStr">
        <is>
          <t>SUNDSVALL</t>
        </is>
      </c>
      <c r="G1008" t="n">
        <v>0.6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41222-2022</t>
        </is>
      </c>
      <c r="B1009" s="1" t="n">
        <v>44825</v>
      </c>
      <c r="C1009" s="1" t="n">
        <v>45181</v>
      </c>
      <c r="D1009" t="inlineStr">
        <is>
          <t>VÄSTERNORRLANDS LÄN</t>
        </is>
      </c>
      <c r="E1009" t="inlineStr">
        <is>
          <t>SUNDSVALL</t>
        </is>
      </c>
      <c r="G1009" t="n">
        <v>1.8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41495-2022</t>
        </is>
      </c>
      <c r="B1010" s="1" t="n">
        <v>44826</v>
      </c>
      <c r="C1010" s="1" t="n">
        <v>45181</v>
      </c>
      <c r="D1010" t="inlineStr">
        <is>
          <t>VÄSTERNORRLANDS LÄN</t>
        </is>
      </c>
      <c r="E1010" t="inlineStr">
        <is>
          <t>SUNDSVALL</t>
        </is>
      </c>
      <c r="F1010" t="inlineStr">
        <is>
          <t>SCA</t>
        </is>
      </c>
      <c r="G1010" t="n">
        <v>1.8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41804-2022</t>
        </is>
      </c>
      <c r="B1011" s="1" t="n">
        <v>44827</v>
      </c>
      <c r="C1011" s="1" t="n">
        <v>45181</v>
      </c>
      <c r="D1011" t="inlineStr">
        <is>
          <t>VÄSTERNORRLANDS LÄN</t>
        </is>
      </c>
      <c r="E1011" t="inlineStr">
        <is>
          <t>SUNDSVALL</t>
        </is>
      </c>
      <c r="G1011" t="n">
        <v>9.800000000000001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41805-2022</t>
        </is>
      </c>
      <c r="B1012" s="1" t="n">
        <v>44827</v>
      </c>
      <c r="C1012" s="1" t="n">
        <v>45181</v>
      </c>
      <c r="D1012" t="inlineStr">
        <is>
          <t>VÄSTERNORRLANDS LÄN</t>
        </is>
      </c>
      <c r="E1012" t="inlineStr">
        <is>
          <t>SUNDSVALL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42010-2022</t>
        </is>
      </c>
      <c r="B1013" s="1" t="n">
        <v>44827</v>
      </c>
      <c r="C1013" s="1" t="n">
        <v>45181</v>
      </c>
      <c r="D1013" t="inlineStr">
        <is>
          <t>VÄSTERNORRLANDS LÄN</t>
        </is>
      </c>
      <c r="E1013" t="inlineStr">
        <is>
          <t>SUNDSVALL</t>
        </is>
      </c>
      <c r="G1013" t="n">
        <v>3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42726-2022</t>
        </is>
      </c>
      <c r="B1014" s="1" t="n">
        <v>44832</v>
      </c>
      <c r="C1014" s="1" t="n">
        <v>45181</v>
      </c>
      <c r="D1014" t="inlineStr">
        <is>
          <t>VÄSTERNORRLANDS LÄN</t>
        </is>
      </c>
      <c r="E1014" t="inlineStr">
        <is>
          <t>SUNDSVALL</t>
        </is>
      </c>
      <c r="G1014" t="n">
        <v>7.4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42879-2022</t>
        </is>
      </c>
      <c r="B1015" s="1" t="n">
        <v>44832</v>
      </c>
      <c r="C1015" s="1" t="n">
        <v>45181</v>
      </c>
      <c r="D1015" t="inlineStr">
        <is>
          <t>VÄSTERNORRLANDS LÄN</t>
        </is>
      </c>
      <c r="E1015" t="inlineStr">
        <is>
          <t>SUNDSVALL</t>
        </is>
      </c>
      <c r="G1015" t="n">
        <v>1.8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42818-2022</t>
        </is>
      </c>
      <c r="B1016" s="1" t="n">
        <v>44832</v>
      </c>
      <c r="C1016" s="1" t="n">
        <v>45181</v>
      </c>
      <c r="D1016" t="inlineStr">
        <is>
          <t>VÄSTERNORRLANDS LÄN</t>
        </is>
      </c>
      <c r="E1016" t="inlineStr">
        <is>
          <t>SUNDSVALL</t>
        </is>
      </c>
      <c r="G1016" t="n">
        <v>7.9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42904-2022</t>
        </is>
      </c>
      <c r="B1017" s="1" t="n">
        <v>44832</v>
      </c>
      <c r="C1017" s="1" t="n">
        <v>45181</v>
      </c>
      <c r="D1017" t="inlineStr">
        <is>
          <t>VÄSTERNORRLANDS LÄN</t>
        </is>
      </c>
      <c r="E1017" t="inlineStr">
        <is>
          <t>SUNDSVALL</t>
        </is>
      </c>
      <c r="F1017" t="inlineStr">
        <is>
          <t>SCA</t>
        </is>
      </c>
      <c r="G1017" t="n">
        <v>34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43112-2022</t>
        </is>
      </c>
      <c r="B1018" s="1" t="n">
        <v>44833</v>
      </c>
      <c r="C1018" s="1" t="n">
        <v>45181</v>
      </c>
      <c r="D1018" t="inlineStr">
        <is>
          <t>VÄSTERNORRLANDS LÄN</t>
        </is>
      </c>
      <c r="E1018" t="inlineStr">
        <is>
          <t>SUNDSVALL</t>
        </is>
      </c>
      <c r="F1018" t="inlineStr">
        <is>
          <t>Kyrkan</t>
        </is>
      </c>
      <c r="G1018" t="n">
        <v>19.4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43413-2022</t>
        </is>
      </c>
      <c r="B1019" s="1" t="n">
        <v>44834</v>
      </c>
      <c r="C1019" s="1" t="n">
        <v>45181</v>
      </c>
      <c r="D1019" t="inlineStr">
        <is>
          <t>VÄSTERNORRLANDS LÄN</t>
        </is>
      </c>
      <c r="E1019" t="inlineStr">
        <is>
          <t>SUNDSVALL</t>
        </is>
      </c>
      <c r="G1019" t="n">
        <v>4.3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43770-2022</t>
        </is>
      </c>
      <c r="B1020" s="1" t="n">
        <v>44837</v>
      </c>
      <c r="C1020" s="1" t="n">
        <v>45181</v>
      </c>
      <c r="D1020" t="inlineStr">
        <is>
          <t>VÄSTERNORRLANDS LÄN</t>
        </is>
      </c>
      <c r="E1020" t="inlineStr">
        <is>
          <t>SUNDSVALL</t>
        </is>
      </c>
      <c r="G1020" t="n">
        <v>0.8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44399-2022</t>
        </is>
      </c>
      <c r="B1021" s="1" t="n">
        <v>44838</v>
      </c>
      <c r="C1021" s="1" t="n">
        <v>45181</v>
      </c>
      <c r="D1021" t="inlineStr">
        <is>
          <t>VÄSTERNORRLANDS LÄN</t>
        </is>
      </c>
      <c r="E1021" t="inlineStr">
        <is>
          <t>SUNDSVALL</t>
        </is>
      </c>
      <c r="G1021" t="n">
        <v>0.2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44404-2022</t>
        </is>
      </c>
      <c r="B1022" s="1" t="n">
        <v>44838</v>
      </c>
      <c r="C1022" s="1" t="n">
        <v>45181</v>
      </c>
      <c r="D1022" t="inlineStr">
        <is>
          <t>VÄSTERNORRLANDS LÄN</t>
        </is>
      </c>
      <c r="E1022" t="inlineStr">
        <is>
          <t>SUNDSVALL</t>
        </is>
      </c>
      <c r="G1022" t="n">
        <v>0.7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44406-2022</t>
        </is>
      </c>
      <c r="B1023" s="1" t="n">
        <v>44838</v>
      </c>
      <c r="C1023" s="1" t="n">
        <v>45181</v>
      </c>
      <c r="D1023" t="inlineStr">
        <is>
          <t>VÄSTERNORRLANDS LÄN</t>
        </is>
      </c>
      <c r="E1023" t="inlineStr">
        <is>
          <t>SUNDSVALL</t>
        </is>
      </c>
      <c r="G1023" t="n">
        <v>0.3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44378-2022</t>
        </is>
      </c>
      <c r="B1024" s="1" t="n">
        <v>44838</v>
      </c>
      <c r="C1024" s="1" t="n">
        <v>45181</v>
      </c>
      <c r="D1024" t="inlineStr">
        <is>
          <t>VÄSTERNORRLANDS LÄN</t>
        </is>
      </c>
      <c r="E1024" t="inlineStr">
        <is>
          <t>SUNDSVALL</t>
        </is>
      </c>
      <c r="G1024" t="n">
        <v>1.2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44405-2022</t>
        </is>
      </c>
      <c r="B1025" s="1" t="n">
        <v>44838</v>
      </c>
      <c r="C1025" s="1" t="n">
        <v>45181</v>
      </c>
      <c r="D1025" t="inlineStr">
        <is>
          <t>VÄSTERNORRLANDS LÄN</t>
        </is>
      </c>
      <c r="E1025" t="inlineStr">
        <is>
          <t>SUNDSVALL</t>
        </is>
      </c>
      <c r="G1025" t="n">
        <v>0.2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44416-2022</t>
        </is>
      </c>
      <c r="B1026" s="1" t="n">
        <v>44839</v>
      </c>
      <c r="C1026" s="1" t="n">
        <v>45181</v>
      </c>
      <c r="D1026" t="inlineStr">
        <is>
          <t>VÄSTERNORRLANDS LÄN</t>
        </is>
      </c>
      <c r="E1026" t="inlineStr">
        <is>
          <t>SUNDSVALL</t>
        </is>
      </c>
      <c r="G1026" t="n">
        <v>0.7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44605-2022</t>
        </is>
      </c>
      <c r="B1027" s="1" t="n">
        <v>44839</v>
      </c>
      <c r="C1027" s="1" t="n">
        <v>45181</v>
      </c>
      <c r="D1027" t="inlineStr">
        <is>
          <t>VÄSTERNORRLANDS LÄN</t>
        </is>
      </c>
      <c r="E1027" t="inlineStr">
        <is>
          <t>SUNDSVALL</t>
        </is>
      </c>
      <c r="G1027" t="n">
        <v>5.9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44596-2022</t>
        </is>
      </c>
      <c r="B1028" s="1" t="n">
        <v>44839</v>
      </c>
      <c r="C1028" s="1" t="n">
        <v>45181</v>
      </c>
      <c r="D1028" t="inlineStr">
        <is>
          <t>VÄSTERNORRLANDS LÄN</t>
        </is>
      </c>
      <c r="E1028" t="inlineStr">
        <is>
          <t>SUNDSVALL</t>
        </is>
      </c>
      <c r="G1028" t="n">
        <v>6.9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44610-2022</t>
        </is>
      </c>
      <c r="B1029" s="1" t="n">
        <v>44839</v>
      </c>
      <c r="C1029" s="1" t="n">
        <v>45181</v>
      </c>
      <c r="D1029" t="inlineStr">
        <is>
          <t>VÄSTERNORRLANDS LÄN</t>
        </is>
      </c>
      <c r="E1029" t="inlineStr">
        <is>
          <t>SUNDSVALL</t>
        </is>
      </c>
      <c r="G1029" t="n">
        <v>15.2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44419-2022</t>
        </is>
      </c>
      <c r="B1030" s="1" t="n">
        <v>44839</v>
      </c>
      <c r="C1030" s="1" t="n">
        <v>45181</v>
      </c>
      <c r="D1030" t="inlineStr">
        <is>
          <t>VÄSTERNORRLANDS LÄN</t>
        </is>
      </c>
      <c r="E1030" t="inlineStr">
        <is>
          <t>SUNDSVALL</t>
        </is>
      </c>
      <c r="G1030" t="n">
        <v>0.7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44603-2022</t>
        </is>
      </c>
      <c r="B1031" s="1" t="n">
        <v>44839</v>
      </c>
      <c r="C1031" s="1" t="n">
        <v>45181</v>
      </c>
      <c r="D1031" t="inlineStr">
        <is>
          <t>VÄSTERNORRLANDS LÄN</t>
        </is>
      </c>
      <c r="E1031" t="inlineStr">
        <is>
          <t>SUNDSVALL</t>
        </is>
      </c>
      <c r="G1031" t="n">
        <v>1.5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44415-2022</t>
        </is>
      </c>
      <c r="B1032" s="1" t="n">
        <v>44839</v>
      </c>
      <c r="C1032" s="1" t="n">
        <v>45181</v>
      </c>
      <c r="D1032" t="inlineStr">
        <is>
          <t>VÄSTERNORRLANDS LÄN</t>
        </is>
      </c>
      <c r="E1032" t="inlineStr">
        <is>
          <t>SUNDSVALL</t>
        </is>
      </c>
      <c r="G1032" t="n">
        <v>0.4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44506-2022</t>
        </is>
      </c>
      <c r="B1033" s="1" t="n">
        <v>44840</v>
      </c>
      <c r="C1033" s="1" t="n">
        <v>45181</v>
      </c>
      <c r="D1033" t="inlineStr">
        <is>
          <t>VÄSTERNORRLANDS LÄN</t>
        </is>
      </c>
      <c r="E1033" t="inlineStr">
        <is>
          <t>SUNDSVALL</t>
        </is>
      </c>
      <c r="G1033" t="n">
        <v>4.2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45870-2022</t>
        </is>
      </c>
      <c r="B1034" s="1" t="n">
        <v>44844</v>
      </c>
      <c r="C1034" s="1" t="n">
        <v>45181</v>
      </c>
      <c r="D1034" t="inlineStr">
        <is>
          <t>VÄSTERNORRLANDS LÄN</t>
        </is>
      </c>
      <c r="E1034" t="inlineStr">
        <is>
          <t>SUNDSVALL</t>
        </is>
      </c>
      <c r="G1034" t="n">
        <v>6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45716-2022</t>
        </is>
      </c>
      <c r="B1035" s="1" t="n">
        <v>44845</v>
      </c>
      <c r="C1035" s="1" t="n">
        <v>45181</v>
      </c>
      <c r="D1035" t="inlineStr">
        <is>
          <t>VÄSTERNORRLANDS LÄN</t>
        </is>
      </c>
      <c r="E1035" t="inlineStr">
        <is>
          <t>SUNDSVALL</t>
        </is>
      </c>
      <c r="F1035" t="inlineStr">
        <is>
          <t>Naturvårdsverket</t>
        </is>
      </c>
      <c r="G1035" t="n">
        <v>1.9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45700-2022</t>
        </is>
      </c>
      <c r="B1036" s="1" t="n">
        <v>44845</v>
      </c>
      <c r="C1036" s="1" t="n">
        <v>45181</v>
      </c>
      <c r="D1036" t="inlineStr">
        <is>
          <t>VÄSTERNORRLANDS LÄN</t>
        </is>
      </c>
      <c r="E1036" t="inlineStr">
        <is>
          <t>SUNDSVALL</t>
        </is>
      </c>
      <c r="F1036" t="inlineStr">
        <is>
          <t>SCA</t>
        </is>
      </c>
      <c r="G1036" t="n">
        <v>0.8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46214-2022</t>
        </is>
      </c>
      <c r="B1037" s="1" t="n">
        <v>44845</v>
      </c>
      <c r="C1037" s="1" t="n">
        <v>45181</v>
      </c>
      <c r="D1037" t="inlineStr">
        <is>
          <t>VÄSTERNORRLANDS LÄN</t>
        </is>
      </c>
      <c r="E1037" t="inlineStr">
        <is>
          <t>SUNDSVALL</t>
        </is>
      </c>
      <c r="G1037" t="n">
        <v>46.2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46044-2022</t>
        </is>
      </c>
      <c r="B1038" s="1" t="n">
        <v>44846</v>
      </c>
      <c r="C1038" s="1" t="n">
        <v>45181</v>
      </c>
      <c r="D1038" t="inlineStr">
        <is>
          <t>VÄSTERNORRLANDS LÄN</t>
        </is>
      </c>
      <c r="E1038" t="inlineStr">
        <is>
          <t>SUNDSVALL</t>
        </is>
      </c>
      <c r="F1038" t="inlineStr">
        <is>
          <t>SCA</t>
        </is>
      </c>
      <c r="G1038" t="n">
        <v>1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46247-2022</t>
        </is>
      </c>
      <c r="B1039" s="1" t="n">
        <v>44846</v>
      </c>
      <c r="C1039" s="1" t="n">
        <v>45181</v>
      </c>
      <c r="D1039" t="inlineStr">
        <is>
          <t>VÄSTERNORRLANDS LÄN</t>
        </is>
      </c>
      <c r="E1039" t="inlineStr">
        <is>
          <t>SUNDSVALL</t>
        </is>
      </c>
      <c r="G1039" t="n">
        <v>2.4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46330-2022</t>
        </is>
      </c>
      <c r="B1040" s="1" t="n">
        <v>44847</v>
      </c>
      <c r="C1040" s="1" t="n">
        <v>45181</v>
      </c>
      <c r="D1040" t="inlineStr">
        <is>
          <t>VÄSTERNORRLANDS LÄN</t>
        </is>
      </c>
      <c r="E1040" t="inlineStr">
        <is>
          <t>SUNDSVALL</t>
        </is>
      </c>
      <c r="F1040" t="inlineStr">
        <is>
          <t>SCA</t>
        </is>
      </c>
      <c r="G1040" t="n">
        <v>5.8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46956-2022</t>
        </is>
      </c>
      <c r="B1041" s="1" t="n">
        <v>44851</v>
      </c>
      <c r="C1041" s="1" t="n">
        <v>45181</v>
      </c>
      <c r="D1041" t="inlineStr">
        <is>
          <t>VÄSTERNORRLANDS LÄN</t>
        </is>
      </c>
      <c r="E1041" t="inlineStr">
        <is>
          <t>SUNDSVALL</t>
        </is>
      </c>
      <c r="G1041" t="n">
        <v>1.3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46954-2022</t>
        </is>
      </c>
      <c r="B1042" s="1" t="n">
        <v>44851</v>
      </c>
      <c r="C1042" s="1" t="n">
        <v>45181</v>
      </c>
      <c r="D1042" t="inlineStr">
        <is>
          <t>VÄSTERNORRLANDS LÄN</t>
        </is>
      </c>
      <c r="E1042" t="inlineStr">
        <is>
          <t>SUNDSVALL</t>
        </is>
      </c>
      <c r="G1042" t="n">
        <v>0.6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47197-2022</t>
        </is>
      </c>
      <c r="B1043" s="1" t="n">
        <v>44851</v>
      </c>
      <c r="C1043" s="1" t="n">
        <v>45181</v>
      </c>
      <c r="D1043" t="inlineStr">
        <is>
          <t>VÄSTERNORRLANDS LÄN</t>
        </is>
      </c>
      <c r="E1043" t="inlineStr">
        <is>
          <t>SUNDSVALL</t>
        </is>
      </c>
      <c r="G1043" t="n">
        <v>0.7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46735-2022</t>
        </is>
      </c>
      <c r="B1044" s="1" t="n">
        <v>44851</v>
      </c>
      <c r="C1044" s="1" t="n">
        <v>45181</v>
      </c>
      <c r="D1044" t="inlineStr">
        <is>
          <t>VÄSTERNORRLANDS LÄN</t>
        </is>
      </c>
      <c r="E1044" t="inlineStr">
        <is>
          <t>SUNDSVALL</t>
        </is>
      </c>
      <c r="G1044" t="n">
        <v>3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46949-2022</t>
        </is>
      </c>
      <c r="B1045" s="1" t="n">
        <v>44851</v>
      </c>
      <c r="C1045" s="1" t="n">
        <v>45181</v>
      </c>
      <c r="D1045" t="inlineStr">
        <is>
          <t>VÄSTERNORRLANDS LÄN</t>
        </is>
      </c>
      <c r="E1045" t="inlineStr">
        <is>
          <t>SUNDSVALL</t>
        </is>
      </c>
      <c r="G1045" t="n">
        <v>1.1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46716-2022</t>
        </is>
      </c>
      <c r="B1046" s="1" t="n">
        <v>44851</v>
      </c>
      <c r="C1046" s="1" t="n">
        <v>45181</v>
      </c>
      <c r="D1046" t="inlineStr">
        <is>
          <t>VÄSTERNORRLANDS LÄN</t>
        </is>
      </c>
      <c r="E1046" t="inlineStr">
        <is>
          <t>SUNDSVALL</t>
        </is>
      </c>
      <c r="G1046" t="n">
        <v>2.1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47249-2022</t>
        </is>
      </c>
      <c r="B1047" s="1" t="n">
        <v>44852</v>
      </c>
      <c r="C1047" s="1" t="n">
        <v>45181</v>
      </c>
      <c r="D1047" t="inlineStr">
        <is>
          <t>VÄSTERNORRLANDS LÄN</t>
        </is>
      </c>
      <c r="E1047" t="inlineStr">
        <is>
          <t>SUNDSVALL</t>
        </is>
      </c>
      <c r="F1047" t="inlineStr">
        <is>
          <t>SCA</t>
        </is>
      </c>
      <c r="G1047" t="n">
        <v>4.4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47512-2022</t>
        </is>
      </c>
      <c r="B1048" s="1" t="n">
        <v>44852</v>
      </c>
      <c r="C1048" s="1" t="n">
        <v>45181</v>
      </c>
      <c r="D1048" t="inlineStr">
        <is>
          <t>VÄSTERNORRLANDS LÄN</t>
        </is>
      </c>
      <c r="E1048" t="inlineStr">
        <is>
          <t>SUNDSVALL</t>
        </is>
      </c>
      <c r="G1048" t="n">
        <v>3.1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47809-2022</t>
        </is>
      </c>
      <c r="B1049" s="1" t="n">
        <v>44854</v>
      </c>
      <c r="C1049" s="1" t="n">
        <v>45181</v>
      </c>
      <c r="D1049" t="inlineStr">
        <is>
          <t>VÄSTERNORRLANDS LÄN</t>
        </is>
      </c>
      <c r="E1049" t="inlineStr">
        <is>
          <t>SUNDSVALL</t>
        </is>
      </c>
      <c r="F1049" t="inlineStr">
        <is>
          <t>SCA</t>
        </is>
      </c>
      <c r="G1049" t="n">
        <v>3.5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47897-2022</t>
        </is>
      </c>
      <c r="B1050" s="1" t="n">
        <v>44855</v>
      </c>
      <c r="C1050" s="1" t="n">
        <v>45181</v>
      </c>
      <c r="D1050" t="inlineStr">
        <is>
          <t>VÄSTERNORRLANDS LÄN</t>
        </is>
      </c>
      <c r="E1050" t="inlineStr">
        <is>
          <t>SUNDSVALL</t>
        </is>
      </c>
      <c r="G1050" t="n">
        <v>4.6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48552-2022</t>
        </is>
      </c>
      <c r="B1051" s="1" t="n">
        <v>44858</v>
      </c>
      <c r="C1051" s="1" t="n">
        <v>45181</v>
      </c>
      <c r="D1051" t="inlineStr">
        <is>
          <t>VÄSTERNORRLANDS LÄN</t>
        </is>
      </c>
      <c r="E1051" t="inlineStr">
        <is>
          <t>SUNDSVALL</t>
        </is>
      </c>
      <c r="F1051" t="inlineStr">
        <is>
          <t>SCA</t>
        </is>
      </c>
      <c r="G1051" t="n">
        <v>4.3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48550-2022</t>
        </is>
      </c>
      <c r="B1052" s="1" t="n">
        <v>44858</v>
      </c>
      <c r="C1052" s="1" t="n">
        <v>45181</v>
      </c>
      <c r="D1052" t="inlineStr">
        <is>
          <t>VÄSTERNORRLANDS LÄN</t>
        </is>
      </c>
      <c r="E1052" t="inlineStr">
        <is>
          <t>SUNDSVALL</t>
        </is>
      </c>
      <c r="F1052" t="inlineStr">
        <is>
          <t>Naturvårdsverket</t>
        </is>
      </c>
      <c r="G1052" t="n">
        <v>1.8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49984-2022</t>
        </is>
      </c>
      <c r="B1053" s="1" t="n">
        <v>44859</v>
      </c>
      <c r="C1053" s="1" t="n">
        <v>45181</v>
      </c>
      <c r="D1053" t="inlineStr">
        <is>
          <t>VÄSTERNORRLANDS LÄN</t>
        </is>
      </c>
      <c r="E1053" t="inlineStr">
        <is>
          <t>SUNDSVALL</t>
        </is>
      </c>
      <c r="G1053" t="n">
        <v>0.3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49186-2022</t>
        </is>
      </c>
      <c r="B1054" s="1" t="n">
        <v>44860</v>
      </c>
      <c r="C1054" s="1" t="n">
        <v>45181</v>
      </c>
      <c r="D1054" t="inlineStr">
        <is>
          <t>VÄSTERNORRLANDS LÄN</t>
        </is>
      </c>
      <c r="E1054" t="inlineStr">
        <is>
          <t>SUNDSVALL</t>
        </is>
      </c>
      <c r="F1054" t="inlineStr">
        <is>
          <t>SCA</t>
        </is>
      </c>
      <c r="G1054" t="n">
        <v>5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48993-2022</t>
        </is>
      </c>
      <c r="B1055" s="1" t="n">
        <v>44860</v>
      </c>
      <c r="C1055" s="1" t="n">
        <v>45181</v>
      </c>
      <c r="D1055" t="inlineStr">
        <is>
          <t>VÄSTERNORRLANDS LÄN</t>
        </is>
      </c>
      <c r="E1055" t="inlineStr">
        <is>
          <t>SUNDSVALL</t>
        </is>
      </c>
      <c r="G1055" t="n">
        <v>1.5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50405-2022</t>
        </is>
      </c>
      <c r="B1056" s="1" t="n">
        <v>44861</v>
      </c>
      <c r="C1056" s="1" t="n">
        <v>45181</v>
      </c>
      <c r="D1056" t="inlineStr">
        <is>
          <t>VÄSTERNORRLANDS LÄN</t>
        </is>
      </c>
      <c r="E1056" t="inlineStr">
        <is>
          <t>SUNDSVALL</t>
        </is>
      </c>
      <c r="G1056" t="n">
        <v>1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50426-2022</t>
        </is>
      </c>
      <c r="B1057" s="1" t="n">
        <v>44861</v>
      </c>
      <c r="C1057" s="1" t="n">
        <v>45181</v>
      </c>
      <c r="D1057" t="inlineStr">
        <is>
          <t>VÄSTERNORRLANDS LÄN</t>
        </is>
      </c>
      <c r="E1057" t="inlineStr">
        <is>
          <t>SUNDSVALL</t>
        </is>
      </c>
      <c r="G1057" t="n">
        <v>4.9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50824-2022</t>
        </is>
      </c>
      <c r="B1058" s="1" t="n">
        <v>44862</v>
      </c>
      <c r="C1058" s="1" t="n">
        <v>45181</v>
      </c>
      <c r="D1058" t="inlineStr">
        <is>
          <t>VÄSTERNORRLANDS LÄN</t>
        </is>
      </c>
      <c r="E1058" t="inlineStr">
        <is>
          <t>SUNDSVALL</t>
        </is>
      </c>
      <c r="G1058" t="n">
        <v>0.8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49857-2022</t>
        </is>
      </c>
      <c r="B1059" s="1" t="n">
        <v>44862</v>
      </c>
      <c r="C1059" s="1" t="n">
        <v>45181</v>
      </c>
      <c r="D1059" t="inlineStr">
        <is>
          <t>VÄSTERNORRLANDS LÄN</t>
        </is>
      </c>
      <c r="E1059" t="inlineStr">
        <is>
          <t>SUNDSVALL</t>
        </is>
      </c>
      <c r="F1059" t="inlineStr">
        <is>
          <t>SCA</t>
        </is>
      </c>
      <c r="G1059" t="n">
        <v>2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50652-2022</t>
        </is>
      </c>
      <c r="B1060" s="1" t="n">
        <v>44866</v>
      </c>
      <c r="C1060" s="1" t="n">
        <v>45181</v>
      </c>
      <c r="D1060" t="inlineStr">
        <is>
          <t>VÄSTERNORRLANDS LÄN</t>
        </is>
      </c>
      <c r="E1060" t="inlineStr">
        <is>
          <t>SUNDSVALL</t>
        </is>
      </c>
      <c r="F1060" t="inlineStr">
        <is>
          <t>SCA</t>
        </is>
      </c>
      <c r="G1060" t="n">
        <v>3.3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50651-2022</t>
        </is>
      </c>
      <c r="B1061" s="1" t="n">
        <v>44866</v>
      </c>
      <c r="C1061" s="1" t="n">
        <v>45181</v>
      </c>
      <c r="D1061" t="inlineStr">
        <is>
          <t>VÄSTERNORRLANDS LÄN</t>
        </is>
      </c>
      <c r="E1061" t="inlineStr">
        <is>
          <t>SUNDSVALL</t>
        </is>
      </c>
      <c r="F1061" t="inlineStr">
        <is>
          <t>SCA</t>
        </is>
      </c>
      <c r="G1061" t="n">
        <v>4.7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50654-2022</t>
        </is>
      </c>
      <c r="B1062" s="1" t="n">
        <v>44866</v>
      </c>
      <c r="C1062" s="1" t="n">
        <v>45181</v>
      </c>
      <c r="D1062" t="inlineStr">
        <is>
          <t>VÄSTERNORRLANDS LÄN</t>
        </is>
      </c>
      <c r="E1062" t="inlineStr">
        <is>
          <t>SUNDSVALL</t>
        </is>
      </c>
      <c r="F1062" t="inlineStr">
        <is>
          <t>SCA</t>
        </is>
      </c>
      <c r="G1062" t="n">
        <v>0.4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51004-2022</t>
        </is>
      </c>
      <c r="B1063" s="1" t="n">
        <v>44867</v>
      </c>
      <c r="C1063" s="1" t="n">
        <v>45181</v>
      </c>
      <c r="D1063" t="inlineStr">
        <is>
          <t>VÄSTERNORRLANDS LÄN</t>
        </is>
      </c>
      <c r="E1063" t="inlineStr">
        <is>
          <t>SUNDSVALL</t>
        </is>
      </c>
      <c r="F1063" t="inlineStr">
        <is>
          <t>SCA</t>
        </is>
      </c>
      <c r="G1063" t="n">
        <v>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51319-2022</t>
        </is>
      </c>
      <c r="B1064" s="1" t="n">
        <v>44868</v>
      </c>
      <c r="C1064" s="1" t="n">
        <v>45181</v>
      </c>
      <c r="D1064" t="inlineStr">
        <is>
          <t>VÄSTERNORRLANDS LÄN</t>
        </is>
      </c>
      <c r="E1064" t="inlineStr">
        <is>
          <t>SUNDSVALL</t>
        </is>
      </c>
      <c r="F1064" t="inlineStr">
        <is>
          <t>SCA</t>
        </is>
      </c>
      <c r="G1064" t="n">
        <v>4.5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51366-2022</t>
        </is>
      </c>
      <c r="B1065" s="1" t="n">
        <v>44869</v>
      </c>
      <c r="C1065" s="1" t="n">
        <v>45181</v>
      </c>
      <c r="D1065" t="inlineStr">
        <is>
          <t>VÄSTERNORRLANDS LÄN</t>
        </is>
      </c>
      <c r="E1065" t="inlineStr">
        <is>
          <t>SUNDSVALL</t>
        </is>
      </c>
      <c r="G1065" t="n">
        <v>31.8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51413-2022</t>
        </is>
      </c>
      <c r="B1066" s="1" t="n">
        <v>44869</v>
      </c>
      <c r="C1066" s="1" t="n">
        <v>45181</v>
      </c>
      <c r="D1066" t="inlineStr">
        <is>
          <t>VÄSTERNORRLANDS LÄN</t>
        </is>
      </c>
      <c r="E1066" t="inlineStr">
        <is>
          <t>SUNDSVALL</t>
        </is>
      </c>
      <c r="G1066" t="n">
        <v>6.1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51370-2022</t>
        </is>
      </c>
      <c r="B1067" s="1" t="n">
        <v>44869</v>
      </c>
      <c r="C1067" s="1" t="n">
        <v>45181</v>
      </c>
      <c r="D1067" t="inlineStr">
        <is>
          <t>VÄSTERNORRLANDS LÄN</t>
        </is>
      </c>
      <c r="E1067" t="inlineStr">
        <is>
          <t>SUNDSVALL</t>
        </is>
      </c>
      <c r="G1067" t="n">
        <v>18.7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51360-2022</t>
        </is>
      </c>
      <c r="B1068" s="1" t="n">
        <v>44869</v>
      </c>
      <c r="C1068" s="1" t="n">
        <v>45181</v>
      </c>
      <c r="D1068" t="inlineStr">
        <is>
          <t>VÄSTERNORRLANDS LÄN</t>
        </is>
      </c>
      <c r="E1068" t="inlineStr">
        <is>
          <t>SUNDSVALL</t>
        </is>
      </c>
      <c r="G1068" t="n">
        <v>30.9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51382-2022</t>
        </is>
      </c>
      <c r="B1069" s="1" t="n">
        <v>44869</v>
      </c>
      <c r="C1069" s="1" t="n">
        <v>45181</v>
      </c>
      <c r="D1069" t="inlineStr">
        <is>
          <t>VÄSTERNORRLANDS LÄN</t>
        </is>
      </c>
      <c r="E1069" t="inlineStr">
        <is>
          <t>SUNDSVALL</t>
        </is>
      </c>
      <c r="G1069" t="n">
        <v>2.6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51547-2022</t>
        </is>
      </c>
      <c r="B1070" s="1" t="n">
        <v>44869</v>
      </c>
      <c r="C1070" s="1" t="n">
        <v>45181</v>
      </c>
      <c r="D1070" t="inlineStr">
        <is>
          <t>VÄSTERNORRLANDS LÄN</t>
        </is>
      </c>
      <c r="E1070" t="inlineStr">
        <is>
          <t>SUNDSVALL</t>
        </is>
      </c>
      <c r="F1070" t="inlineStr">
        <is>
          <t>SCA</t>
        </is>
      </c>
      <c r="G1070" t="n">
        <v>11.3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52334-2022</t>
        </is>
      </c>
      <c r="B1071" s="1" t="n">
        <v>44873</v>
      </c>
      <c r="C1071" s="1" t="n">
        <v>45181</v>
      </c>
      <c r="D1071" t="inlineStr">
        <is>
          <t>VÄSTERNORRLANDS LÄN</t>
        </is>
      </c>
      <c r="E1071" t="inlineStr">
        <is>
          <t>SUNDSVALL</t>
        </is>
      </c>
      <c r="G1071" t="n">
        <v>2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52740-2022</t>
        </is>
      </c>
      <c r="B1072" s="1" t="n">
        <v>44874</v>
      </c>
      <c r="C1072" s="1" t="n">
        <v>45181</v>
      </c>
      <c r="D1072" t="inlineStr">
        <is>
          <t>VÄSTERNORRLANDS LÄN</t>
        </is>
      </c>
      <c r="E1072" t="inlineStr">
        <is>
          <t>SUNDSVALL</t>
        </is>
      </c>
      <c r="F1072" t="inlineStr">
        <is>
          <t>SCA</t>
        </is>
      </c>
      <c r="G1072" t="n">
        <v>5.5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52742-2022</t>
        </is>
      </c>
      <c r="B1073" s="1" t="n">
        <v>44874</v>
      </c>
      <c r="C1073" s="1" t="n">
        <v>45181</v>
      </c>
      <c r="D1073" t="inlineStr">
        <is>
          <t>VÄSTERNORRLANDS LÄN</t>
        </is>
      </c>
      <c r="E1073" t="inlineStr">
        <is>
          <t>SUNDSVALL</t>
        </is>
      </c>
      <c r="F1073" t="inlineStr">
        <is>
          <t>SCA</t>
        </is>
      </c>
      <c r="G1073" t="n">
        <v>3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52706-2022</t>
        </is>
      </c>
      <c r="B1074" s="1" t="n">
        <v>44874</v>
      </c>
      <c r="C1074" s="1" t="n">
        <v>45181</v>
      </c>
      <c r="D1074" t="inlineStr">
        <is>
          <t>VÄSTERNORRLANDS LÄN</t>
        </is>
      </c>
      <c r="E1074" t="inlineStr">
        <is>
          <t>SUNDSVALL</t>
        </is>
      </c>
      <c r="G1074" t="n">
        <v>11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53001-2022</t>
        </is>
      </c>
      <c r="B1075" s="1" t="n">
        <v>44875</v>
      </c>
      <c r="C1075" s="1" t="n">
        <v>45181</v>
      </c>
      <c r="D1075" t="inlineStr">
        <is>
          <t>VÄSTERNORRLANDS LÄN</t>
        </is>
      </c>
      <c r="E1075" t="inlineStr">
        <is>
          <t>SUNDSVALL</t>
        </is>
      </c>
      <c r="F1075" t="inlineStr">
        <is>
          <t>SCA</t>
        </is>
      </c>
      <c r="G1075" t="n">
        <v>1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53003-2022</t>
        </is>
      </c>
      <c r="B1076" s="1" t="n">
        <v>44875</v>
      </c>
      <c r="C1076" s="1" t="n">
        <v>45181</v>
      </c>
      <c r="D1076" t="inlineStr">
        <is>
          <t>VÄSTERNORRLANDS LÄN</t>
        </is>
      </c>
      <c r="E1076" t="inlineStr">
        <is>
          <t>SUNDSVALL</t>
        </is>
      </c>
      <c r="G1076" t="n">
        <v>0.8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53023-2022</t>
        </is>
      </c>
      <c r="B1077" s="1" t="n">
        <v>44875</v>
      </c>
      <c r="C1077" s="1" t="n">
        <v>45181</v>
      </c>
      <c r="D1077" t="inlineStr">
        <is>
          <t>VÄSTERNORRLANDS LÄN</t>
        </is>
      </c>
      <c r="E1077" t="inlineStr">
        <is>
          <t>SUNDSVALL</t>
        </is>
      </c>
      <c r="F1077" t="inlineStr">
        <is>
          <t>SCA</t>
        </is>
      </c>
      <c r="G1077" t="n">
        <v>4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53272-2022</t>
        </is>
      </c>
      <c r="B1078" s="1" t="n">
        <v>44876</v>
      </c>
      <c r="C1078" s="1" t="n">
        <v>45181</v>
      </c>
      <c r="D1078" t="inlineStr">
        <is>
          <t>VÄSTERNORRLANDS LÄN</t>
        </is>
      </c>
      <c r="E1078" t="inlineStr">
        <is>
          <t>SUNDSVALL</t>
        </is>
      </c>
      <c r="G1078" t="n">
        <v>1.9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53647-2022</t>
        </is>
      </c>
      <c r="B1079" s="1" t="n">
        <v>44879</v>
      </c>
      <c r="C1079" s="1" t="n">
        <v>45181</v>
      </c>
      <c r="D1079" t="inlineStr">
        <is>
          <t>VÄSTERNORRLANDS LÄN</t>
        </is>
      </c>
      <c r="E1079" t="inlineStr">
        <is>
          <t>SUNDSVALL</t>
        </is>
      </c>
      <c r="G1079" t="n">
        <v>8.800000000000001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53645-2022</t>
        </is>
      </c>
      <c r="B1080" s="1" t="n">
        <v>44879</v>
      </c>
      <c r="C1080" s="1" t="n">
        <v>45181</v>
      </c>
      <c r="D1080" t="inlineStr">
        <is>
          <t>VÄSTERNORRLANDS LÄN</t>
        </is>
      </c>
      <c r="E1080" t="inlineStr">
        <is>
          <t>SUNDSVALL</t>
        </is>
      </c>
      <c r="G1080" t="n">
        <v>0.2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53649-2022</t>
        </is>
      </c>
      <c r="B1081" s="1" t="n">
        <v>44879</v>
      </c>
      <c r="C1081" s="1" t="n">
        <v>45181</v>
      </c>
      <c r="D1081" t="inlineStr">
        <is>
          <t>VÄSTERNORRLANDS LÄN</t>
        </is>
      </c>
      <c r="E1081" t="inlineStr">
        <is>
          <t>SUNDSVALL</t>
        </is>
      </c>
      <c r="G1081" t="n">
        <v>0.8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53949-2022</t>
        </is>
      </c>
      <c r="B1082" s="1" t="n">
        <v>44880</v>
      </c>
      <c r="C1082" s="1" t="n">
        <v>45181</v>
      </c>
      <c r="D1082" t="inlineStr">
        <is>
          <t>VÄSTERNORRLANDS LÄN</t>
        </is>
      </c>
      <c r="E1082" t="inlineStr">
        <is>
          <t>SUNDSVALL</t>
        </is>
      </c>
      <c r="F1082" t="inlineStr">
        <is>
          <t>SCA</t>
        </is>
      </c>
      <c r="G1082" t="n">
        <v>5.9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53921-2022</t>
        </is>
      </c>
      <c r="B1083" s="1" t="n">
        <v>44880</v>
      </c>
      <c r="C1083" s="1" t="n">
        <v>45181</v>
      </c>
      <c r="D1083" t="inlineStr">
        <is>
          <t>VÄSTERNORRLANDS LÄN</t>
        </is>
      </c>
      <c r="E1083" t="inlineStr">
        <is>
          <t>SUNDSVALL</t>
        </is>
      </c>
      <c r="G1083" t="n">
        <v>1.1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53943-2022</t>
        </is>
      </c>
      <c r="B1084" s="1" t="n">
        <v>44880</v>
      </c>
      <c r="C1084" s="1" t="n">
        <v>45181</v>
      </c>
      <c r="D1084" t="inlineStr">
        <is>
          <t>VÄSTERNORRLANDS LÄN</t>
        </is>
      </c>
      <c r="E1084" t="inlineStr">
        <is>
          <t>SUNDSVALL</t>
        </is>
      </c>
      <c r="F1084" t="inlineStr">
        <is>
          <t>SCA</t>
        </is>
      </c>
      <c r="G1084" t="n">
        <v>2.6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54180-2022</t>
        </is>
      </c>
      <c r="B1085" s="1" t="n">
        <v>44881</v>
      </c>
      <c r="C1085" s="1" t="n">
        <v>45181</v>
      </c>
      <c r="D1085" t="inlineStr">
        <is>
          <t>VÄSTERNORRLANDS LÄN</t>
        </is>
      </c>
      <c r="E1085" t="inlineStr">
        <is>
          <t>SUNDSVALL</t>
        </is>
      </c>
      <c r="G1085" t="n">
        <v>1.4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54993-2022</t>
        </is>
      </c>
      <c r="B1086" s="1" t="n">
        <v>44881</v>
      </c>
      <c r="C1086" s="1" t="n">
        <v>45181</v>
      </c>
      <c r="D1086" t="inlineStr">
        <is>
          <t>VÄSTERNORRLANDS LÄN</t>
        </is>
      </c>
      <c r="E1086" t="inlineStr">
        <is>
          <t>SUNDSVALL</t>
        </is>
      </c>
      <c r="G1086" t="n">
        <v>2.1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55019-2022</t>
        </is>
      </c>
      <c r="B1087" s="1" t="n">
        <v>44881</v>
      </c>
      <c r="C1087" s="1" t="n">
        <v>45181</v>
      </c>
      <c r="D1087" t="inlineStr">
        <is>
          <t>VÄSTERNORRLANDS LÄN</t>
        </is>
      </c>
      <c r="E1087" t="inlineStr">
        <is>
          <t>SUNDSVALL</t>
        </is>
      </c>
      <c r="G1087" t="n">
        <v>4.3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54998-2022</t>
        </is>
      </c>
      <c r="B1088" s="1" t="n">
        <v>44881</v>
      </c>
      <c r="C1088" s="1" t="n">
        <v>45181</v>
      </c>
      <c r="D1088" t="inlineStr">
        <is>
          <t>VÄSTERNORRLANDS LÄN</t>
        </is>
      </c>
      <c r="E1088" t="inlineStr">
        <is>
          <t>SUNDSVALL</t>
        </is>
      </c>
      <c r="G1088" t="n">
        <v>1.6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54578-2022</t>
        </is>
      </c>
      <c r="B1089" s="1" t="n">
        <v>44882</v>
      </c>
      <c r="C1089" s="1" t="n">
        <v>45181</v>
      </c>
      <c r="D1089" t="inlineStr">
        <is>
          <t>VÄSTERNORRLANDS LÄN</t>
        </is>
      </c>
      <c r="E1089" t="inlineStr">
        <is>
          <t>SUNDSVALL</t>
        </is>
      </c>
      <c r="G1089" t="n">
        <v>2.8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55345-2022</t>
        </is>
      </c>
      <c r="B1090" s="1" t="n">
        <v>44882</v>
      </c>
      <c r="C1090" s="1" t="n">
        <v>45181</v>
      </c>
      <c r="D1090" t="inlineStr">
        <is>
          <t>VÄSTERNORRLANDS LÄN</t>
        </is>
      </c>
      <c r="E1090" t="inlineStr">
        <is>
          <t>SUNDSVALL</t>
        </is>
      </c>
      <c r="G1090" t="n">
        <v>0.8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54560-2022</t>
        </is>
      </c>
      <c r="B1091" s="1" t="n">
        <v>44882</v>
      </c>
      <c r="C1091" s="1" t="n">
        <v>45181</v>
      </c>
      <c r="D1091" t="inlineStr">
        <is>
          <t>VÄSTERNORRLANDS LÄN</t>
        </is>
      </c>
      <c r="E1091" t="inlineStr">
        <is>
          <t>SUNDSVALL</t>
        </is>
      </c>
      <c r="G1091" t="n">
        <v>1.6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55340-2022</t>
        </is>
      </c>
      <c r="B1092" s="1" t="n">
        <v>44882</v>
      </c>
      <c r="C1092" s="1" t="n">
        <v>45181</v>
      </c>
      <c r="D1092" t="inlineStr">
        <is>
          <t>VÄSTERNORRLANDS LÄN</t>
        </is>
      </c>
      <c r="E1092" t="inlineStr">
        <is>
          <t>SUNDSVALL</t>
        </is>
      </c>
      <c r="G1092" t="n">
        <v>0.5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54831-2022</t>
        </is>
      </c>
      <c r="B1093" s="1" t="n">
        <v>44883</v>
      </c>
      <c r="C1093" s="1" t="n">
        <v>45181</v>
      </c>
      <c r="D1093" t="inlineStr">
        <is>
          <t>VÄSTERNORRLANDS LÄN</t>
        </is>
      </c>
      <c r="E1093" t="inlineStr">
        <is>
          <t>SUNDSVALL</t>
        </is>
      </c>
      <c r="F1093" t="inlineStr">
        <is>
          <t>SCA</t>
        </is>
      </c>
      <c r="G1093" t="n">
        <v>5.1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55528-2022</t>
        </is>
      </c>
      <c r="B1094" s="1" t="n">
        <v>44887</v>
      </c>
      <c r="C1094" s="1" t="n">
        <v>45181</v>
      </c>
      <c r="D1094" t="inlineStr">
        <is>
          <t>VÄSTERNORRLANDS LÄN</t>
        </is>
      </c>
      <c r="E1094" t="inlineStr">
        <is>
          <t>SUNDSVALL</t>
        </is>
      </c>
      <c r="F1094" t="inlineStr">
        <is>
          <t>SCA</t>
        </is>
      </c>
      <c r="G1094" t="n">
        <v>3.3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55890-2022</t>
        </is>
      </c>
      <c r="B1095" s="1" t="n">
        <v>44888</v>
      </c>
      <c r="C1095" s="1" t="n">
        <v>45181</v>
      </c>
      <c r="D1095" t="inlineStr">
        <is>
          <t>VÄSTERNORRLANDS LÄN</t>
        </is>
      </c>
      <c r="E1095" t="inlineStr">
        <is>
          <t>SUNDSVALL</t>
        </is>
      </c>
      <c r="G1095" t="n">
        <v>5.3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55878-2022</t>
        </is>
      </c>
      <c r="B1096" s="1" t="n">
        <v>44888</v>
      </c>
      <c r="C1096" s="1" t="n">
        <v>45181</v>
      </c>
      <c r="D1096" t="inlineStr">
        <is>
          <t>VÄSTERNORRLANDS LÄN</t>
        </is>
      </c>
      <c r="E1096" t="inlineStr">
        <is>
          <t>SUNDSVALL</t>
        </is>
      </c>
      <c r="G1096" t="n">
        <v>0.8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58218-2022</t>
        </is>
      </c>
      <c r="B1097" s="1" t="n">
        <v>44893</v>
      </c>
      <c r="C1097" s="1" t="n">
        <v>45181</v>
      </c>
      <c r="D1097" t="inlineStr">
        <is>
          <t>VÄSTERNORRLANDS LÄN</t>
        </is>
      </c>
      <c r="E1097" t="inlineStr">
        <is>
          <t>SUNDSVALL</t>
        </is>
      </c>
      <c r="G1097" t="n">
        <v>0.8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58283-2022</t>
        </is>
      </c>
      <c r="B1098" s="1" t="n">
        <v>44893</v>
      </c>
      <c r="C1098" s="1" t="n">
        <v>45181</v>
      </c>
      <c r="D1098" t="inlineStr">
        <is>
          <t>VÄSTERNORRLANDS LÄN</t>
        </is>
      </c>
      <c r="E1098" t="inlineStr">
        <is>
          <t>SUNDSVALL</t>
        </is>
      </c>
      <c r="G1098" t="n">
        <v>1.2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57838-2022</t>
        </is>
      </c>
      <c r="B1099" s="1" t="n">
        <v>44897</v>
      </c>
      <c r="C1099" s="1" t="n">
        <v>45181</v>
      </c>
      <c r="D1099" t="inlineStr">
        <is>
          <t>VÄSTERNORRLANDS LÄN</t>
        </is>
      </c>
      <c r="E1099" t="inlineStr">
        <is>
          <t>SUNDSVALL</t>
        </is>
      </c>
      <c r="F1099" t="inlineStr">
        <is>
          <t>SCA</t>
        </is>
      </c>
      <c r="G1099" t="n">
        <v>2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57830-2022</t>
        </is>
      </c>
      <c r="B1100" s="1" t="n">
        <v>44897</v>
      </c>
      <c r="C1100" s="1" t="n">
        <v>45181</v>
      </c>
      <c r="D1100" t="inlineStr">
        <is>
          <t>VÄSTERNORRLANDS LÄN</t>
        </is>
      </c>
      <c r="E1100" t="inlineStr">
        <is>
          <t>SUNDSVALL</t>
        </is>
      </c>
      <c r="F1100" t="inlineStr">
        <is>
          <t>SCA</t>
        </is>
      </c>
      <c r="G1100" t="n">
        <v>0.4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57828-2022</t>
        </is>
      </c>
      <c r="B1101" s="1" t="n">
        <v>44897</v>
      </c>
      <c r="C1101" s="1" t="n">
        <v>45181</v>
      </c>
      <c r="D1101" t="inlineStr">
        <is>
          <t>VÄSTERNORRLANDS LÄN</t>
        </is>
      </c>
      <c r="E1101" t="inlineStr">
        <is>
          <t>SUNDSVALL</t>
        </is>
      </c>
      <c r="F1101" t="inlineStr">
        <is>
          <t>SCA</t>
        </is>
      </c>
      <c r="G1101" t="n">
        <v>3.2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57832-2022</t>
        </is>
      </c>
      <c r="B1102" s="1" t="n">
        <v>44897</v>
      </c>
      <c r="C1102" s="1" t="n">
        <v>45181</v>
      </c>
      <c r="D1102" t="inlineStr">
        <is>
          <t>VÄSTERNORRLANDS LÄN</t>
        </is>
      </c>
      <c r="E1102" t="inlineStr">
        <is>
          <t>SUNDSVALL</t>
        </is>
      </c>
      <c r="F1102" t="inlineStr">
        <is>
          <t>SCA</t>
        </is>
      </c>
      <c r="G1102" t="n">
        <v>2.7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58165-2022</t>
        </is>
      </c>
      <c r="B1103" s="1" t="n">
        <v>44900</v>
      </c>
      <c r="C1103" s="1" t="n">
        <v>45181</v>
      </c>
      <c r="D1103" t="inlineStr">
        <is>
          <t>VÄSTERNORRLANDS LÄN</t>
        </is>
      </c>
      <c r="E1103" t="inlineStr">
        <is>
          <t>SUNDSVALL</t>
        </is>
      </c>
      <c r="G1103" t="n">
        <v>0.5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58185-2022</t>
        </is>
      </c>
      <c r="B1104" s="1" t="n">
        <v>44900</v>
      </c>
      <c r="C1104" s="1" t="n">
        <v>45181</v>
      </c>
      <c r="D1104" t="inlineStr">
        <is>
          <t>VÄSTERNORRLANDS LÄN</t>
        </is>
      </c>
      <c r="E1104" t="inlineStr">
        <is>
          <t>SUNDSVALL</t>
        </is>
      </c>
      <c r="F1104" t="inlineStr">
        <is>
          <t>SCA</t>
        </is>
      </c>
      <c r="G1104" t="n">
        <v>0.6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58419-2022</t>
        </is>
      </c>
      <c r="B1105" s="1" t="n">
        <v>44901</v>
      </c>
      <c r="C1105" s="1" t="n">
        <v>45181</v>
      </c>
      <c r="D1105" t="inlineStr">
        <is>
          <t>VÄSTERNORRLANDS LÄN</t>
        </is>
      </c>
      <c r="E1105" t="inlineStr">
        <is>
          <t>SUNDSVALL</t>
        </is>
      </c>
      <c r="G1105" t="n">
        <v>0.5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58781-2022</t>
        </is>
      </c>
      <c r="B1106" s="1" t="n">
        <v>44903</v>
      </c>
      <c r="C1106" s="1" t="n">
        <v>45181</v>
      </c>
      <c r="D1106" t="inlineStr">
        <is>
          <t>VÄSTERNORRLANDS LÄN</t>
        </is>
      </c>
      <c r="E1106" t="inlineStr">
        <is>
          <t>SUNDSVALL</t>
        </is>
      </c>
      <c r="F1106" t="inlineStr">
        <is>
          <t>Holmen skog AB</t>
        </is>
      </c>
      <c r="G1106" t="n">
        <v>16.3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59122-2022</t>
        </is>
      </c>
      <c r="B1107" s="1" t="n">
        <v>44904</v>
      </c>
      <c r="C1107" s="1" t="n">
        <v>45181</v>
      </c>
      <c r="D1107" t="inlineStr">
        <is>
          <t>VÄSTERNORRLANDS LÄN</t>
        </is>
      </c>
      <c r="E1107" t="inlineStr">
        <is>
          <t>SUNDSVALL</t>
        </is>
      </c>
      <c r="G1107" t="n">
        <v>2.9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59115-2022</t>
        </is>
      </c>
      <c r="B1108" s="1" t="n">
        <v>44904</v>
      </c>
      <c r="C1108" s="1" t="n">
        <v>45181</v>
      </c>
      <c r="D1108" t="inlineStr">
        <is>
          <t>VÄSTERNORRLANDS LÄN</t>
        </is>
      </c>
      <c r="E1108" t="inlineStr">
        <is>
          <t>SUNDSVALL</t>
        </is>
      </c>
      <c r="G1108" t="n">
        <v>12.2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59770-2022</t>
        </is>
      </c>
      <c r="B1109" s="1" t="n">
        <v>44908</v>
      </c>
      <c r="C1109" s="1" t="n">
        <v>45181</v>
      </c>
      <c r="D1109" t="inlineStr">
        <is>
          <t>VÄSTERNORRLANDS LÄN</t>
        </is>
      </c>
      <c r="E1109" t="inlineStr">
        <is>
          <t>SUNDSVALL</t>
        </is>
      </c>
      <c r="G1109" t="n">
        <v>6.1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60165-2022</t>
        </is>
      </c>
      <c r="B1110" s="1" t="n">
        <v>44909</v>
      </c>
      <c r="C1110" s="1" t="n">
        <v>45181</v>
      </c>
      <c r="D1110" t="inlineStr">
        <is>
          <t>VÄSTERNORRLANDS LÄN</t>
        </is>
      </c>
      <c r="E1110" t="inlineStr">
        <is>
          <t>SUNDSVALL</t>
        </is>
      </c>
      <c r="G1110" t="n">
        <v>6.2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60399-2022</t>
        </is>
      </c>
      <c r="B1111" s="1" t="n">
        <v>44910</v>
      </c>
      <c r="C1111" s="1" t="n">
        <v>45181</v>
      </c>
      <c r="D1111" t="inlineStr">
        <is>
          <t>VÄSTERNORRLANDS LÄN</t>
        </is>
      </c>
      <c r="E1111" t="inlineStr">
        <is>
          <t>SUNDSVALL</t>
        </is>
      </c>
      <c r="G1111" t="n">
        <v>2.2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60604-2022</t>
        </is>
      </c>
      <c r="B1112" s="1" t="n">
        <v>44911</v>
      </c>
      <c r="C1112" s="1" t="n">
        <v>45181</v>
      </c>
      <c r="D1112" t="inlineStr">
        <is>
          <t>VÄSTERNORRLANDS LÄN</t>
        </is>
      </c>
      <c r="E1112" t="inlineStr">
        <is>
          <t>SUNDSVALL</t>
        </is>
      </c>
      <c r="G1112" t="n">
        <v>2.7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60613-2022</t>
        </is>
      </c>
      <c r="B1113" s="1" t="n">
        <v>44911</v>
      </c>
      <c r="C1113" s="1" t="n">
        <v>45181</v>
      </c>
      <c r="D1113" t="inlineStr">
        <is>
          <t>VÄSTERNORRLANDS LÄN</t>
        </is>
      </c>
      <c r="E1113" t="inlineStr">
        <is>
          <t>SUNDSVALL</t>
        </is>
      </c>
      <c r="F1113" t="inlineStr">
        <is>
          <t>Kyrkan</t>
        </is>
      </c>
      <c r="G1113" t="n">
        <v>1.9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60684-2022</t>
        </is>
      </c>
      <c r="B1114" s="1" t="n">
        <v>44911</v>
      </c>
      <c r="C1114" s="1" t="n">
        <v>45181</v>
      </c>
      <c r="D1114" t="inlineStr">
        <is>
          <t>VÄSTERNORRLANDS LÄN</t>
        </is>
      </c>
      <c r="E1114" t="inlineStr">
        <is>
          <t>SUNDSVALL</t>
        </is>
      </c>
      <c r="F1114" t="inlineStr">
        <is>
          <t>SCA</t>
        </is>
      </c>
      <c r="G1114" t="n">
        <v>2.7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60650-2022</t>
        </is>
      </c>
      <c r="B1115" s="1" t="n">
        <v>44911</v>
      </c>
      <c r="C1115" s="1" t="n">
        <v>45181</v>
      </c>
      <c r="D1115" t="inlineStr">
        <is>
          <t>VÄSTERNORRLANDS LÄN</t>
        </is>
      </c>
      <c r="E1115" t="inlineStr">
        <is>
          <t>SUNDSVALL</t>
        </is>
      </c>
      <c r="G1115" t="n">
        <v>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60651-2022</t>
        </is>
      </c>
      <c r="B1116" s="1" t="n">
        <v>44911</v>
      </c>
      <c r="C1116" s="1" t="n">
        <v>45181</v>
      </c>
      <c r="D1116" t="inlineStr">
        <is>
          <t>VÄSTERNORRLANDS LÄN</t>
        </is>
      </c>
      <c r="E1116" t="inlineStr">
        <is>
          <t>SUNDSVALL</t>
        </is>
      </c>
      <c r="G1116" t="n">
        <v>3.3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60890-2022</t>
        </is>
      </c>
      <c r="B1117" s="1" t="n">
        <v>44914</v>
      </c>
      <c r="C1117" s="1" t="n">
        <v>45181</v>
      </c>
      <c r="D1117" t="inlineStr">
        <is>
          <t>VÄSTERNORRLANDS LÄN</t>
        </is>
      </c>
      <c r="E1117" t="inlineStr">
        <is>
          <t>SUNDSVALL</t>
        </is>
      </c>
      <c r="G1117" t="n">
        <v>2.1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61727-2022</t>
        </is>
      </c>
      <c r="B1118" s="1" t="n">
        <v>44917</v>
      </c>
      <c r="C1118" s="1" t="n">
        <v>45181</v>
      </c>
      <c r="D1118" t="inlineStr">
        <is>
          <t>VÄSTERNORRLANDS LÄN</t>
        </is>
      </c>
      <c r="E1118" t="inlineStr">
        <is>
          <t>SUNDSVALL</t>
        </is>
      </c>
      <c r="G1118" t="n">
        <v>2.6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61735-2022</t>
        </is>
      </c>
      <c r="B1119" s="1" t="n">
        <v>44917</v>
      </c>
      <c r="C1119" s="1" t="n">
        <v>45181</v>
      </c>
      <c r="D1119" t="inlineStr">
        <is>
          <t>VÄSTERNORRLANDS LÄN</t>
        </is>
      </c>
      <c r="E1119" t="inlineStr">
        <is>
          <t>SUNDSVALL</t>
        </is>
      </c>
      <c r="G1119" t="n">
        <v>3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61733-2022</t>
        </is>
      </c>
      <c r="B1120" s="1" t="n">
        <v>44917</v>
      </c>
      <c r="C1120" s="1" t="n">
        <v>45181</v>
      </c>
      <c r="D1120" t="inlineStr">
        <is>
          <t>VÄSTERNORRLANDS LÄN</t>
        </is>
      </c>
      <c r="E1120" t="inlineStr">
        <is>
          <t>SUNDSVALL</t>
        </is>
      </c>
      <c r="G1120" t="n">
        <v>3.6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200-2023</t>
        </is>
      </c>
      <c r="B1121" s="1" t="n">
        <v>44928</v>
      </c>
      <c r="C1121" s="1" t="n">
        <v>45181</v>
      </c>
      <c r="D1121" t="inlineStr">
        <is>
          <t>VÄSTERNORRLANDS LÄN</t>
        </is>
      </c>
      <c r="E1121" t="inlineStr">
        <is>
          <t>SUNDSVALL</t>
        </is>
      </c>
      <c r="G1121" t="n">
        <v>1.7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284-2023</t>
        </is>
      </c>
      <c r="B1122" s="1" t="n">
        <v>44928</v>
      </c>
      <c r="C1122" s="1" t="n">
        <v>45181</v>
      </c>
      <c r="D1122" t="inlineStr">
        <is>
          <t>VÄSTERNORRLANDS LÄN</t>
        </is>
      </c>
      <c r="E1122" t="inlineStr">
        <is>
          <t>SUNDSVALL</t>
        </is>
      </c>
      <c r="G1122" t="n">
        <v>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795-2023</t>
        </is>
      </c>
      <c r="B1123" s="1" t="n">
        <v>44928</v>
      </c>
      <c r="C1123" s="1" t="n">
        <v>45181</v>
      </c>
      <c r="D1123" t="inlineStr">
        <is>
          <t>VÄSTERNORRLANDS LÄN</t>
        </is>
      </c>
      <c r="E1123" t="inlineStr">
        <is>
          <t>SUNDSVALL</t>
        </is>
      </c>
      <c r="G1123" t="n">
        <v>1.5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304-2023</t>
        </is>
      </c>
      <c r="B1124" s="1" t="n">
        <v>44929</v>
      </c>
      <c r="C1124" s="1" t="n">
        <v>45181</v>
      </c>
      <c r="D1124" t="inlineStr">
        <is>
          <t>VÄSTERNORRLANDS LÄN</t>
        </is>
      </c>
      <c r="E1124" t="inlineStr">
        <is>
          <t>SUNDSVALL</t>
        </is>
      </c>
      <c r="G1124" t="n">
        <v>2.4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311-2023</t>
        </is>
      </c>
      <c r="B1125" s="1" t="n">
        <v>44929</v>
      </c>
      <c r="C1125" s="1" t="n">
        <v>45181</v>
      </c>
      <c r="D1125" t="inlineStr">
        <is>
          <t>VÄSTERNORRLANDS LÄN</t>
        </is>
      </c>
      <c r="E1125" t="inlineStr">
        <is>
          <t>SUNDSVALL</t>
        </is>
      </c>
      <c r="G1125" t="n">
        <v>16.5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303-2023</t>
        </is>
      </c>
      <c r="B1126" s="1" t="n">
        <v>44929</v>
      </c>
      <c r="C1126" s="1" t="n">
        <v>45181</v>
      </c>
      <c r="D1126" t="inlineStr">
        <is>
          <t>VÄSTERNORRLANDS LÄN</t>
        </is>
      </c>
      <c r="E1126" t="inlineStr">
        <is>
          <t>SUNDSVALL</t>
        </is>
      </c>
      <c r="G1126" t="n">
        <v>3.9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512-2023</t>
        </is>
      </c>
      <c r="B1127" s="1" t="n">
        <v>44930</v>
      </c>
      <c r="C1127" s="1" t="n">
        <v>45181</v>
      </c>
      <c r="D1127" t="inlineStr">
        <is>
          <t>VÄSTERNORRLANDS LÄN</t>
        </is>
      </c>
      <c r="E1127" t="inlineStr">
        <is>
          <t>SUNDSVALL</t>
        </is>
      </c>
      <c r="F1127" t="inlineStr">
        <is>
          <t>Holmen skog AB</t>
        </is>
      </c>
      <c r="G1127" t="n">
        <v>2.1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1313-2023</t>
        </is>
      </c>
      <c r="B1128" s="1" t="n">
        <v>44931</v>
      </c>
      <c r="C1128" s="1" t="n">
        <v>45181</v>
      </c>
      <c r="D1128" t="inlineStr">
        <is>
          <t>VÄSTERNORRLANDS LÄN</t>
        </is>
      </c>
      <c r="E1128" t="inlineStr">
        <is>
          <t>SUNDSVALL</t>
        </is>
      </c>
      <c r="G1128" t="n">
        <v>2.1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1220-2023</t>
        </is>
      </c>
      <c r="B1129" s="1" t="n">
        <v>44935</v>
      </c>
      <c r="C1129" s="1" t="n">
        <v>45181</v>
      </c>
      <c r="D1129" t="inlineStr">
        <is>
          <t>VÄSTERNORRLANDS LÄN</t>
        </is>
      </c>
      <c r="E1129" t="inlineStr">
        <is>
          <t>SUNDSVALL</t>
        </is>
      </c>
      <c r="G1129" t="n">
        <v>2.7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1157-2023</t>
        </is>
      </c>
      <c r="B1130" s="1" t="n">
        <v>44935</v>
      </c>
      <c r="C1130" s="1" t="n">
        <v>45181</v>
      </c>
      <c r="D1130" t="inlineStr">
        <is>
          <t>VÄSTERNORRLANDS LÄN</t>
        </is>
      </c>
      <c r="E1130" t="inlineStr">
        <is>
          <t>SUNDSVALL</t>
        </is>
      </c>
      <c r="G1130" t="n">
        <v>1.5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1417-2023</t>
        </is>
      </c>
      <c r="B1131" s="1" t="n">
        <v>44936</v>
      </c>
      <c r="C1131" s="1" t="n">
        <v>45181</v>
      </c>
      <c r="D1131" t="inlineStr">
        <is>
          <t>VÄSTERNORRLANDS LÄN</t>
        </is>
      </c>
      <c r="E1131" t="inlineStr">
        <is>
          <t>SUNDSVALL</t>
        </is>
      </c>
      <c r="G1131" t="n">
        <v>0.7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1473-2023</t>
        </is>
      </c>
      <c r="B1132" s="1" t="n">
        <v>44937</v>
      </c>
      <c r="C1132" s="1" t="n">
        <v>45181</v>
      </c>
      <c r="D1132" t="inlineStr">
        <is>
          <t>VÄSTERNORRLANDS LÄN</t>
        </is>
      </c>
      <c r="E1132" t="inlineStr">
        <is>
          <t>SUNDSVALL</t>
        </is>
      </c>
      <c r="G1132" t="n">
        <v>0.9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2109-2023</t>
        </is>
      </c>
      <c r="B1133" s="1" t="n">
        <v>44939</v>
      </c>
      <c r="C1133" s="1" t="n">
        <v>45181</v>
      </c>
      <c r="D1133" t="inlineStr">
        <is>
          <t>VÄSTERNORRLANDS LÄN</t>
        </is>
      </c>
      <c r="E1133" t="inlineStr">
        <is>
          <t>SUNDSVALL</t>
        </is>
      </c>
      <c r="G1133" t="n">
        <v>2.6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1981-2023</t>
        </is>
      </c>
      <c r="B1134" s="1" t="n">
        <v>44939</v>
      </c>
      <c r="C1134" s="1" t="n">
        <v>45181</v>
      </c>
      <c r="D1134" t="inlineStr">
        <is>
          <t>VÄSTERNORRLANDS LÄN</t>
        </is>
      </c>
      <c r="E1134" t="inlineStr">
        <is>
          <t>SUNDSVALL</t>
        </is>
      </c>
      <c r="G1134" t="n">
        <v>0.9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2106-2023</t>
        </is>
      </c>
      <c r="B1135" s="1" t="n">
        <v>44939</v>
      </c>
      <c r="C1135" s="1" t="n">
        <v>45181</v>
      </c>
      <c r="D1135" t="inlineStr">
        <is>
          <t>VÄSTERNORRLANDS LÄN</t>
        </is>
      </c>
      <c r="E1135" t="inlineStr">
        <is>
          <t>SUNDSVALL</t>
        </is>
      </c>
      <c r="G1135" t="n">
        <v>0.9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2131-2023</t>
        </is>
      </c>
      <c r="B1136" s="1" t="n">
        <v>44939</v>
      </c>
      <c r="C1136" s="1" t="n">
        <v>45181</v>
      </c>
      <c r="D1136" t="inlineStr">
        <is>
          <t>VÄSTERNORRLANDS LÄN</t>
        </is>
      </c>
      <c r="E1136" t="inlineStr">
        <is>
          <t>SUNDSVALL</t>
        </is>
      </c>
      <c r="F1136" t="inlineStr">
        <is>
          <t>SCA</t>
        </is>
      </c>
      <c r="G1136" t="n">
        <v>1.9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2399-2023</t>
        </is>
      </c>
      <c r="B1137" s="1" t="n">
        <v>44942</v>
      </c>
      <c r="C1137" s="1" t="n">
        <v>45181</v>
      </c>
      <c r="D1137" t="inlineStr">
        <is>
          <t>VÄSTERNORRLANDS LÄN</t>
        </is>
      </c>
      <c r="E1137" t="inlineStr">
        <is>
          <t>SUNDSVALL</t>
        </is>
      </c>
      <c r="G1137" t="n">
        <v>2.2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2428-2023</t>
        </is>
      </c>
      <c r="B1138" s="1" t="n">
        <v>44942</v>
      </c>
      <c r="C1138" s="1" t="n">
        <v>45181</v>
      </c>
      <c r="D1138" t="inlineStr">
        <is>
          <t>VÄSTERNORRLANDS LÄN</t>
        </is>
      </c>
      <c r="E1138" t="inlineStr">
        <is>
          <t>SUNDSVALL</t>
        </is>
      </c>
      <c r="G1138" t="n">
        <v>1.4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2432-2023</t>
        </is>
      </c>
      <c r="B1139" s="1" t="n">
        <v>44942</v>
      </c>
      <c r="C1139" s="1" t="n">
        <v>45181</v>
      </c>
      <c r="D1139" t="inlineStr">
        <is>
          <t>VÄSTERNORRLANDS LÄN</t>
        </is>
      </c>
      <c r="E1139" t="inlineStr">
        <is>
          <t>SUNDSVALL</t>
        </is>
      </c>
      <c r="G1139" t="n">
        <v>6.5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3634-2023</t>
        </is>
      </c>
      <c r="B1140" s="1" t="n">
        <v>44950</v>
      </c>
      <c r="C1140" s="1" t="n">
        <v>45181</v>
      </c>
      <c r="D1140" t="inlineStr">
        <is>
          <t>VÄSTERNORRLANDS LÄN</t>
        </is>
      </c>
      <c r="E1140" t="inlineStr">
        <is>
          <t>SUNDSVALL</t>
        </is>
      </c>
      <c r="G1140" t="n">
        <v>49.4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3688-2023</t>
        </is>
      </c>
      <c r="B1141" s="1" t="n">
        <v>44950</v>
      </c>
      <c r="C1141" s="1" t="n">
        <v>45181</v>
      </c>
      <c r="D1141" t="inlineStr">
        <is>
          <t>VÄSTERNORRLANDS LÄN</t>
        </is>
      </c>
      <c r="E1141" t="inlineStr">
        <is>
          <t>SUNDSVALL</t>
        </is>
      </c>
      <c r="F1141" t="inlineStr">
        <is>
          <t>Naturvårdsverket</t>
        </is>
      </c>
      <c r="G1141" t="n">
        <v>3.7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3699-2023</t>
        </is>
      </c>
      <c r="B1142" s="1" t="n">
        <v>44950</v>
      </c>
      <c r="C1142" s="1" t="n">
        <v>45181</v>
      </c>
      <c r="D1142" t="inlineStr">
        <is>
          <t>VÄSTERNORRLANDS LÄN</t>
        </is>
      </c>
      <c r="E1142" t="inlineStr">
        <is>
          <t>SUNDSVALL</t>
        </is>
      </c>
      <c r="F1142" t="inlineStr">
        <is>
          <t>Naturvårdsverket</t>
        </is>
      </c>
      <c r="G1142" t="n">
        <v>3.3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4800-2023</t>
        </is>
      </c>
      <c r="B1143" s="1" t="n">
        <v>44952</v>
      </c>
      <c r="C1143" s="1" t="n">
        <v>45181</v>
      </c>
      <c r="D1143" t="inlineStr">
        <is>
          <t>VÄSTERNORRLANDS LÄN</t>
        </is>
      </c>
      <c r="E1143" t="inlineStr">
        <is>
          <t>SUNDSVALL</t>
        </is>
      </c>
      <c r="G1143" t="n">
        <v>0.3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4619-2023</t>
        </is>
      </c>
      <c r="B1144" s="1" t="n">
        <v>44956</v>
      </c>
      <c r="C1144" s="1" t="n">
        <v>45181</v>
      </c>
      <c r="D1144" t="inlineStr">
        <is>
          <t>VÄSTERNORRLANDS LÄN</t>
        </is>
      </c>
      <c r="E1144" t="inlineStr">
        <is>
          <t>SUNDSVALL</t>
        </is>
      </c>
      <c r="F1144" t="inlineStr">
        <is>
          <t>SCA</t>
        </is>
      </c>
      <c r="G1144" t="n">
        <v>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4912-2023</t>
        </is>
      </c>
      <c r="B1145" s="1" t="n">
        <v>44956</v>
      </c>
      <c r="C1145" s="1" t="n">
        <v>45181</v>
      </c>
      <c r="D1145" t="inlineStr">
        <is>
          <t>VÄSTERNORRLANDS LÄN</t>
        </is>
      </c>
      <c r="E1145" t="inlineStr">
        <is>
          <t>SUNDSVALL</t>
        </is>
      </c>
      <c r="G1145" t="n">
        <v>2.3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5949-2023</t>
        </is>
      </c>
      <c r="B1146" s="1" t="n">
        <v>44963</v>
      </c>
      <c r="C1146" s="1" t="n">
        <v>45181</v>
      </c>
      <c r="D1146" t="inlineStr">
        <is>
          <t>VÄSTERNORRLANDS LÄN</t>
        </is>
      </c>
      <c r="E1146" t="inlineStr">
        <is>
          <t>SUNDSVALL</t>
        </is>
      </c>
      <c r="F1146" t="inlineStr">
        <is>
          <t>SCA</t>
        </is>
      </c>
      <c r="G1146" t="n">
        <v>1.1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5957-2023</t>
        </is>
      </c>
      <c r="B1147" s="1" t="n">
        <v>44963</v>
      </c>
      <c r="C1147" s="1" t="n">
        <v>45181</v>
      </c>
      <c r="D1147" t="inlineStr">
        <is>
          <t>VÄSTERNORRLANDS LÄN</t>
        </is>
      </c>
      <c r="E1147" t="inlineStr">
        <is>
          <t>SUNDSVALL</t>
        </is>
      </c>
      <c r="F1147" t="inlineStr">
        <is>
          <t>SCA</t>
        </is>
      </c>
      <c r="G1147" t="n">
        <v>4.7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5948-2023</t>
        </is>
      </c>
      <c r="B1148" s="1" t="n">
        <v>44963</v>
      </c>
      <c r="C1148" s="1" t="n">
        <v>45181</v>
      </c>
      <c r="D1148" t="inlineStr">
        <is>
          <t>VÄSTERNORRLANDS LÄN</t>
        </is>
      </c>
      <c r="E1148" t="inlineStr">
        <is>
          <t>SUNDSVALL</t>
        </is>
      </c>
      <c r="F1148" t="inlineStr">
        <is>
          <t>SCA</t>
        </is>
      </c>
      <c r="G1148" t="n">
        <v>7.5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6228-2023</t>
        </is>
      </c>
      <c r="B1149" s="1" t="n">
        <v>44964</v>
      </c>
      <c r="C1149" s="1" t="n">
        <v>45181</v>
      </c>
      <c r="D1149" t="inlineStr">
        <is>
          <t>VÄSTERNORRLANDS LÄN</t>
        </is>
      </c>
      <c r="E1149" t="inlineStr">
        <is>
          <t>SUNDSVALL</t>
        </is>
      </c>
      <c r="G1149" t="n">
        <v>6.5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6461-2023</t>
        </is>
      </c>
      <c r="B1150" s="1" t="n">
        <v>44965</v>
      </c>
      <c r="C1150" s="1" t="n">
        <v>45181</v>
      </c>
      <c r="D1150" t="inlineStr">
        <is>
          <t>VÄSTERNORRLANDS LÄN</t>
        </is>
      </c>
      <c r="E1150" t="inlineStr">
        <is>
          <t>SUNDSVALL</t>
        </is>
      </c>
      <c r="F1150" t="inlineStr">
        <is>
          <t>SCA</t>
        </is>
      </c>
      <c r="G1150" t="n">
        <v>7.9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6471-2023</t>
        </is>
      </c>
      <c r="B1151" s="1" t="n">
        <v>44965</v>
      </c>
      <c r="C1151" s="1" t="n">
        <v>45181</v>
      </c>
      <c r="D1151" t="inlineStr">
        <is>
          <t>VÄSTERNORRLANDS LÄN</t>
        </is>
      </c>
      <c r="E1151" t="inlineStr">
        <is>
          <t>SUNDSVALL</t>
        </is>
      </c>
      <c r="F1151" t="inlineStr">
        <is>
          <t>SCA</t>
        </is>
      </c>
      <c r="G1151" t="n">
        <v>2.9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6460-2023</t>
        </is>
      </c>
      <c r="B1152" s="1" t="n">
        <v>44965</v>
      </c>
      <c r="C1152" s="1" t="n">
        <v>45181</v>
      </c>
      <c r="D1152" t="inlineStr">
        <is>
          <t>VÄSTERNORRLANDS LÄN</t>
        </is>
      </c>
      <c r="E1152" t="inlineStr">
        <is>
          <t>SUNDSVALL</t>
        </is>
      </c>
      <c r="F1152" t="inlineStr">
        <is>
          <t>SCA</t>
        </is>
      </c>
      <c r="G1152" t="n">
        <v>3.2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6468-2023</t>
        </is>
      </c>
      <c r="B1153" s="1" t="n">
        <v>44965</v>
      </c>
      <c r="C1153" s="1" t="n">
        <v>45181</v>
      </c>
      <c r="D1153" t="inlineStr">
        <is>
          <t>VÄSTERNORRLANDS LÄN</t>
        </is>
      </c>
      <c r="E1153" t="inlineStr">
        <is>
          <t>SUNDSVALL</t>
        </is>
      </c>
      <c r="F1153" t="inlineStr">
        <is>
          <t>SCA</t>
        </is>
      </c>
      <c r="G1153" t="n">
        <v>3.4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6472-2023</t>
        </is>
      </c>
      <c r="B1154" s="1" t="n">
        <v>44965</v>
      </c>
      <c r="C1154" s="1" t="n">
        <v>45181</v>
      </c>
      <c r="D1154" t="inlineStr">
        <is>
          <t>VÄSTERNORRLANDS LÄN</t>
        </is>
      </c>
      <c r="E1154" t="inlineStr">
        <is>
          <t>SUNDSVALL</t>
        </is>
      </c>
      <c r="F1154" t="inlineStr">
        <is>
          <t>SCA</t>
        </is>
      </c>
      <c r="G1154" t="n">
        <v>1.6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7558-2023</t>
        </is>
      </c>
      <c r="B1155" s="1" t="n">
        <v>44967</v>
      </c>
      <c r="C1155" s="1" t="n">
        <v>45181</v>
      </c>
      <c r="D1155" t="inlineStr">
        <is>
          <t>VÄSTERNORRLANDS LÄN</t>
        </is>
      </c>
      <c r="E1155" t="inlineStr">
        <is>
          <t>SUNDSVALL</t>
        </is>
      </c>
      <c r="G1155" t="n">
        <v>1.6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7566-2023</t>
        </is>
      </c>
      <c r="B1156" s="1" t="n">
        <v>44967</v>
      </c>
      <c r="C1156" s="1" t="n">
        <v>45181</v>
      </c>
      <c r="D1156" t="inlineStr">
        <is>
          <t>VÄSTERNORRLANDS LÄN</t>
        </is>
      </c>
      <c r="E1156" t="inlineStr">
        <is>
          <t>SUNDSVALL</t>
        </is>
      </c>
      <c r="G1156" t="n">
        <v>2.1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7362-2023</t>
        </is>
      </c>
      <c r="B1157" s="1" t="n">
        <v>44971</v>
      </c>
      <c r="C1157" s="1" t="n">
        <v>45181</v>
      </c>
      <c r="D1157" t="inlineStr">
        <is>
          <t>VÄSTERNORRLANDS LÄN</t>
        </is>
      </c>
      <c r="E1157" t="inlineStr">
        <is>
          <t>SUNDSVALL</t>
        </is>
      </c>
      <c r="G1157" t="n">
        <v>11.1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7515-2023</t>
        </is>
      </c>
      <c r="B1158" s="1" t="n">
        <v>44971</v>
      </c>
      <c r="C1158" s="1" t="n">
        <v>45181</v>
      </c>
      <c r="D1158" t="inlineStr">
        <is>
          <t>VÄSTERNORRLANDS LÄN</t>
        </is>
      </c>
      <c r="E1158" t="inlineStr">
        <is>
          <t>SUNDSVALL</t>
        </is>
      </c>
      <c r="G1158" t="n">
        <v>2.2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7513-2023</t>
        </is>
      </c>
      <c r="B1159" s="1" t="n">
        <v>44971</v>
      </c>
      <c r="C1159" s="1" t="n">
        <v>45181</v>
      </c>
      <c r="D1159" t="inlineStr">
        <is>
          <t>VÄSTERNORRLANDS LÄN</t>
        </is>
      </c>
      <c r="E1159" t="inlineStr">
        <is>
          <t>SUNDSVALL</t>
        </is>
      </c>
      <c r="G1159" t="n">
        <v>1.6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10047-2023</t>
        </is>
      </c>
      <c r="B1160" s="1" t="n">
        <v>44977</v>
      </c>
      <c r="C1160" s="1" t="n">
        <v>45181</v>
      </c>
      <c r="D1160" t="inlineStr">
        <is>
          <t>VÄSTERNORRLANDS LÄN</t>
        </is>
      </c>
      <c r="E1160" t="inlineStr">
        <is>
          <t>SUNDSVALL</t>
        </is>
      </c>
      <c r="G1160" t="n">
        <v>1.1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8873-2023</t>
        </is>
      </c>
      <c r="B1161" s="1" t="n">
        <v>44978</v>
      </c>
      <c r="C1161" s="1" t="n">
        <v>45181</v>
      </c>
      <c r="D1161" t="inlineStr">
        <is>
          <t>VÄSTERNORRLANDS LÄN</t>
        </is>
      </c>
      <c r="E1161" t="inlineStr">
        <is>
          <t>SUNDSVALL</t>
        </is>
      </c>
      <c r="F1161" t="inlineStr">
        <is>
          <t>SCA</t>
        </is>
      </c>
      <c r="G1161" t="n">
        <v>2.7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8944-2023</t>
        </is>
      </c>
      <c r="B1162" s="1" t="n">
        <v>44979</v>
      </c>
      <c r="C1162" s="1" t="n">
        <v>45181</v>
      </c>
      <c r="D1162" t="inlineStr">
        <is>
          <t>VÄSTERNORRLANDS LÄN</t>
        </is>
      </c>
      <c r="E1162" t="inlineStr">
        <is>
          <t>SUNDSVALL</t>
        </is>
      </c>
      <c r="F1162" t="inlineStr">
        <is>
          <t>Holmen skog AB</t>
        </is>
      </c>
      <c r="G1162" t="n">
        <v>15.7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9359-2023</t>
        </is>
      </c>
      <c r="B1163" s="1" t="n">
        <v>44980</v>
      </c>
      <c r="C1163" s="1" t="n">
        <v>45181</v>
      </c>
      <c r="D1163" t="inlineStr">
        <is>
          <t>VÄSTERNORRLANDS LÄN</t>
        </is>
      </c>
      <c r="E1163" t="inlineStr">
        <is>
          <t>SUNDSVALL</t>
        </is>
      </c>
      <c r="F1163" t="inlineStr">
        <is>
          <t>SCA</t>
        </is>
      </c>
      <c r="G1163" t="n">
        <v>5.9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9137-2023</t>
        </is>
      </c>
      <c r="B1164" s="1" t="n">
        <v>44980</v>
      </c>
      <c r="C1164" s="1" t="n">
        <v>45181</v>
      </c>
      <c r="D1164" t="inlineStr">
        <is>
          <t>VÄSTERNORRLANDS LÄN</t>
        </is>
      </c>
      <c r="E1164" t="inlineStr">
        <is>
          <t>SUNDSVALL</t>
        </is>
      </c>
      <c r="F1164" t="inlineStr">
        <is>
          <t>Holmen skog AB</t>
        </is>
      </c>
      <c r="G1164" t="n">
        <v>7.5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9583-2023</t>
        </is>
      </c>
      <c r="B1165" s="1" t="n">
        <v>44982</v>
      </c>
      <c r="C1165" s="1" t="n">
        <v>45181</v>
      </c>
      <c r="D1165" t="inlineStr">
        <is>
          <t>VÄSTERNORRLANDS LÄN</t>
        </is>
      </c>
      <c r="E1165" t="inlineStr">
        <is>
          <t>SUNDSVALL</t>
        </is>
      </c>
      <c r="F1165" t="inlineStr">
        <is>
          <t>SCA</t>
        </is>
      </c>
      <c r="G1165" t="n">
        <v>10.2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9584-2023</t>
        </is>
      </c>
      <c r="B1166" s="1" t="n">
        <v>44982</v>
      </c>
      <c r="C1166" s="1" t="n">
        <v>45181</v>
      </c>
      <c r="D1166" t="inlineStr">
        <is>
          <t>VÄSTERNORRLANDS LÄN</t>
        </is>
      </c>
      <c r="E1166" t="inlineStr">
        <is>
          <t>SUNDSVALL</t>
        </is>
      </c>
      <c r="F1166" t="inlineStr">
        <is>
          <t>SCA</t>
        </is>
      </c>
      <c r="G1166" t="n">
        <v>3.7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9611-2023</t>
        </is>
      </c>
      <c r="B1167" s="1" t="n">
        <v>44983</v>
      </c>
      <c r="C1167" s="1" t="n">
        <v>45181</v>
      </c>
      <c r="D1167" t="inlineStr">
        <is>
          <t>VÄSTERNORRLANDS LÄN</t>
        </is>
      </c>
      <c r="E1167" t="inlineStr">
        <is>
          <t>SUNDSVALL</t>
        </is>
      </c>
      <c r="F1167" t="inlineStr">
        <is>
          <t>SCA</t>
        </is>
      </c>
      <c r="G1167" t="n">
        <v>20.6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10727-2023</t>
        </is>
      </c>
      <c r="B1168" s="1" t="n">
        <v>44984</v>
      </c>
      <c r="C1168" s="1" t="n">
        <v>45181</v>
      </c>
      <c r="D1168" t="inlineStr">
        <is>
          <t>VÄSTERNORRLANDS LÄN</t>
        </is>
      </c>
      <c r="E1168" t="inlineStr">
        <is>
          <t>SUNDSVALL</t>
        </is>
      </c>
      <c r="G1168" t="n">
        <v>0.7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9857-2023</t>
        </is>
      </c>
      <c r="B1169" s="1" t="n">
        <v>44984</v>
      </c>
      <c r="C1169" s="1" t="n">
        <v>45181</v>
      </c>
      <c r="D1169" t="inlineStr">
        <is>
          <t>VÄSTERNORRLANDS LÄN</t>
        </is>
      </c>
      <c r="E1169" t="inlineStr">
        <is>
          <t>SUNDSVALL</t>
        </is>
      </c>
      <c r="F1169" t="inlineStr">
        <is>
          <t>SCA</t>
        </is>
      </c>
      <c r="G1169" t="n">
        <v>2.4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9868-2023</t>
        </is>
      </c>
      <c r="B1170" s="1" t="n">
        <v>44984</v>
      </c>
      <c r="C1170" s="1" t="n">
        <v>45181</v>
      </c>
      <c r="D1170" t="inlineStr">
        <is>
          <t>VÄSTERNORRLANDS LÄN</t>
        </is>
      </c>
      <c r="E1170" t="inlineStr">
        <is>
          <t>SUNDSVALL</t>
        </is>
      </c>
      <c r="F1170" t="inlineStr">
        <is>
          <t>SCA</t>
        </is>
      </c>
      <c r="G1170" t="n">
        <v>52.8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9744-2023</t>
        </is>
      </c>
      <c r="B1171" s="1" t="n">
        <v>44984</v>
      </c>
      <c r="C1171" s="1" t="n">
        <v>45181</v>
      </c>
      <c r="D1171" t="inlineStr">
        <is>
          <t>VÄSTERNORRLANDS LÄN</t>
        </is>
      </c>
      <c r="E1171" t="inlineStr">
        <is>
          <t>SUNDSVALL</t>
        </is>
      </c>
      <c r="G1171" t="n">
        <v>1.1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10730-2023</t>
        </is>
      </c>
      <c r="B1172" s="1" t="n">
        <v>44984</v>
      </c>
      <c r="C1172" s="1" t="n">
        <v>45181</v>
      </c>
      <c r="D1172" t="inlineStr">
        <is>
          <t>VÄSTERNORRLANDS LÄN</t>
        </is>
      </c>
      <c r="E1172" t="inlineStr">
        <is>
          <t>SUNDSVALL</t>
        </is>
      </c>
      <c r="G1172" t="n">
        <v>4.5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10316-2023</t>
        </is>
      </c>
      <c r="B1173" s="1" t="n">
        <v>44986</v>
      </c>
      <c r="C1173" s="1" t="n">
        <v>45181</v>
      </c>
      <c r="D1173" t="inlineStr">
        <is>
          <t>VÄSTERNORRLANDS LÄN</t>
        </is>
      </c>
      <c r="E1173" t="inlineStr">
        <is>
          <t>SUNDSVALL</t>
        </is>
      </c>
      <c r="F1173" t="inlineStr">
        <is>
          <t>SCA</t>
        </is>
      </c>
      <c r="G1173" t="n">
        <v>18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10555-2023</t>
        </is>
      </c>
      <c r="B1174" s="1" t="n">
        <v>44987</v>
      </c>
      <c r="C1174" s="1" t="n">
        <v>45181</v>
      </c>
      <c r="D1174" t="inlineStr">
        <is>
          <t>VÄSTERNORRLANDS LÄN</t>
        </is>
      </c>
      <c r="E1174" t="inlineStr">
        <is>
          <t>SUNDSVALL</t>
        </is>
      </c>
      <c r="F1174" t="inlineStr">
        <is>
          <t>SCA</t>
        </is>
      </c>
      <c r="G1174" t="n">
        <v>3.9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10539-2023</t>
        </is>
      </c>
      <c r="B1175" s="1" t="n">
        <v>44987</v>
      </c>
      <c r="C1175" s="1" t="n">
        <v>45181</v>
      </c>
      <c r="D1175" t="inlineStr">
        <is>
          <t>VÄSTERNORRLANDS LÄN</t>
        </is>
      </c>
      <c r="E1175" t="inlineStr">
        <is>
          <t>SUNDSVALL</t>
        </is>
      </c>
      <c r="G1175" t="n">
        <v>2.3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10775-2023</t>
        </is>
      </c>
      <c r="B1176" s="1" t="n">
        <v>44988</v>
      </c>
      <c r="C1176" s="1" t="n">
        <v>45181</v>
      </c>
      <c r="D1176" t="inlineStr">
        <is>
          <t>VÄSTERNORRLANDS LÄN</t>
        </is>
      </c>
      <c r="E1176" t="inlineStr">
        <is>
          <t>SUNDSVALL</t>
        </is>
      </c>
      <c r="F1176" t="inlineStr">
        <is>
          <t>SCA</t>
        </is>
      </c>
      <c r="G1176" t="n">
        <v>2.2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10786-2023</t>
        </is>
      </c>
      <c r="B1177" s="1" t="n">
        <v>44988</v>
      </c>
      <c r="C1177" s="1" t="n">
        <v>45181</v>
      </c>
      <c r="D1177" t="inlineStr">
        <is>
          <t>VÄSTERNORRLANDS LÄN</t>
        </is>
      </c>
      <c r="E1177" t="inlineStr">
        <is>
          <t>SUNDSVALL</t>
        </is>
      </c>
      <c r="F1177" t="inlineStr">
        <is>
          <t>SCA</t>
        </is>
      </c>
      <c r="G1177" t="n">
        <v>5.7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11295-2023</t>
        </is>
      </c>
      <c r="B1178" s="1" t="n">
        <v>44992</v>
      </c>
      <c r="C1178" s="1" t="n">
        <v>45181</v>
      </c>
      <c r="D1178" t="inlineStr">
        <is>
          <t>VÄSTERNORRLANDS LÄN</t>
        </is>
      </c>
      <c r="E1178" t="inlineStr">
        <is>
          <t>SUNDSVALL</t>
        </is>
      </c>
      <c r="G1178" t="n">
        <v>1.1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11296-2023</t>
        </is>
      </c>
      <c r="B1179" s="1" t="n">
        <v>44992</v>
      </c>
      <c r="C1179" s="1" t="n">
        <v>45181</v>
      </c>
      <c r="D1179" t="inlineStr">
        <is>
          <t>VÄSTERNORRLANDS LÄN</t>
        </is>
      </c>
      <c r="E1179" t="inlineStr">
        <is>
          <t>SUNDSVALL</t>
        </is>
      </c>
      <c r="G1179" t="n">
        <v>2.1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11772-2023</t>
        </is>
      </c>
      <c r="B1180" s="1" t="n">
        <v>44994</v>
      </c>
      <c r="C1180" s="1" t="n">
        <v>45181</v>
      </c>
      <c r="D1180" t="inlineStr">
        <is>
          <t>VÄSTERNORRLANDS LÄN</t>
        </is>
      </c>
      <c r="E1180" t="inlineStr">
        <is>
          <t>SUNDSVALL</t>
        </is>
      </c>
      <c r="G1180" t="n">
        <v>2.4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12037-2023</t>
        </is>
      </c>
      <c r="B1181" s="1" t="n">
        <v>44995</v>
      </c>
      <c r="C1181" s="1" t="n">
        <v>45181</v>
      </c>
      <c r="D1181" t="inlineStr">
        <is>
          <t>VÄSTERNORRLANDS LÄN</t>
        </is>
      </c>
      <c r="E1181" t="inlineStr">
        <is>
          <t>SUNDSVALL</t>
        </is>
      </c>
      <c r="F1181" t="inlineStr">
        <is>
          <t>SCA</t>
        </is>
      </c>
      <c r="G1181" t="n">
        <v>2.8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12333-2023</t>
        </is>
      </c>
      <c r="B1182" s="1" t="n">
        <v>44999</v>
      </c>
      <c r="C1182" s="1" t="n">
        <v>45181</v>
      </c>
      <c r="D1182" t="inlineStr">
        <is>
          <t>VÄSTERNORRLANDS LÄN</t>
        </is>
      </c>
      <c r="E1182" t="inlineStr">
        <is>
          <t>SUNDSVALL</t>
        </is>
      </c>
      <c r="G1182" t="n">
        <v>2.6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12309-2023</t>
        </is>
      </c>
      <c r="B1183" s="1" t="n">
        <v>44999</v>
      </c>
      <c r="C1183" s="1" t="n">
        <v>45181</v>
      </c>
      <c r="D1183" t="inlineStr">
        <is>
          <t>VÄSTERNORRLANDS LÄN</t>
        </is>
      </c>
      <c r="E1183" t="inlineStr">
        <is>
          <t>SUNDSVALL</t>
        </is>
      </c>
      <c r="F1183" t="inlineStr">
        <is>
          <t>Naturvårdsverket</t>
        </is>
      </c>
      <c r="G1183" t="n">
        <v>4.2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12525-2023</t>
        </is>
      </c>
      <c r="B1184" s="1" t="n">
        <v>45000</v>
      </c>
      <c r="C1184" s="1" t="n">
        <v>45181</v>
      </c>
      <c r="D1184" t="inlineStr">
        <is>
          <t>VÄSTERNORRLANDS LÄN</t>
        </is>
      </c>
      <c r="E1184" t="inlineStr">
        <is>
          <t>SUNDSVALL</t>
        </is>
      </c>
      <c r="F1184" t="inlineStr">
        <is>
          <t>SCA</t>
        </is>
      </c>
      <c r="G1184" t="n">
        <v>4.4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12538-2023</t>
        </is>
      </c>
      <c r="B1185" s="1" t="n">
        <v>45000</v>
      </c>
      <c r="C1185" s="1" t="n">
        <v>45181</v>
      </c>
      <c r="D1185" t="inlineStr">
        <is>
          <t>VÄSTERNORRLANDS LÄN</t>
        </is>
      </c>
      <c r="E1185" t="inlineStr">
        <is>
          <t>SUNDSVALL</t>
        </is>
      </c>
      <c r="F1185" t="inlineStr">
        <is>
          <t>SCA</t>
        </is>
      </c>
      <c r="G1185" t="n">
        <v>12.3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12529-2023</t>
        </is>
      </c>
      <c r="B1186" s="1" t="n">
        <v>45000</v>
      </c>
      <c r="C1186" s="1" t="n">
        <v>45181</v>
      </c>
      <c r="D1186" t="inlineStr">
        <is>
          <t>VÄSTERNORRLANDS LÄN</t>
        </is>
      </c>
      <c r="E1186" t="inlineStr">
        <is>
          <t>SUNDSVALL</t>
        </is>
      </c>
      <c r="F1186" t="inlineStr">
        <is>
          <t>SCA</t>
        </is>
      </c>
      <c r="G1186" t="n">
        <v>22.3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12542-2023</t>
        </is>
      </c>
      <c r="B1187" s="1" t="n">
        <v>45000</v>
      </c>
      <c r="C1187" s="1" t="n">
        <v>45181</v>
      </c>
      <c r="D1187" t="inlineStr">
        <is>
          <t>VÄSTERNORRLANDS LÄN</t>
        </is>
      </c>
      <c r="E1187" t="inlineStr">
        <is>
          <t>SUNDSVALL</t>
        </is>
      </c>
      <c r="F1187" t="inlineStr">
        <is>
          <t>SCA</t>
        </is>
      </c>
      <c r="G1187" t="n">
        <v>6.1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12531-2023</t>
        </is>
      </c>
      <c r="B1188" s="1" t="n">
        <v>45000</v>
      </c>
      <c r="C1188" s="1" t="n">
        <v>45181</v>
      </c>
      <c r="D1188" t="inlineStr">
        <is>
          <t>VÄSTERNORRLANDS LÄN</t>
        </is>
      </c>
      <c r="E1188" t="inlineStr">
        <is>
          <t>SUNDSVALL</t>
        </is>
      </c>
      <c r="F1188" t="inlineStr">
        <is>
          <t>SCA</t>
        </is>
      </c>
      <c r="G1188" t="n">
        <v>5.8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12990-2023</t>
        </is>
      </c>
      <c r="B1189" s="1" t="n">
        <v>45002</v>
      </c>
      <c r="C1189" s="1" t="n">
        <v>45181</v>
      </c>
      <c r="D1189" t="inlineStr">
        <is>
          <t>VÄSTERNORRLANDS LÄN</t>
        </is>
      </c>
      <c r="E1189" t="inlineStr">
        <is>
          <t>SUNDSVALL</t>
        </is>
      </c>
      <c r="F1189" t="inlineStr">
        <is>
          <t>SCA</t>
        </is>
      </c>
      <c r="G1189" t="n">
        <v>3.6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13260-2023</t>
        </is>
      </c>
      <c r="B1190" s="1" t="n">
        <v>45002</v>
      </c>
      <c r="C1190" s="1" t="n">
        <v>45181</v>
      </c>
      <c r="D1190" t="inlineStr">
        <is>
          <t>VÄSTERNORRLANDS LÄN</t>
        </is>
      </c>
      <c r="E1190" t="inlineStr">
        <is>
          <t>SUNDSVALL</t>
        </is>
      </c>
      <c r="F1190" t="inlineStr">
        <is>
          <t>Naturvårdsverket</t>
        </is>
      </c>
      <c r="G1190" t="n">
        <v>5.5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12991-2023</t>
        </is>
      </c>
      <c r="B1191" s="1" t="n">
        <v>45002</v>
      </c>
      <c r="C1191" s="1" t="n">
        <v>45181</v>
      </c>
      <c r="D1191" t="inlineStr">
        <is>
          <t>VÄSTERNORRLANDS LÄN</t>
        </is>
      </c>
      <c r="E1191" t="inlineStr">
        <is>
          <t>SUNDSVALL</t>
        </is>
      </c>
      <c r="F1191" t="inlineStr">
        <is>
          <t>SCA</t>
        </is>
      </c>
      <c r="G1191" t="n">
        <v>2.9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13080-2023</t>
        </is>
      </c>
      <c r="B1192" s="1" t="n">
        <v>45002</v>
      </c>
      <c r="C1192" s="1" t="n">
        <v>45181</v>
      </c>
      <c r="D1192" t="inlineStr">
        <is>
          <t>VÄSTERNORRLANDS LÄN</t>
        </is>
      </c>
      <c r="E1192" t="inlineStr">
        <is>
          <t>SUNDSVALL</t>
        </is>
      </c>
      <c r="G1192" t="n">
        <v>19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13261-2023</t>
        </is>
      </c>
      <c r="B1193" s="1" t="n">
        <v>45002</v>
      </c>
      <c r="C1193" s="1" t="n">
        <v>45181</v>
      </c>
      <c r="D1193" t="inlineStr">
        <is>
          <t>VÄSTERNORRLANDS LÄN</t>
        </is>
      </c>
      <c r="E1193" t="inlineStr">
        <is>
          <t>SUNDSVALL</t>
        </is>
      </c>
      <c r="F1193" t="inlineStr">
        <is>
          <t>Naturvårdsverket</t>
        </is>
      </c>
      <c r="G1193" t="n">
        <v>6.5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12988-2023</t>
        </is>
      </c>
      <c r="B1194" s="1" t="n">
        <v>45002</v>
      </c>
      <c r="C1194" s="1" t="n">
        <v>45181</v>
      </c>
      <c r="D1194" t="inlineStr">
        <is>
          <t>VÄSTERNORRLANDS LÄN</t>
        </is>
      </c>
      <c r="E1194" t="inlineStr">
        <is>
          <t>SUNDSVALL</t>
        </is>
      </c>
      <c r="F1194" t="inlineStr">
        <is>
          <t>SCA</t>
        </is>
      </c>
      <c r="G1194" t="n">
        <v>6.4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13262-2023</t>
        </is>
      </c>
      <c r="B1195" s="1" t="n">
        <v>45002</v>
      </c>
      <c r="C1195" s="1" t="n">
        <v>45181</v>
      </c>
      <c r="D1195" t="inlineStr">
        <is>
          <t>VÄSTERNORRLANDS LÄN</t>
        </is>
      </c>
      <c r="E1195" t="inlineStr">
        <is>
          <t>SUNDSVALL</t>
        </is>
      </c>
      <c r="F1195" t="inlineStr">
        <is>
          <t>Naturvårdsverket</t>
        </is>
      </c>
      <c r="G1195" t="n">
        <v>8.6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12989-2023</t>
        </is>
      </c>
      <c r="B1196" s="1" t="n">
        <v>45002</v>
      </c>
      <c r="C1196" s="1" t="n">
        <v>45181</v>
      </c>
      <c r="D1196" t="inlineStr">
        <is>
          <t>VÄSTERNORRLANDS LÄN</t>
        </is>
      </c>
      <c r="E1196" t="inlineStr">
        <is>
          <t>SUNDSVALL</t>
        </is>
      </c>
      <c r="F1196" t="inlineStr">
        <is>
          <t>SCA</t>
        </is>
      </c>
      <c r="G1196" t="n">
        <v>5.7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13083-2023</t>
        </is>
      </c>
      <c r="B1197" s="1" t="n">
        <v>45002</v>
      </c>
      <c r="C1197" s="1" t="n">
        <v>45181</v>
      </c>
      <c r="D1197" t="inlineStr">
        <is>
          <t>VÄSTERNORRLANDS LÄN</t>
        </is>
      </c>
      <c r="E1197" t="inlineStr">
        <is>
          <t>SUNDSVALL</t>
        </is>
      </c>
      <c r="G1197" t="n">
        <v>3.3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13493-2023</t>
        </is>
      </c>
      <c r="B1198" s="1" t="n">
        <v>45005</v>
      </c>
      <c r="C1198" s="1" t="n">
        <v>45181</v>
      </c>
      <c r="D1198" t="inlineStr">
        <is>
          <t>VÄSTERNORRLANDS LÄN</t>
        </is>
      </c>
      <c r="E1198" t="inlineStr">
        <is>
          <t>SUNDSVALL</t>
        </is>
      </c>
      <c r="F1198" t="inlineStr">
        <is>
          <t>SCA</t>
        </is>
      </c>
      <c r="G1198" t="n">
        <v>2.4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13314-2023</t>
        </is>
      </c>
      <c r="B1199" s="1" t="n">
        <v>45005</v>
      </c>
      <c r="C1199" s="1" t="n">
        <v>45181</v>
      </c>
      <c r="D1199" t="inlineStr">
        <is>
          <t>VÄSTERNORRLANDS LÄN</t>
        </is>
      </c>
      <c r="E1199" t="inlineStr">
        <is>
          <t>SUNDSVALL</t>
        </is>
      </c>
      <c r="G1199" t="n">
        <v>2.9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13488-2023</t>
        </is>
      </c>
      <c r="B1200" s="1" t="n">
        <v>45005</v>
      </c>
      <c r="C1200" s="1" t="n">
        <v>45181</v>
      </c>
      <c r="D1200" t="inlineStr">
        <is>
          <t>VÄSTERNORRLANDS LÄN</t>
        </is>
      </c>
      <c r="E1200" t="inlineStr">
        <is>
          <t>SUNDSVALL</t>
        </is>
      </c>
      <c r="F1200" t="inlineStr">
        <is>
          <t>SCA</t>
        </is>
      </c>
      <c r="G1200" t="n">
        <v>3.8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13694-2023</t>
        </is>
      </c>
      <c r="B1201" s="1" t="n">
        <v>45006</v>
      </c>
      <c r="C1201" s="1" t="n">
        <v>45181</v>
      </c>
      <c r="D1201" t="inlineStr">
        <is>
          <t>VÄSTERNORRLANDS LÄN</t>
        </is>
      </c>
      <c r="E1201" t="inlineStr">
        <is>
          <t>SUNDSVALL</t>
        </is>
      </c>
      <c r="G1201" t="n">
        <v>3.5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13702-2023</t>
        </is>
      </c>
      <c r="B1202" s="1" t="n">
        <v>45006</v>
      </c>
      <c r="C1202" s="1" t="n">
        <v>45181</v>
      </c>
      <c r="D1202" t="inlineStr">
        <is>
          <t>VÄSTERNORRLANDS LÄN</t>
        </is>
      </c>
      <c r="E1202" t="inlineStr">
        <is>
          <t>SUNDSVALL</t>
        </is>
      </c>
      <c r="F1202" t="inlineStr">
        <is>
          <t>SCA</t>
        </is>
      </c>
      <c r="G1202" t="n">
        <v>30.9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13506-2023</t>
        </is>
      </c>
      <c r="B1203" s="1" t="n">
        <v>45006</v>
      </c>
      <c r="C1203" s="1" t="n">
        <v>45181</v>
      </c>
      <c r="D1203" t="inlineStr">
        <is>
          <t>VÄSTERNORRLANDS LÄN</t>
        </is>
      </c>
      <c r="E1203" t="inlineStr">
        <is>
          <t>SUNDSVALL</t>
        </is>
      </c>
      <c r="G1203" t="n">
        <v>3.6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13691-2023</t>
        </is>
      </c>
      <c r="B1204" s="1" t="n">
        <v>45006</v>
      </c>
      <c r="C1204" s="1" t="n">
        <v>45181</v>
      </c>
      <c r="D1204" t="inlineStr">
        <is>
          <t>VÄSTERNORRLANDS LÄN</t>
        </is>
      </c>
      <c r="E1204" t="inlineStr">
        <is>
          <t>SUNDSVALL</t>
        </is>
      </c>
      <c r="G1204" t="n">
        <v>9.5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13680-2023</t>
        </is>
      </c>
      <c r="B1205" s="1" t="n">
        <v>45006</v>
      </c>
      <c r="C1205" s="1" t="n">
        <v>45181</v>
      </c>
      <c r="D1205" t="inlineStr">
        <is>
          <t>VÄSTERNORRLANDS LÄN</t>
        </is>
      </c>
      <c r="E1205" t="inlineStr">
        <is>
          <t>SUNDSVALL</t>
        </is>
      </c>
      <c r="G1205" t="n">
        <v>10.3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13693-2023</t>
        </is>
      </c>
      <c r="B1206" s="1" t="n">
        <v>45006</v>
      </c>
      <c r="C1206" s="1" t="n">
        <v>45181</v>
      </c>
      <c r="D1206" t="inlineStr">
        <is>
          <t>VÄSTERNORRLANDS LÄN</t>
        </is>
      </c>
      <c r="E1206" t="inlineStr">
        <is>
          <t>SUNDSVALL</t>
        </is>
      </c>
      <c r="G1206" t="n">
        <v>7.6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13701-2023</t>
        </is>
      </c>
      <c r="B1207" s="1" t="n">
        <v>45006</v>
      </c>
      <c r="C1207" s="1" t="n">
        <v>45181</v>
      </c>
      <c r="D1207" t="inlineStr">
        <is>
          <t>VÄSTERNORRLANDS LÄN</t>
        </is>
      </c>
      <c r="E1207" t="inlineStr">
        <is>
          <t>SUNDSVALL</t>
        </is>
      </c>
      <c r="F1207" t="inlineStr">
        <is>
          <t>SCA</t>
        </is>
      </c>
      <c r="G1207" t="n">
        <v>11.6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14077-2023</t>
        </is>
      </c>
      <c r="B1208" s="1" t="n">
        <v>45009</v>
      </c>
      <c r="C1208" s="1" t="n">
        <v>45181</v>
      </c>
      <c r="D1208" t="inlineStr">
        <is>
          <t>VÄSTERNORRLANDS LÄN</t>
        </is>
      </c>
      <c r="E1208" t="inlineStr">
        <is>
          <t>SUNDSVALL</t>
        </is>
      </c>
      <c r="F1208" t="inlineStr">
        <is>
          <t>SCA</t>
        </is>
      </c>
      <c r="G1208" t="n">
        <v>8.699999999999999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14265-2023</t>
        </is>
      </c>
      <c r="B1209" s="1" t="n">
        <v>45009</v>
      </c>
      <c r="C1209" s="1" t="n">
        <v>45181</v>
      </c>
      <c r="D1209" t="inlineStr">
        <is>
          <t>VÄSTERNORRLANDS LÄN</t>
        </is>
      </c>
      <c r="E1209" t="inlineStr">
        <is>
          <t>SUNDSVALL</t>
        </is>
      </c>
      <c r="F1209" t="inlineStr">
        <is>
          <t>SCA</t>
        </is>
      </c>
      <c r="G1209" t="n">
        <v>8.199999999999999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14529-2023</t>
        </is>
      </c>
      <c r="B1210" s="1" t="n">
        <v>45012</v>
      </c>
      <c r="C1210" s="1" t="n">
        <v>45181</v>
      </c>
      <c r="D1210" t="inlineStr">
        <is>
          <t>VÄSTERNORRLANDS LÄN</t>
        </is>
      </c>
      <c r="E1210" t="inlineStr">
        <is>
          <t>SUNDSVALL</t>
        </is>
      </c>
      <c r="F1210" t="inlineStr">
        <is>
          <t>SCA</t>
        </is>
      </c>
      <c r="G1210" t="n">
        <v>1.5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14677-2023</t>
        </is>
      </c>
      <c r="B1211" s="1" t="n">
        <v>45013</v>
      </c>
      <c r="C1211" s="1" t="n">
        <v>45181</v>
      </c>
      <c r="D1211" t="inlineStr">
        <is>
          <t>VÄSTERNORRLANDS LÄN</t>
        </is>
      </c>
      <c r="E1211" t="inlineStr">
        <is>
          <t>SUNDSVALL</t>
        </is>
      </c>
      <c r="F1211" t="inlineStr">
        <is>
          <t>SCA</t>
        </is>
      </c>
      <c r="G1211" t="n">
        <v>13.7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14662-2023</t>
        </is>
      </c>
      <c r="B1212" s="1" t="n">
        <v>45013</v>
      </c>
      <c r="C1212" s="1" t="n">
        <v>45181</v>
      </c>
      <c r="D1212" t="inlineStr">
        <is>
          <t>VÄSTERNORRLANDS LÄN</t>
        </is>
      </c>
      <c r="E1212" t="inlineStr">
        <is>
          <t>SUNDSVALL</t>
        </is>
      </c>
      <c r="G1212" t="n">
        <v>1.3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14887-2023</t>
        </is>
      </c>
      <c r="B1213" s="1" t="n">
        <v>45015</v>
      </c>
      <c r="C1213" s="1" t="n">
        <v>45181</v>
      </c>
      <c r="D1213" t="inlineStr">
        <is>
          <t>VÄSTERNORRLANDS LÄN</t>
        </is>
      </c>
      <c r="E1213" t="inlineStr">
        <is>
          <t>SUNDSVALL</t>
        </is>
      </c>
      <c r="F1213" t="inlineStr">
        <is>
          <t>SCA</t>
        </is>
      </c>
      <c r="G1213" t="n">
        <v>5.9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15266-2023</t>
        </is>
      </c>
      <c r="B1214" s="1" t="n">
        <v>45016</v>
      </c>
      <c r="C1214" s="1" t="n">
        <v>45181</v>
      </c>
      <c r="D1214" t="inlineStr">
        <is>
          <t>VÄSTERNORRLANDS LÄN</t>
        </is>
      </c>
      <c r="E1214" t="inlineStr">
        <is>
          <t>SUNDSVALL</t>
        </is>
      </c>
      <c r="G1214" t="n">
        <v>4.5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15620-2023</t>
        </is>
      </c>
      <c r="B1215" s="1" t="n">
        <v>45020</v>
      </c>
      <c r="C1215" s="1" t="n">
        <v>45181</v>
      </c>
      <c r="D1215" t="inlineStr">
        <is>
          <t>VÄSTERNORRLANDS LÄN</t>
        </is>
      </c>
      <c r="E1215" t="inlineStr">
        <is>
          <t>SUNDSVALL</t>
        </is>
      </c>
      <c r="G1215" t="n">
        <v>2.1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15979-2023</t>
        </is>
      </c>
      <c r="B1216" s="1" t="n">
        <v>45022</v>
      </c>
      <c r="C1216" s="1" t="n">
        <v>45181</v>
      </c>
      <c r="D1216" t="inlineStr">
        <is>
          <t>VÄSTERNORRLANDS LÄN</t>
        </is>
      </c>
      <c r="E1216" t="inlineStr">
        <is>
          <t>SUNDSVALL</t>
        </is>
      </c>
      <c r="F1216" t="inlineStr">
        <is>
          <t>SCA</t>
        </is>
      </c>
      <c r="G1216" t="n">
        <v>12.2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16569-2023</t>
        </is>
      </c>
      <c r="B1217" s="1" t="n">
        <v>45029</v>
      </c>
      <c r="C1217" s="1" t="n">
        <v>45181</v>
      </c>
      <c r="D1217" t="inlineStr">
        <is>
          <t>VÄSTERNORRLANDS LÄN</t>
        </is>
      </c>
      <c r="E1217" t="inlineStr">
        <is>
          <t>SUNDSVALL</t>
        </is>
      </c>
      <c r="F1217" t="inlineStr">
        <is>
          <t>SCA</t>
        </is>
      </c>
      <c r="G1217" t="n">
        <v>1.2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16559-2023</t>
        </is>
      </c>
      <c r="B1218" s="1" t="n">
        <v>45029</v>
      </c>
      <c r="C1218" s="1" t="n">
        <v>45181</v>
      </c>
      <c r="D1218" t="inlineStr">
        <is>
          <t>VÄSTERNORRLANDS LÄN</t>
        </is>
      </c>
      <c r="E1218" t="inlineStr">
        <is>
          <t>SUNDSVALL</t>
        </is>
      </c>
      <c r="G1218" t="n">
        <v>0.8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16558-2023</t>
        </is>
      </c>
      <c r="B1219" s="1" t="n">
        <v>45029</v>
      </c>
      <c r="C1219" s="1" t="n">
        <v>45181</v>
      </c>
      <c r="D1219" t="inlineStr">
        <is>
          <t>VÄSTERNORRLANDS LÄN</t>
        </is>
      </c>
      <c r="E1219" t="inlineStr">
        <is>
          <t>SUNDSVALL</t>
        </is>
      </c>
      <c r="G1219" t="n">
        <v>1.9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16563-2023</t>
        </is>
      </c>
      <c r="B1220" s="1" t="n">
        <v>45029</v>
      </c>
      <c r="C1220" s="1" t="n">
        <v>45181</v>
      </c>
      <c r="D1220" t="inlineStr">
        <is>
          <t>VÄSTERNORRLANDS LÄN</t>
        </is>
      </c>
      <c r="E1220" t="inlineStr">
        <is>
          <t>SUNDSVALL</t>
        </is>
      </c>
      <c r="F1220" t="inlineStr">
        <is>
          <t>SCA</t>
        </is>
      </c>
      <c r="G1220" t="n">
        <v>2.8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16578-2023</t>
        </is>
      </c>
      <c r="B1221" s="1" t="n">
        <v>45029</v>
      </c>
      <c r="C1221" s="1" t="n">
        <v>45181</v>
      </c>
      <c r="D1221" t="inlineStr">
        <is>
          <t>VÄSTERNORRLANDS LÄN</t>
        </is>
      </c>
      <c r="E1221" t="inlineStr">
        <is>
          <t>SUNDSVALL</t>
        </is>
      </c>
      <c r="F1221" t="inlineStr">
        <is>
          <t>SCA</t>
        </is>
      </c>
      <c r="G1221" t="n">
        <v>3.5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16765-2023</t>
        </is>
      </c>
      <c r="B1222" s="1" t="n">
        <v>45030</v>
      </c>
      <c r="C1222" s="1" t="n">
        <v>45181</v>
      </c>
      <c r="D1222" t="inlineStr">
        <is>
          <t>VÄSTERNORRLANDS LÄN</t>
        </is>
      </c>
      <c r="E1222" t="inlineStr">
        <is>
          <t>SUNDSVALL</t>
        </is>
      </c>
      <c r="F1222" t="inlineStr">
        <is>
          <t>Naturvårdsverket</t>
        </is>
      </c>
      <c r="G1222" t="n">
        <v>3.9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16768-2023</t>
        </is>
      </c>
      <c r="B1223" s="1" t="n">
        <v>45030</v>
      </c>
      <c r="C1223" s="1" t="n">
        <v>45181</v>
      </c>
      <c r="D1223" t="inlineStr">
        <is>
          <t>VÄSTERNORRLANDS LÄN</t>
        </is>
      </c>
      <c r="E1223" t="inlineStr">
        <is>
          <t>SUNDSVALL</t>
        </is>
      </c>
      <c r="F1223" t="inlineStr">
        <is>
          <t>SCA</t>
        </is>
      </c>
      <c r="G1223" t="n">
        <v>7.2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16766-2023</t>
        </is>
      </c>
      <c r="B1224" s="1" t="n">
        <v>45030</v>
      </c>
      <c r="C1224" s="1" t="n">
        <v>45181</v>
      </c>
      <c r="D1224" t="inlineStr">
        <is>
          <t>VÄSTERNORRLANDS LÄN</t>
        </is>
      </c>
      <c r="E1224" t="inlineStr">
        <is>
          <t>SUNDSVALL</t>
        </is>
      </c>
      <c r="F1224" t="inlineStr">
        <is>
          <t>Naturvårdsverket</t>
        </is>
      </c>
      <c r="G1224" t="n">
        <v>1.2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17777-2023</t>
        </is>
      </c>
      <c r="B1225" s="1" t="n">
        <v>45036</v>
      </c>
      <c r="C1225" s="1" t="n">
        <v>45181</v>
      </c>
      <c r="D1225" t="inlineStr">
        <is>
          <t>VÄSTERNORRLANDS LÄN</t>
        </is>
      </c>
      <c r="E1225" t="inlineStr">
        <is>
          <t>SUNDSVALL</t>
        </is>
      </c>
      <c r="G1225" t="n">
        <v>4.4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17786-2023</t>
        </is>
      </c>
      <c r="B1226" s="1" t="n">
        <v>45036</v>
      </c>
      <c r="C1226" s="1" t="n">
        <v>45181</v>
      </c>
      <c r="D1226" t="inlineStr">
        <is>
          <t>VÄSTERNORRLANDS LÄN</t>
        </is>
      </c>
      <c r="E1226" t="inlineStr">
        <is>
          <t>SUNDSVALL</t>
        </is>
      </c>
      <c r="G1226" t="n">
        <v>2.2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17821-2023</t>
        </is>
      </c>
      <c r="B1227" s="1" t="n">
        <v>45037</v>
      </c>
      <c r="C1227" s="1" t="n">
        <v>45181</v>
      </c>
      <c r="D1227" t="inlineStr">
        <is>
          <t>VÄSTERNORRLANDS LÄN</t>
        </is>
      </c>
      <c r="E1227" t="inlineStr">
        <is>
          <t>SUNDSVALL</t>
        </is>
      </c>
      <c r="G1227" t="n">
        <v>0.9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18144-2023</t>
        </is>
      </c>
      <c r="B1228" s="1" t="n">
        <v>45040</v>
      </c>
      <c r="C1228" s="1" t="n">
        <v>45181</v>
      </c>
      <c r="D1228" t="inlineStr">
        <is>
          <t>VÄSTERNORRLANDS LÄN</t>
        </is>
      </c>
      <c r="E1228" t="inlineStr">
        <is>
          <t>SUNDSVALL</t>
        </is>
      </c>
      <c r="G1228" t="n">
        <v>0.7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18153-2023</t>
        </is>
      </c>
      <c r="B1229" s="1" t="n">
        <v>45040</v>
      </c>
      <c r="C1229" s="1" t="n">
        <v>45181</v>
      </c>
      <c r="D1229" t="inlineStr">
        <is>
          <t>VÄSTERNORRLANDS LÄN</t>
        </is>
      </c>
      <c r="E1229" t="inlineStr">
        <is>
          <t>SUNDSVALL</t>
        </is>
      </c>
      <c r="F1229" t="inlineStr">
        <is>
          <t>SCA</t>
        </is>
      </c>
      <c r="G1229" t="n">
        <v>1.8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18347-2023</t>
        </is>
      </c>
      <c r="B1230" s="1" t="n">
        <v>45040</v>
      </c>
      <c r="C1230" s="1" t="n">
        <v>45181</v>
      </c>
      <c r="D1230" t="inlineStr">
        <is>
          <t>VÄSTERNORRLANDS LÄN</t>
        </is>
      </c>
      <c r="E1230" t="inlineStr">
        <is>
          <t>SUNDSVALL</t>
        </is>
      </c>
      <c r="G1230" t="n">
        <v>16.7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18162-2023</t>
        </is>
      </c>
      <c r="B1231" s="1" t="n">
        <v>45040</v>
      </c>
      <c r="C1231" s="1" t="n">
        <v>45181</v>
      </c>
      <c r="D1231" t="inlineStr">
        <is>
          <t>VÄSTERNORRLANDS LÄN</t>
        </is>
      </c>
      <c r="E1231" t="inlineStr">
        <is>
          <t>SUNDSVALL</t>
        </is>
      </c>
      <c r="F1231" t="inlineStr">
        <is>
          <t>SCA</t>
        </is>
      </c>
      <c r="G1231" t="n">
        <v>6.8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18286-2023</t>
        </is>
      </c>
      <c r="B1232" s="1" t="n">
        <v>45040</v>
      </c>
      <c r="C1232" s="1" t="n">
        <v>45181</v>
      </c>
      <c r="D1232" t="inlineStr">
        <is>
          <t>VÄSTERNORRLANDS LÄN</t>
        </is>
      </c>
      <c r="E1232" t="inlineStr">
        <is>
          <t>SUNDSVALL</t>
        </is>
      </c>
      <c r="G1232" t="n">
        <v>4.9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18352-2023</t>
        </is>
      </c>
      <c r="B1233" s="1" t="n">
        <v>45040</v>
      </c>
      <c r="C1233" s="1" t="n">
        <v>45181</v>
      </c>
      <c r="D1233" t="inlineStr">
        <is>
          <t>VÄSTERNORRLANDS LÄN</t>
        </is>
      </c>
      <c r="E1233" t="inlineStr">
        <is>
          <t>SUNDSVALL</t>
        </is>
      </c>
      <c r="G1233" t="n">
        <v>2.5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18372-2023</t>
        </is>
      </c>
      <c r="B1234" s="1" t="n">
        <v>45041</v>
      </c>
      <c r="C1234" s="1" t="n">
        <v>45181</v>
      </c>
      <c r="D1234" t="inlineStr">
        <is>
          <t>VÄSTERNORRLANDS LÄN</t>
        </is>
      </c>
      <c r="E1234" t="inlineStr">
        <is>
          <t>SUNDSVALL</t>
        </is>
      </c>
      <c r="F1234" t="inlineStr">
        <is>
          <t>SCA</t>
        </is>
      </c>
      <c r="G1234" t="n">
        <v>6.4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18371-2023</t>
        </is>
      </c>
      <c r="B1235" s="1" t="n">
        <v>45041</v>
      </c>
      <c r="C1235" s="1" t="n">
        <v>45181</v>
      </c>
      <c r="D1235" t="inlineStr">
        <is>
          <t>VÄSTERNORRLANDS LÄN</t>
        </is>
      </c>
      <c r="E1235" t="inlineStr">
        <is>
          <t>SUNDSVALL</t>
        </is>
      </c>
      <c r="F1235" t="inlineStr">
        <is>
          <t>SCA</t>
        </is>
      </c>
      <c r="G1235" t="n">
        <v>1.9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18367-2023</t>
        </is>
      </c>
      <c r="B1236" s="1" t="n">
        <v>45041</v>
      </c>
      <c r="C1236" s="1" t="n">
        <v>45181</v>
      </c>
      <c r="D1236" t="inlineStr">
        <is>
          <t>VÄSTERNORRLANDS LÄN</t>
        </is>
      </c>
      <c r="E1236" t="inlineStr">
        <is>
          <t>SUNDSVALL</t>
        </is>
      </c>
      <c r="F1236" t="inlineStr">
        <is>
          <t>SCA</t>
        </is>
      </c>
      <c r="G1236" t="n">
        <v>7.4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18561-2023</t>
        </is>
      </c>
      <c r="B1237" s="1" t="n">
        <v>45042</v>
      </c>
      <c r="C1237" s="1" t="n">
        <v>45181</v>
      </c>
      <c r="D1237" t="inlineStr">
        <is>
          <t>VÄSTERNORRLANDS LÄN</t>
        </is>
      </c>
      <c r="E1237" t="inlineStr">
        <is>
          <t>SUNDSVALL</t>
        </is>
      </c>
      <c r="G1237" t="n">
        <v>1.5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18700-2023</t>
        </is>
      </c>
      <c r="B1238" s="1" t="n">
        <v>45042</v>
      </c>
      <c r="C1238" s="1" t="n">
        <v>45181</v>
      </c>
      <c r="D1238" t="inlineStr">
        <is>
          <t>VÄSTERNORRLANDS LÄN</t>
        </is>
      </c>
      <c r="E1238" t="inlineStr">
        <is>
          <t>SUNDSVALL</t>
        </is>
      </c>
      <c r="G1238" t="n">
        <v>0.6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18829-2023</t>
        </is>
      </c>
      <c r="B1239" s="1" t="n">
        <v>45042</v>
      </c>
      <c r="C1239" s="1" t="n">
        <v>45181</v>
      </c>
      <c r="D1239" t="inlineStr">
        <is>
          <t>VÄSTERNORRLANDS LÄN</t>
        </is>
      </c>
      <c r="E1239" t="inlineStr">
        <is>
          <t>SUNDSVALL</t>
        </is>
      </c>
      <c r="G1239" t="n">
        <v>9.9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18563-2023</t>
        </is>
      </c>
      <c r="B1240" s="1" t="n">
        <v>45042</v>
      </c>
      <c r="C1240" s="1" t="n">
        <v>45181</v>
      </c>
      <c r="D1240" t="inlineStr">
        <is>
          <t>VÄSTERNORRLANDS LÄN</t>
        </is>
      </c>
      <c r="E1240" t="inlineStr">
        <is>
          <t>SUNDSVALL</t>
        </is>
      </c>
      <c r="G1240" t="n">
        <v>1.5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18695-2023</t>
        </is>
      </c>
      <c r="B1241" s="1" t="n">
        <v>45042</v>
      </c>
      <c r="C1241" s="1" t="n">
        <v>45181</v>
      </c>
      <c r="D1241" t="inlineStr">
        <is>
          <t>VÄSTERNORRLANDS LÄN</t>
        </is>
      </c>
      <c r="E1241" t="inlineStr">
        <is>
          <t>SUNDSVALL</t>
        </is>
      </c>
      <c r="G1241" t="n">
        <v>2.8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18562-2023</t>
        </is>
      </c>
      <c r="B1242" s="1" t="n">
        <v>45042</v>
      </c>
      <c r="C1242" s="1" t="n">
        <v>45181</v>
      </c>
      <c r="D1242" t="inlineStr">
        <is>
          <t>VÄSTERNORRLANDS LÄN</t>
        </is>
      </c>
      <c r="E1242" t="inlineStr">
        <is>
          <t>SUNDSVALL</t>
        </is>
      </c>
      <c r="G1242" t="n">
        <v>3.5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18919-2023</t>
        </is>
      </c>
      <c r="B1243" s="1" t="n">
        <v>45043</v>
      </c>
      <c r="C1243" s="1" t="n">
        <v>45181</v>
      </c>
      <c r="D1243" t="inlineStr">
        <is>
          <t>VÄSTERNORRLANDS LÄN</t>
        </is>
      </c>
      <c r="E1243" t="inlineStr">
        <is>
          <t>SUNDSVALL</t>
        </is>
      </c>
      <c r="G1243" t="n">
        <v>2.1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18787-2023</t>
        </is>
      </c>
      <c r="B1244" s="1" t="n">
        <v>45043</v>
      </c>
      <c r="C1244" s="1" t="n">
        <v>45181</v>
      </c>
      <c r="D1244" t="inlineStr">
        <is>
          <t>VÄSTERNORRLANDS LÄN</t>
        </is>
      </c>
      <c r="E1244" t="inlineStr">
        <is>
          <t>SUNDSVALL</t>
        </is>
      </c>
      <c r="F1244" t="inlineStr">
        <is>
          <t>SCA</t>
        </is>
      </c>
      <c r="G1244" t="n">
        <v>1.6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19228-2023</t>
        </is>
      </c>
      <c r="B1245" s="1" t="n">
        <v>45048</v>
      </c>
      <c r="C1245" s="1" t="n">
        <v>45181</v>
      </c>
      <c r="D1245" t="inlineStr">
        <is>
          <t>VÄSTERNORRLANDS LÄN</t>
        </is>
      </c>
      <c r="E1245" t="inlineStr">
        <is>
          <t>SUNDSVALL</t>
        </is>
      </c>
      <c r="G1245" t="n">
        <v>1.8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19234-2023</t>
        </is>
      </c>
      <c r="B1246" s="1" t="n">
        <v>45048</v>
      </c>
      <c r="C1246" s="1" t="n">
        <v>45181</v>
      </c>
      <c r="D1246" t="inlineStr">
        <is>
          <t>VÄSTERNORRLANDS LÄN</t>
        </is>
      </c>
      <c r="E1246" t="inlineStr">
        <is>
          <t>SUNDSVALL</t>
        </is>
      </c>
      <c r="G1246" t="n">
        <v>2.3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19236-2023</t>
        </is>
      </c>
      <c r="B1247" s="1" t="n">
        <v>45048</v>
      </c>
      <c r="C1247" s="1" t="n">
        <v>45181</v>
      </c>
      <c r="D1247" t="inlineStr">
        <is>
          <t>VÄSTERNORRLANDS LÄN</t>
        </is>
      </c>
      <c r="E1247" t="inlineStr">
        <is>
          <t>SUNDSVALL</t>
        </is>
      </c>
      <c r="G1247" t="n">
        <v>3.4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19654-2023</t>
        </is>
      </c>
      <c r="B1248" s="1" t="n">
        <v>45050</v>
      </c>
      <c r="C1248" s="1" t="n">
        <v>45181</v>
      </c>
      <c r="D1248" t="inlineStr">
        <is>
          <t>VÄSTERNORRLANDS LÄN</t>
        </is>
      </c>
      <c r="E1248" t="inlineStr">
        <is>
          <t>SUNDSVALL</t>
        </is>
      </c>
      <c r="G1248" t="n">
        <v>0.6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19815-2023</t>
        </is>
      </c>
      <c r="B1249" s="1" t="n">
        <v>45051</v>
      </c>
      <c r="C1249" s="1" t="n">
        <v>45181</v>
      </c>
      <c r="D1249" t="inlineStr">
        <is>
          <t>VÄSTERNORRLANDS LÄN</t>
        </is>
      </c>
      <c r="E1249" t="inlineStr">
        <is>
          <t>SUNDSVALL</t>
        </is>
      </c>
      <c r="F1249" t="inlineStr">
        <is>
          <t>SCA</t>
        </is>
      </c>
      <c r="G1249" t="n">
        <v>3.4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20057-2023</t>
        </is>
      </c>
      <c r="B1250" s="1" t="n">
        <v>45051</v>
      </c>
      <c r="C1250" s="1" t="n">
        <v>45181</v>
      </c>
      <c r="D1250" t="inlineStr">
        <is>
          <t>VÄSTERNORRLANDS LÄN</t>
        </is>
      </c>
      <c r="E1250" t="inlineStr">
        <is>
          <t>SUNDSVALL</t>
        </is>
      </c>
      <c r="G1250" t="n">
        <v>0.7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19896-2023</t>
        </is>
      </c>
      <c r="B1251" s="1" t="n">
        <v>45054</v>
      </c>
      <c r="C1251" s="1" t="n">
        <v>45181</v>
      </c>
      <c r="D1251" t="inlineStr">
        <is>
          <t>VÄSTERNORRLANDS LÄN</t>
        </is>
      </c>
      <c r="E1251" t="inlineStr">
        <is>
          <t>SUNDSVALL</t>
        </is>
      </c>
      <c r="G1251" t="n">
        <v>4.6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19904-2023</t>
        </is>
      </c>
      <c r="B1252" s="1" t="n">
        <v>45054</v>
      </c>
      <c r="C1252" s="1" t="n">
        <v>45181</v>
      </c>
      <c r="D1252" t="inlineStr">
        <is>
          <t>VÄSTERNORRLANDS LÄN</t>
        </is>
      </c>
      <c r="E1252" t="inlineStr">
        <is>
          <t>SUNDSVALL</t>
        </is>
      </c>
      <c r="G1252" t="n">
        <v>6.7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20288-2023</t>
        </is>
      </c>
      <c r="B1253" s="1" t="n">
        <v>45054</v>
      </c>
      <c r="C1253" s="1" t="n">
        <v>45181</v>
      </c>
      <c r="D1253" t="inlineStr">
        <is>
          <t>VÄSTERNORRLANDS LÄN</t>
        </is>
      </c>
      <c r="E1253" t="inlineStr">
        <is>
          <t>SUNDSVALL</t>
        </is>
      </c>
      <c r="G1253" t="n">
        <v>2.6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20369-2023</t>
        </is>
      </c>
      <c r="B1254" s="1" t="n">
        <v>45054</v>
      </c>
      <c r="C1254" s="1" t="n">
        <v>45181</v>
      </c>
      <c r="D1254" t="inlineStr">
        <is>
          <t>VÄSTERNORRLANDS LÄN</t>
        </is>
      </c>
      <c r="E1254" t="inlineStr">
        <is>
          <t>SUNDSVALL</t>
        </is>
      </c>
      <c r="G1254" t="n">
        <v>3.2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19902-2023</t>
        </is>
      </c>
      <c r="B1255" s="1" t="n">
        <v>45054</v>
      </c>
      <c r="C1255" s="1" t="n">
        <v>45181</v>
      </c>
      <c r="D1255" t="inlineStr">
        <is>
          <t>VÄSTERNORRLANDS LÄN</t>
        </is>
      </c>
      <c r="E1255" t="inlineStr">
        <is>
          <t>SUNDSVALL</t>
        </is>
      </c>
      <c r="G1255" t="n">
        <v>2.1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20364-2023</t>
        </is>
      </c>
      <c r="B1256" s="1" t="n">
        <v>45054</v>
      </c>
      <c r="C1256" s="1" t="n">
        <v>45181</v>
      </c>
      <c r="D1256" t="inlineStr">
        <is>
          <t>VÄSTERNORRLANDS LÄN</t>
        </is>
      </c>
      <c r="E1256" t="inlineStr">
        <is>
          <t>SUNDSVALL</t>
        </is>
      </c>
      <c r="G1256" t="n">
        <v>0.9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19900-2023</t>
        </is>
      </c>
      <c r="B1257" s="1" t="n">
        <v>45054</v>
      </c>
      <c r="C1257" s="1" t="n">
        <v>45181</v>
      </c>
      <c r="D1257" t="inlineStr">
        <is>
          <t>VÄSTERNORRLANDS LÄN</t>
        </is>
      </c>
      <c r="E1257" t="inlineStr">
        <is>
          <t>SUNDSVALL</t>
        </is>
      </c>
      <c r="G1257" t="n">
        <v>4.1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20098-2023</t>
        </is>
      </c>
      <c r="B1258" s="1" t="n">
        <v>45054</v>
      </c>
      <c r="C1258" s="1" t="n">
        <v>45181</v>
      </c>
      <c r="D1258" t="inlineStr">
        <is>
          <t>VÄSTERNORRLANDS LÄN</t>
        </is>
      </c>
      <c r="E1258" t="inlineStr">
        <is>
          <t>SUNDSVALL</t>
        </is>
      </c>
      <c r="F1258" t="inlineStr">
        <is>
          <t>SCA</t>
        </is>
      </c>
      <c r="G1258" t="n">
        <v>2.2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20264-2023</t>
        </is>
      </c>
      <c r="B1259" s="1" t="n">
        <v>45055</v>
      </c>
      <c r="C1259" s="1" t="n">
        <v>45181</v>
      </c>
      <c r="D1259" t="inlineStr">
        <is>
          <t>VÄSTERNORRLANDS LÄN</t>
        </is>
      </c>
      <c r="E1259" t="inlineStr">
        <is>
          <t>SUNDSVALL</t>
        </is>
      </c>
      <c r="G1259" t="n">
        <v>5.2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20452-2023</t>
        </is>
      </c>
      <c r="B1260" s="1" t="n">
        <v>45056</v>
      </c>
      <c r="C1260" s="1" t="n">
        <v>45181</v>
      </c>
      <c r="D1260" t="inlineStr">
        <is>
          <t>VÄSTERNORRLANDS LÄN</t>
        </is>
      </c>
      <c r="E1260" t="inlineStr">
        <is>
          <t>SUNDSVALL</t>
        </is>
      </c>
      <c r="G1260" t="n">
        <v>1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21144-2023</t>
        </is>
      </c>
      <c r="B1261" s="1" t="n">
        <v>45057</v>
      </c>
      <c r="C1261" s="1" t="n">
        <v>45181</v>
      </c>
      <c r="D1261" t="inlineStr">
        <is>
          <t>VÄSTERNORRLANDS LÄN</t>
        </is>
      </c>
      <c r="E1261" t="inlineStr">
        <is>
          <t>SUNDSVALL</t>
        </is>
      </c>
      <c r="G1261" t="n">
        <v>0.9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20889-2023</t>
        </is>
      </c>
      <c r="B1262" s="1" t="n">
        <v>45058</v>
      </c>
      <c r="C1262" s="1" t="n">
        <v>45181</v>
      </c>
      <c r="D1262" t="inlineStr">
        <is>
          <t>VÄSTERNORRLANDS LÄN</t>
        </is>
      </c>
      <c r="E1262" t="inlineStr">
        <is>
          <t>SUNDSVALL</t>
        </is>
      </c>
      <c r="F1262" t="inlineStr">
        <is>
          <t>SCA</t>
        </is>
      </c>
      <c r="G1262" t="n">
        <v>1.3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20959-2023</t>
        </is>
      </c>
      <c r="B1263" s="1" t="n">
        <v>45061</v>
      </c>
      <c r="C1263" s="1" t="n">
        <v>45181</v>
      </c>
      <c r="D1263" t="inlineStr">
        <is>
          <t>VÄSTERNORRLANDS LÄN</t>
        </is>
      </c>
      <c r="E1263" t="inlineStr">
        <is>
          <t>SUNDSVALL</t>
        </is>
      </c>
      <c r="G1263" t="n">
        <v>1.4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21010-2023</t>
        </is>
      </c>
      <c r="B1264" s="1" t="n">
        <v>45061</v>
      </c>
      <c r="C1264" s="1" t="n">
        <v>45181</v>
      </c>
      <c r="D1264" t="inlineStr">
        <is>
          <t>VÄSTERNORRLANDS LÄN</t>
        </is>
      </c>
      <c r="E1264" t="inlineStr">
        <is>
          <t>SUNDSVALL</t>
        </is>
      </c>
      <c r="G1264" t="n">
        <v>4.9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21106-2023</t>
        </is>
      </c>
      <c r="B1265" s="1" t="n">
        <v>45061</v>
      </c>
      <c r="C1265" s="1" t="n">
        <v>45181</v>
      </c>
      <c r="D1265" t="inlineStr">
        <is>
          <t>VÄSTERNORRLANDS LÄN</t>
        </is>
      </c>
      <c r="E1265" t="inlineStr">
        <is>
          <t>SUNDSVALL</t>
        </is>
      </c>
      <c r="F1265" t="inlineStr">
        <is>
          <t>SCA</t>
        </is>
      </c>
      <c r="G1265" t="n">
        <v>2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21582-2023</t>
        </is>
      </c>
      <c r="B1266" s="1" t="n">
        <v>45062</v>
      </c>
      <c r="C1266" s="1" t="n">
        <v>45181</v>
      </c>
      <c r="D1266" t="inlineStr">
        <is>
          <t>VÄSTERNORRLANDS LÄN</t>
        </is>
      </c>
      <c r="E1266" t="inlineStr">
        <is>
          <t>SUNDSVALL</t>
        </is>
      </c>
      <c r="G1266" t="n">
        <v>1.8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21600-2023</t>
        </is>
      </c>
      <c r="B1267" s="1" t="n">
        <v>45062</v>
      </c>
      <c r="C1267" s="1" t="n">
        <v>45181</v>
      </c>
      <c r="D1267" t="inlineStr">
        <is>
          <t>VÄSTERNORRLANDS LÄN</t>
        </is>
      </c>
      <c r="E1267" t="inlineStr">
        <is>
          <t>SUNDSVALL</t>
        </is>
      </c>
      <c r="G1267" t="n">
        <v>3.4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21637-2023</t>
        </is>
      </c>
      <c r="B1268" s="1" t="n">
        <v>45063</v>
      </c>
      <c r="C1268" s="1" t="n">
        <v>45181</v>
      </c>
      <c r="D1268" t="inlineStr">
        <is>
          <t>VÄSTERNORRLANDS LÄN</t>
        </is>
      </c>
      <c r="E1268" t="inlineStr">
        <is>
          <t>SUNDSVALL</t>
        </is>
      </c>
      <c r="G1268" t="n">
        <v>3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21641-2023</t>
        </is>
      </c>
      <c r="B1269" s="1" t="n">
        <v>45063</v>
      </c>
      <c r="C1269" s="1" t="n">
        <v>45181</v>
      </c>
      <c r="D1269" t="inlineStr">
        <is>
          <t>VÄSTERNORRLANDS LÄN</t>
        </is>
      </c>
      <c r="E1269" t="inlineStr">
        <is>
          <t>SUNDSVALL</t>
        </is>
      </c>
      <c r="G1269" t="n">
        <v>1.7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21377-2023</t>
        </is>
      </c>
      <c r="B1270" s="1" t="n">
        <v>45063</v>
      </c>
      <c r="C1270" s="1" t="n">
        <v>45181</v>
      </c>
      <c r="D1270" t="inlineStr">
        <is>
          <t>VÄSTERNORRLANDS LÄN</t>
        </is>
      </c>
      <c r="E1270" t="inlineStr">
        <is>
          <t>SUNDSVALL</t>
        </is>
      </c>
      <c r="G1270" t="n">
        <v>0.4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21630-2023</t>
        </is>
      </c>
      <c r="B1271" s="1" t="n">
        <v>45063</v>
      </c>
      <c r="C1271" s="1" t="n">
        <v>45181</v>
      </c>
      <c r="D1271" t="inlineStr">
        <is>
          <t>VÄSTERNORRLANDS LÄN</t>
        </is>
      </c>
      <c r="E1271" t="inlineStr">
        <is>
          <t>SUNDSVALL</t>
        </is>
      </c>
      <c r="G1271" t="n">
        <v>9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21689-2023</t>
        </is>
      </c>
      <c r="B1272" s="1" t="n">
        <v>45063</v>
      </c>
      <c r="C1272" s="1" t="n">
        <v>45181</v>
      </c>
      <c r="D1272" t="inlineStr">
        <is>
          <t>VÄSTERNORRLANDS LÄN</t>
        </is>
      </c>
      <c r="E1272" t="inlineStr">
        <is>
          <t>SUNDSVALL</t>
        </is>
      </c>
      <c r="F1272" t="inlineStr">
        <is>
          <t>Naturvårdsverket</t>
        </is>
      </c>
      <c r="G1272" t="n">
        <v>7.2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21382-2023</t>
        </is>
      </c>
      <c r="B1273" s="1" t="n">
        <v>45063</v>
      </c>
      <c r="C1273" s="1" t="n">
        <v>45181</v>
      </c>
      <c r="D1273" t="inlineStr">
        <is>
          <t>VÄSTERNORRLANDS LÄN</t>
        </is>
      </c>
      <c r="E1273" t="inlineStr">
        <is>
          <t>SUNDSVALL</t>
        </is>
      </c>
      <c r="G1273" t="n">
        <v>0.2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21639-2023</t>
        </is>
      </c>
      <c r="B1274" s="1" t="n">
        <v>45063</v>
      </c>
      <c r="C1274" s="1" t="n">
        <v>45181</v>
      </c>
      <c r="D1274" t="inlineStr">
        <is>
          <t>VÄSTERNORRLANDS LÄN</t>
        </is>
      </c>
      <c r="E1274" t="inlineStr">
        <is>
          <t>SUNDSVALL</t>
        </is>
      </c>
      <c r="G1274" t="n">
        <v>0.4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21997-2023</t>
        </is>
      </c>
      <c r="B1275" s="1" t="n">
        <v>45068</v>
      </c>
      <c r="C1275" s="1" t="n">
        <v>45181</v>
      </c>
      <c r="D1275" t="inlineStr">
        <is>
          <t>VÄSTERNORRLANDS LÄN</t>
        </is>
      </c>
      <c r="E1275" t="inlineStr">
        <is>
          <t>SUNDSVALL</t>
        </is>
      </c>
      <c r="G1275" t="n">
        <v>4.1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22139-2023</t>
        </is>
      </c>
      <c r="B1276" s="1" t="n">
        <v>45068</v>
      </c>
      <c r="C1276" s="1" t="n">
        <v>45181</v>
      </c>
      <c r="D1276" t="inlineStr">
        <is>
          <t>VÄSTERNORRLANDS LÄN</t>
        </is>
      </c>
      <c r="E1276" t="inlineStr">
        <is>
          <t>SUNDSVALL</t>
        </is>
      </c>
      <c r="G1276" t="n">
        <v>0.8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21998-2023</t>
        </is>
      </c>
      <c r="B1277" s="1" t="n">
        <v>45068</v>
      </c>
      <c r="C1277" s="1" t="n">
        <v>45181</v>
      </c>
      <c r="D1277" t="inlineStr">
        <is>
          <t>VÄSTERNORRLANDS LÄN</t>
        </is>
      </c>
      <c r="E1277" t="inlineStr">
        <is>
          <t>SUNDSVALL</t>
        </is>
      </c>
      <c r="G1277" t="n">
        <v>1.7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22067-2023</t>
        </is>
      </c>
      <c r="B1278" s="1" t="n">
        <v>45069</v>
      </c>
      <c r="C1278" s="1" t="n">
        <v>45181</v>
      </c>
      <c r="D1278" t="inlineStr">
        <is>
          <t>VÄSTERNORRLANDS LÄN</t>
        </is>
      </c>
      <c r="E1278" t="inlineStr">
        <is>
          <t>SUNDSVALL</t>
        </is>
      </c>
      <c r="G1278" t="n">
        <v>1.1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22258-2023</t>
        </is>
      </c>
      <c r="B1279" s="1" t="n">
        <v>45070</v>
      </c>
      <c r="C1279" s="1" t="n">
        <v>45181</v>
      </c>
      <c r="D1279" t="inlineStr">
        <is>
          <t>VÄSTERNORRLANDS LÄN</t>
        </is>
      </c>
      <c r="E1279" t="inlineStr">
        <is>
          <t>SUNDSVALL</t>
        </is>
      </c>
      <c r="G1279" t="n">
        <v>0.9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22473-2023</t>
        </is>
      </c>
      <c r="B1280" s="1" t="n">
        <v>45070</v>
      </c>
      <c r="C1280" s="1" t="n">
        <v>45181</v>
      </c>
      <c r="D1280" t="inlineStr">
        <is>
          <t>VÄSTERNORRLANDS LÄN</t>
        </is>
      </c>
      <c r="E1280" t="inlineStr">
        <is>
          <t>SUNDSVALL</t>
        </is>
      </c>
      <c r="F1280" t="inlineStr">
        <is>
          <t>SCA</t>
        </is>
      </c>
      <c r="G1280" t="n">
        <v>1.2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22474-2023</t>
        </is>
      </c>
      <c r="B1281" s="1" t="n">
        <v>45070</v>
      </c>
      <c r="C1281" s="1" t="n">
        <v>45181</v>
      </c>
      <c r="D1281" t="inlineStr">
        <is>
          <t>VÄSTERNORRLANDS LÄN</t>
        </is>
      </c>
      <c r="E1281" t="inlineStr">
        <is>
          <t>SUNDSVALL</t>
        </is>
      </c>
      <c r="F1281" t="inlineStr">
        <is>
          <t>SCA</t>
        </is>
      </c>
      <c r="G1281" t="n">
        <v>4.6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22642-2023</t>
        </is>
      </c>
      <c r="B1282" s="1" t="n">
        <v>45071</v>
      </c>
      <c r="C1282" s="1" t="n">
        <v>45181</v>
      </c>
      <c r="D1282" t="inlineStr">
        <is>
          <t>VÄSTERNORRLANDS LÄN</t>
        </is>
      </c>
      <c r="E1282" t="inlineStr">
        <is>
          <t>SUNDSVALL</t>
        </is>
      </c>
      <c r="F1282" t="inlineStr">
        <is>
          <t>Holmen skog AB</t>
        </is>
      </c>
      <c r="G1282" t="n">
        <v>8.300000000000001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22749-2023</t>
        </is>
      </c>
      <c r="B1283" s="1" t="n">
        <v>45071</v>
      </c>
      <c r="C1283" s="1" t="n">
        <v>45181</v>
      </c>
      <c r="D1283" t="inlineStr">
        <is>
          <t>VÄSTERNORRLANDS LÄN</t>
        </is>
      </c>
      <c r="E1283" t="inlineStr">
        <is>
          <t>SUNDSVALL</t>
        </is>
      </c>
      <c r="F1283" t="inlineStr">
        <is>
          <t>SCA</t>
        </is>
      </c>
      <c r="G1283" t="n">
        <v>3.9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22993-2023</t>
        </is>
      </c>
      <c r="B1284" s="1" t="n">
        <v>45072</v>
      </c>
      <c r="C1284" s="1" t="n">
        <v>45181</v>
      </c>
      <c r="D1284" t="inlineStr">
        <is>
          <t>VÄSTERNORRLANDS LÄN</t>
        </is>
      </c>
      <c r="E1284" t="inlineStr">
        <is>
          <t>SUNDSVALL</t>
        </is>
      </c>
      <c r="F1284" t="inlineStr">
        <is>
          <t>SCA</t>
        </is>
      </c>
      <c r="G1284" t="n">
        <v>3.6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23040-2023</t>
        </is>
      </c>
      <c r="B1285" s="1" t="n">
        <v>45074</v>
      </c>
      <c r="C1285" s="1" t="n">
        <v>45181</v>
      </c>
      <c r="D1285" t="inlineStr">
        <is>
          <t>VÄSTERNORRLANDS LÄN</t>
        </is>
      </c>
      <c r="E1285" t="inlineStr">
        <is>
          <t>SUNDSVALL</t>
        </is>
      </c>
      <c r="F1285" t="inlineStr">
        <is>
          <t>SCA</t>
        </is>
      </c>
      <c r="G1285" t="n">
        <v>7.4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23283-2023</t>
        </is>
      </c>
      <c r="B1286" s="1" t="n">
        <v>45075</v>
      </c>
      <c r="C1286" s="1" t="n">
        <v>45181</v>
      </c>
      <c r="D1286" t="inlineStr">
        <is>
          <t>VÄSTERNORRLANDS LÄN</t>
        </is>
      </c>
      <c r="E1286" t="inlineStr">
        <is>
          <t>SUNDSVALL</t>
        </is>
      </c>
      <c r="G1286" t="n">
        <v>7.1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23094-2023</t>
        </is>
      </c>
      <c r="B1287" s="1" t="n">
        <v>45075</v>
      </c>
      <c r="C1287" s="1" t="n">
        <v>45181</v>
      </c>
      <c r="D1287" t="inlineStr">
        <is>
          <t>VÄSTERNORRLANDS LÄN</t>
        </is>
      </c>
      <c r="E1287" t="inlineStr">
        <is>
          <t>SUNDSVALL</t>
        </is>
      </c>
      <c r="G1287" t="n">
        <v>7.7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23284-2023</t>
        </is>
      </c>
      <c r="B1288" s="1" t="n">
        <v>45075</v>
      </c>
      <c r="C1288" s="1" t="n">
        <v>45181</v>
      </c>
      <c r="D1288" t="inlineStr">
        <is>
          <t>VÄSTERNORRLANDS LÄN</t>
        </is>
      </c>
      <c r="E1288" t="inlineStr">
        <is>
          <t>SUNDSVALL</t>
        </is>
      </c>
      <c r="G1288" t="n">
        <v>1.1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23809-2023</t>
        </is>
      </c>
      <c r="B1289" s="1" t="n">
        <v>45075</v>
      </c>
      <c r="C1289" s="1" t="n">
        <v>45181</v>
      </c>
      <c r="D1289" t="inlineStr">
        <is>
          <t>VÄSTERNORRLANDS LÄN</t>
        </is>
      </c>
      <c r="E1289" t="inlineStr">
        <is>
          <t>SUNDSVALL</t>
        </is>
      </c>
      <c r="G1289" t="n">
        <v>2.8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23889-2023</t>
        </is>
      </c>
      <c r="B1290" s="1" t="n">
        <v>45075</v>
      </c>
      <c r="C1290" s="1" t="n">
        <v>45181</v>
      </c>
      <c r="D1290" t="inlineStr">
        <is>
          <t>VÄSTERNORRLANDS LÄN</t>
        </is>
      </c>
      <c r="E1290" t="inlineStr">
        <is>
          <t>SUNDSVALL</t>
        </is>
      </c>
      <c r="G1290" t="n">
        <v>5.8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23513-2023</t>
        </is>
      </c>
      <c r="B1291" s="1" t="n">
        <v>45076</v>
      </c>
      <c r="C1291" s="1" t="n">
        <v>45181</v>
      </c>
      <c r="D1291" t="inlineStr">
        <is>
          <t>VÄSTERNORRLANDS LÄN</t>
        </is>
      </c>
      <c r="E1291" t="inlineStr">
        <is>
          <t>SUNDSVALL</t>
        </is>
      </c>
      <c r="G1291" t="n">
        <v>3.7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24155-2023</t>
        </is>
      </c>
      <c r="B1292" s="1" t="n">
        <v>45076</v>
      </c>
      <c r="C1292" s="1" t="n">
        <v>45181</v>
      </c>
      <c r="D1292" t="inlineStr">
        <is>
          <t>VÄSTERNORRLANDS LÄN</t>
        </is>
      </c>
      <c r="E1292" t="inlineStr">
        <is>
          <t>SUNDSVALL</t>
        </is>
      </c>
      <c r="G1292" t="n">
        <v>0.6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24152-2023</t>
        </is>
      </c>
      <c r="B1293" s="1" t="n">
        <v>45076</v>
      </c>
      <c r="C1293" s="1" t="n">
        <v>45181</v>
      </c>
      <c r="D1293" t="inlineStr">
        <is>
          <t>VÄSTERNORRLANDS LÄN</t>
        </is>
      </c>
      <c r="E1293" t="inlineStr">
        <is>
          <t>SUNDSVALL</t>
        </is>
      </c>
      <c r="G1293" t="n">
        <v>1.4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23514-2023</t>
        </is>
      </c>
      <c r="B1294" s="1" t="n">
        <v>45076</v>
      </c>
      <c r="C1294" s="1" t="n">
        <v>45181</v>
      </c>
      <c r="D1294" t="inlineStr">
        <is>
          <t>VÄSTERNORRLANDS LÄN</t>
        </is>
      </c>
      <c r="E1294" t="inlineStr">
        <is>
          <t>SUNDSVALL</t>
        </is>
      </c>
      <c r="G1294" t="n">
        <v>1.1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23781-2023</t>
        </is>
      </c>
      <c r="B1295" s="1" t="n">
        <v>45077</v>
      </c>
      <c r="C1295" s="1" t="n">
        <v>45181</v>
      </c>
      <c r="D1295" t="inlineStr">
        <is>
          <t>VÄSTERNORRLANDS LÄN</t>
        </is>
      </c>
      <c r="E1295" t="inlineStr">
        <is>
          <t>SUNDSVALL</t>
        </is>
      </c>
      <c r="F1295" t="inlineStr">
        <is>
          <t>SCA</t>
        </is>
      </c>
      <c r="G1295" t="n">
        <v>2.9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24042-2023</t>
        </is>
      </c>
      <c r="B1296" s="1" t="n">
        <v>45078</v>
      </c>
      <c r="C1296" s="1" t="n">
        <v>45181</v>
      </c>
      <c r="D1296" t="inlineStr">
        <is>
          <t>VÄSTERNORRLANDS LÄN</t>
        </is>
      </c>
      <c r="E1296" t="inlineStr">
        <is>
          <t>SUNDSVALL</t>
        </is>
      </c>
      <c r="F1296" t="inlineStr">
        <is>
          <t>SCA</t>
        </is>
      </c>
      <c r="G1296" t="n">
        <v>2.4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24072-2023</t>
        </is>
      </c>
      <c r="B1297" s="1" t="n">
        <v>45078</v>
      </c>
      <c r="C1297" s="1" t="n">
        <v>45181</v>
      </c>
      <c r="D1297" t="inlineStr">
        <is>
          <t>VÄSTERNORRLANDS LÄN</t>
        </is>
      </c>
      <c r="E1297" t="inlineStr">
        <is>
          <t>SUNDSVALL</t>
        </is>
      </c>
      <c r="F1297" t="inlineStr">
        <is>
          <t>SCA</t>
        </is>
      </c>
      <c r="G1297" t="n">
        <v>9.199999999999999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24296-2023</t>
        </is>
      </c>
      <c r="B1298" s="1" t="n">
        <v>45079</v>
      </c>
      <c r="C1298" s="1" t="n">
        <v>45181</v>
      </c>
      <c r="D1298" t="inlineStr">
        <is>
          <t>VÄSTERNORRLANDS LÄN</t>
        </is>
      </c>
      <c r="E1298" t="inlineStr">
        <is>
          <t>SUNDSVALL</t>
        </is>
      </c>
      <c r="G1298" t="n">
        <v>6.8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24298-2023</t>
        </is>
      </c>
      <c r="B1299" s="1" t="n">
        <v>45079</v>
      </c>
      <c r="C1299" s="1" t="n">
        <v>45181</v>
      </c>
      <c r="D1299" t="inlineStr">
        <is>
          <t>VÄSTERNORRLANDS LÄN</t>
        </is>
      </c>
      <c r="E1299" t="inlineStr">
        <is>
          <t>SUNDSVALL</t>
        </is>
      </c>
      <c r="F1299" t="inlineStr">
        <is>
          <t>SCA</t>
        </is>
      </c>
      <c r="G1299" t="n">
        <v>2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25282-2023</t>
        </is>
      </c>
      <c r="B1300" s="1" t="n">
        <v>45082</v>
      </c>
      <c r="C1300" s="1" t="n">
        <v>45181</v>
      </c>
      <c r="D1300" t="inlineStr">
        <is>
          <t>VÄSTERNORRLANDS LÄN</t>
        </is>
      </c>
      <c r="E1300" t="inlineStr">
        <is>
          <t>SUNDSVALL</t>
        </is>
      </c>
      <c r="G1300" t="n">
        <v>2.2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24360-2023</t>
        </is>
      </c>
      <c r="B1301" s="1" t="n">
        <v>45082</v>
      </c>
      <c r="C1301" s="1" t="n">
        <v>45181</v>
      </c>
      <c r="D1301" t="inlineStr">
        <is>
          <t>VÄSTERNORRLANDS LÄN</t>
        </is>
      </c>
      <c r="E1301" t="inlineStr">
        <is>
          <t>SUNDSVALL</t>
        </is>
      </c>
      <c r="G1301" t="n">
        <v>1.3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24485-2023</t>
        </is>
      </c>
      <c r="B1302" s="1" t="n">
        <v>45082</v>
      </c>
      <c r="C1302" s="1" t="n">
        <v>45181</v>
      </c>
      <c r="D1302" t="inlineStr">
        <is>
          <t>VÄSTERNORRLANDS LÄN</t>
        </is>
      </c>
      <c r="E1302" t="inlineStr">
        <is>
          <t>SUNDSVALL</t>
        </is>
      </c>
      <c r="G1302" t="n">
        <v>4.2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25065-2023</t>
        </is>
      </c>
      <c r="B1303" s="1" t="n">
        <v>45085</v>
      </c>
      <c r="C1303" s="1" t="n">
        <v>45181</v>
      </c>
      <c r="D1303" t="inlineStr">
        <is>
          <t>VÄSTERNORRLANDS LÄN</t>
        </is>
      </c>
      <c r="E1303" t="inlineStr">
        <is>
          <t>SUNDSVALL</t>
        </is>
      </c>
      <c r="F1303" t="inlineStr">
        <is>
          <t>SCA</t>
        </is>
      </c>
      <c r="G1303" t="n">
        <v>3.7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25045-2023</t>
        </is>
      </c>
      <c r="B1304" s="1" t="n">
        <v>45085</v>
      </c>
      <c r="C1304" s="1" t="n">
        <v>45181</v>
      </c>
      <c r="D1304" t="inlineStr">
        <is>
          <t>VÄSTERNORRLANDS LÄN</t>
        </is>
      </c>
      <c r="E1304" t="inlineStr">
        <is>
          <t>SUNDSVALL</t>
        </is>
      </c>
      <c r="F1304" t="inlineStr">
        <is>
          <t>SCA</t>
        </is>
      </c>
      <c r="G1304" t="n">
        <v>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25048-2023</t>
        </is>
      </c>
      <c r="B1305" s="1" t="n">
        <v>45085</v>
      </c>
      <c r="C1305" s="1" t="n">
        <v>45181</v>
      </c>
      <c r="D1305" t="inlineStr">
        <is>
          <t>VÄSTERNORRLANDS LÄN</t>
        </is>
      </c>
      <c r="E1305" t="inlineStr">
        <is>
          <t>SUNDSVALL</t>
        </is>
      </c>
      <c r="F1305" t="inlineStr">
        <is>
          <t>SCA</t>
        </is>
      </c>
      <c r="G1305" t="n">
        <v>10.4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25064-2023</t>
        </is>
      </c>
      <c r="B1306" s="1" t="n">
        <v>45085</v>
      </c>
      <c r="C1306" s="1" t="n">
        <v>45181</v>
      </c>
      <c r="D1306" t="inlineStr">
        <is>
          <t>VÄSTERNORRLANDS LÄN</t>
        </is>
      </c>
      <c r="E1306" t="inlineStr">
        <is>
          <t>SUNDSVALL</t>
        </is>
      </c>
      <c r="F1306" t="inlineStr">
        <is>
          <t>SCA</t>
        </is>
      </c>
      <c r="G1306" t="n">
        <v>7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25046-2023</t>
        </is>
      </c>
      <c r="B1307" s="1" t="n">
        <v>45085</v>
      </c>
      <c r="C1307" s="1" t="n">
        <v>45181</v>
      </c>
      <c r="D1307" t="inlineStr">
        <is>
          <t>VÄSTERNORRLANDS LÄN</t>
        </is>
      </c>
      <c r="E1307" t="inlineStr">
        <is>
          <t>SUNDSVALL</t>
        </is>
      </c>
      <c r="F1307" t="inlineStr">
        <is>
          <t>SCA</t>
        </is>
      </c>
      <c r="G1307" t="n">
        <v>9.199999999999999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25316-2023</t>
        </is>
      </c>
      <c r="B1308" s="1" t="n">
        <v>45086</v>
      </c>
      <c r="C1308" s="1" t="n">
        <v>45181</v>
      </c>
      <c r="D1308" t="inlineStr">
        <is>
          <t>VÄSTERNORRLANDS LÄN</t>
        </is>
      </c>
      <c r="E1308" t="inlineStr">
        <is>
          <t>SUNDSVALL</t>
        </is>
      </c>
      <c r="F1308" t="inlineStr">
        <is>
          <t>SCA</t>
        </is>
      </c>
      <c r="G1308" t="n">
        <v>23.5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25372-2023</t>
        </is>
      </c>
      <c r="B1309" s="1" t="n">
        <v>45088</v>
      </c>
      <c r="C1309" s="1" t="n">
        <v>45181</v>
      </c>
      <c r="D1309" t="inlineStr">
        <is>
          <t>VÄSTERNORRLANDS LÄN</t>
        </is>
      </c>
      <c r="E1309" t="inlineStr">
        <is>
          <t>SUNDSVALL</t>
        </is>
      </c>
      <c r="F1309" t="inlineStr">
        <is>
          <t>SCA</t>
        </is>
      </c>
      <c r="G1309" t="n">
        <v>3.7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25370-2023</t>
        </is>
      </c>
      <c r="B1310" s="1" t="n">
        <v>45088</v>
      </c>
      <c r="C1310" s="1" t="n">
        <v>45181</v>
      </c>
      <c r="D1310" t="inlineStr">
        <is>
          <t>VÄSTERNORRLANDS LÄN</t>
        </is>
      </c>
      <c r="E1310" t="inlineStr">
        <is>
          <t>SUNDSVALL</t>
        </is>
      </c>
      <c r="F1310" t="inlineStr">
        <is>
          <t>SCA</t>
        </is>
      </c>
      <c r="G1310" t="n">
        <v>11.3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26475-2023</t>
        </is>
      </c>
      <c r="B1311" s="1" t="n">
        <v>45089</v>
      </c>
      <c r="C1311" s="1" t="n">
        <v>45181</v>
      </c>
      <c r="D1311" t="inlineStr">
        <is>
          <t>VÄSTERNORRLANDS LÄN</t>
        </is>
      </c>
      <c r="E1311" t="inlineStr">
        <is>
          <t>SUNDSVALL</t>
        </is>
      </c>
      <c r="G1311" t="n">
        <v>3.7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26468-2023</t>
        </is>
      </c>
      <c r="B1312" s="1" t="n">
        <v>45089</v>
      </c>
      <c r="C1312" s="1" t="n">
        <v>45181</v>
      </c>
      <c r="D1312" t="inlineStr">
        <is>
          <t>VÄSTERNORRLANDS LÄN</t>
        </is>
      </c>
      <c r="E1312" t="inlineStr">
        <is>
          <t>SUNDSVALL</t>
        </is>
      </c>
      <c r="G1312" t="n">
        <v>2.4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26001-2023</t>
        </is>
      </c>
      <c r="B1313" s="1" t="n">
        <v>45090</v>
      </c>
      <c r="C1313" s="1" t="n">
        <v>45181</v>
      </c>
      <c r="D1313" t="inlineStr">
        <is>
          <t>VÄSTERNORRLANDS LÄN</t>
        </is>
      </c>
      <c r="E1313" t="inlineStr">
        <is>
          <t>SUNDSVALL</t>
        </is>
      </c>
      <c r="F1313" t="inlineStr">
        <is>
          <t>SCA</t>
        </is>
      </c>
      <c r="G1313" t="n">
        <v>2.4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26071-2023</t>
        </is>
      </c>
      <c r="B1314" s="1" t="n">
        <v>45091</v>
      </c>
      <c r="C1314" s="1" t="n">
        <v>45181</v>
      </c>
      <c r="D1314" t="inlineStr">
        <is>
          <t>VÄSTERNORRLANDS LÄN</t>
        </is>
      </c>
      <c r="E1314" t="inlineStr">
        <is>
          <t>SUNDSVALL</t>
        </is>
      </c>
      <c r="G1314" t="n">
        <v>3.7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27759-2023</t>
        </is>
      </c>
      <c r="B1315" s="1" t="n">
        <v>45093</v>
      </c>
      <c r="C1315" s="1" t="n">
        <v>45181</v>
      </c>
      <c r="D1315" t="inlineStr">
        <is>
          <t>VÄSTERNORRLANDS LÄN</t>
        </is>
      </c>
      <c r="E1315" t="inlineStr">
        <is>
          <t>SUNDSVALL</t>
        </is>
      </c>
      <c r="G1315" t="n">
        <v>3.5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27470-2023</t>
        </is>
      </c>
      <c r="B1316" s="1" t="n">
        <v>45097</v>
      </c>
      <c r="C1316" s="1" t="n">
        <v>45181</v>
      </c>
      <c r="D1316" t="inlineStr">
        <is>
          <t>VÄSTERNORRLANDS LÄN</t>
        </is>
      </c>
      <c r="E1316" t="inlineStr">
        <is>
          <t>SUNDSVALL</t>
        </is>
      </c>
      <c r="G1316" t="n">
        <v>3.7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27639-2023</t>
        </is>
      </c>
      <c r="B1317" s="1" t="n">
        <v>45097</v>
      </c>
      <c r="C1317" s="1" t="n">
        <v>45181</v>
      </c>
      <c r="D1317" t="inlineStr">
        <is>
          <t>VÄSTERNORRLANDS LÄN</t>
        </is>
      </c>
      <c r="E1317" t="inlineStr">
        <is>
          <t>SUNDSVALL</t>
        </is>
      </c>
      <c r="G1317" t="n">
        <v>0.5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27677-2023</t>
        </is>
      </c>
      <c r="B1318" s="1" t="n">
        <v>45097</v>
      </c>
      <c r="C1318" s="1" t="n">
        <v>45181</v>
      </c>
      <c r="D1318" t="inlineStr">
        <is>
          <t>VÄSTERNORRLANDS LÄN</t>
        </is>
      </c>
      <c r="E1318" t="inlineStr">
        <is>
          <t>SUNDSVALL</t>
        </is>
      </c>
      <c r="G1318" t="n">
        <v>3.6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27687-2023</t>
        </is>
      </c>
      <c r="B1319" s="1" t="n">
        <v>45097</v>
      </c>
      <c r="C1319" s="1" t="n">
        <v>45181</v>
      </c>
      <c r="D1319" t="inlineStr">
        <is>
          <t>VÄSTERNORRLANDS LÄN</t>
        </is>
      </c>
      <c r="E1319" t="inlineStr">
        <is>
          <t>SUNDSVALL</t>
        </is>
      </c>
      <c r="F1319" t="inlineStr">
        <is>
          <t>SCA</t>
        </is>
      </c>
      <c r="G1319" t="n">
        <v>4.6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27640-2023</t>
        </is>
      </c>
      <c r="B1320" s="1" t="n">
        <v>45097</v>
      </c>
      <c r="C1320" s="1" t="n">
        <v>45181</v>
      </c>
      <c r="D1320" t="inlineStr">
        <is>
          <t>VÄSTERNORRLANDS LÄN</t>
        </is>
      </c>
      <c r="E1320" t="inlineStr">
        <is>
          <t>SUNDSVALL</t>
        </is>
      </c>
      <c r="G1320" t="n">
        <v>2.6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27673-2023</t>
        </is>
      </c>
      <c r="B1321" s="1" t="n">
        <v>45097</v>
      </c>
      <c r="C1321" s="1" t="n">
        <v>45181</v>
      </c>
      <c r="D1321" t="inlineStr">
        <is>
          <t>VÄSTERNORRLANDS LÄN</t>
        </is>
      </c>
      <c r="E1321" t="inlineStr">
        <is>
          <t>SUNDSVALL</t>
        </is>
      </c>
      <c r="G1321" t="n">
        <v>1.1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27684-2023</t>
        </is>
      </c>
      <c r="B1322" s="1" t="n">
        <v>45097</v>
      </c>
      <c r="C1322" s="1" t="n">
        <v>45181</v>
      </c>
      <c r="D1322" t="inlineStr">
        <is>
          <t>VÄSTERNORRLANDS LÄN</t>
        </is>
      </c>
      <c r="E1322" t="inlineStr">
        <is>
          <t>SUNDSVALL</t>
        </is>
      </c>
      <c r="F1322" t="inlineStr">
        <is>
          <t>SCA</t>
        </is>
      </c>
      <c r="G1322" t="n">
        <v>6.1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27566-2023</t>
        </is>
      </c>
      <c r="B1323" s="1" t="n">
        <v>45097</v>
      </c>
      <c r="C1323" s="1" t="n">
        <v>45181</v>
      </c>
      <c r="D1323" t="inlineStr">
        <is>
          <t>VÄSTERNORRLANDS LÄN</t>
        </is>
      </c>
      <c r="E1323" t="inlineStr">
        <is>
          <t>SUNDSVALL</t>
        </is>
      </c>
      <c r="G1323" t="n">
        <v>0.6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27571-2023</t>
        </is>
      </c>
      <c r="B1324" s="1" t="n">
        <v>45097</v>
      </c>
      <c r="C1324" s="1" t="n">
        <v>45181</v>
      </c>
      <c r="D1324" t="inlineStr">
        <is>
          <t>VÄSTERNORRLANDS LÄN</t>
        </is>
      </c>
      <c r="E1324" t="inlineStr">
        <is>
          <t>SUNDSVALL</t>
        </is>
      </c>
      <c r="F1324" t="inlineStr">
        <is>
          <t>Holmen skog AB</t>
        </is>
      </c>
      <c r="G1324" t="n">
        <v>9.5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27641-2023</t>
        </is>
      </c>
      <c r="B1325" s="1" t="n">
        <v>45097</v>
      </c>
      <c r="C1325" s="1" t="n">
        <v>45181</v>
      </c>
      <c r="D1325" t="inlineStr">
        <is>
          <t>VÄSTERNORRLANDS LÄN</t>
        </is>
      </c>
      <c r="E1325" t="inlineStr">
        <is>
          <t>SUNDSVALL</t>
        </is>
      </c>
      <c r="G1325" t="n">
        <v>1.6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27685-2023</t>
        </is>
      </c>
      <c r="B1326" s="1" t="n">
        <v>45097</v>
      </c>
      <c r="C1326" s="1" t="n">
        <v>45181</v>
      </c>
      <c r="D1326" t="inlineStr">
        <is>
          <t>VÄSTERNORRLANDS LÄN</t>
        </is>
      </c>
      <c r="E1326" t="inlineStr">
        <is>
          <t>SUNDSVALL</t>
        </is>
      </c>
      <c r="F1326" t="inlineStr">
        <is>
          <t>SCA</t>
        </is>
      </c>
      <c r="G1326" t="n">
        <v>5.8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30445-2023</t>
        </is>
      </c>
      <c r="B1327" s="1" t="n">
        <v>45099</v>
      </c>
      <c r="C1327" s="1" t="n">
        <v>45181</v>
      </c>
      <c r="D1327" t="inlineStr">
        <is>
          <t>VÄSTERNORRLANDS LÄN</t>
        </is>
      </c>
      <c r="E1327" t="inlineStr">
        <is>
          <t>SUNDSVALL</t>
        </is>
      </c>
      <c r="G1327" t="n">
        <v>4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28404-2023</t>
        </is>
      </c>
      <c r="B1328" s="1" t="n">
        <v>45100</v>
      </c>
      <c r="C1328" s="1" t="n">
        <v>45181</v>
      </c>
      <c r="D1328" t="inlineStr">
        <is>
          <t>VÄSTERNORRLANDS LÄN</t>
        </is>
      </c>
      <c r="E1328" t="inlineStr">
        <is>
          <t>SUNDSVALL</t>
        </is>
      </c>
      <c r="F1328" t="inlineStr">
        <is>
          <t>SCA</t>
        </is>
      </c>
      <c r="G1328" t="n">
        <v>6.9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28416-2023</t>
        </is>
      </c>
      <c r="B1329" s="1" t="n">
        <v>45101</v>
      </c>
      <c r="C1329" s="1" t="n">
        <v>45181</v>
      </c>
      <c r="D1329" t="inlineStr">
        <is>
          <t>VÄSTERNORRLANDS LÄN</t>
        </is>
      </c>
      <c r="E1329" t="inlineStr">
        <is>
          <t>SUNDSVALL</t>
        </is>
      </c>
      <c r="F1329" t="inlineStr">
        <is>
          <t>SCA</t>
        </is>
      </c>
      <c r="G1329" t="n">
        <v>12.6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28415-2023</t>
        </is>
      </c>
      <c r="B1330" s="1" t="n">
        <v>45101</v>
      </c>
      <c r="C1330" s="1" t="n">
        <v>45181</v>
      </c>
      <c r="D1330" t="inlineStr">
        <is>
          <t>VÄSTERNORRLANDS LÄN</t>
        </is>
      </c>
      <c r="E1330" t="inlineStr">
        <is>
          <t>SUNDSVALL</t>
        </is>
      </c>
      <c r="F1330" t="inlineStr">
        <is>
          <t>SCA</t>
        </is>
      </c>
      <c r="G1330" t="n">
        <v>1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28414-2023</t>
        </is>
      </c>
      <c r="B1331" s="1" t="n">
        <v>45101</v>
      </c>
      <c r="C1331" s="1" t="n">
        <v>45181</v>
      </c>
      <c r="D1331" t="inlineStr">
        <is>
          <t>VÄSTERNORRLANDS LÄN</t>
        </is>
      </c>
      <c r="E1331" t="inlineStr">
        <is>
          <t>SUNDSVALL</t>
        </is>
      </c>
      <c r="F1331" t="inlineStr">
        <is>
          <t>SCA</t>
        </is>
      </c>
      <c r="G1331" t="n">
        <v>3.5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31036-2023</t>
        </is>
      </c>
      <c r="B1332" s="1" t="n">
        <v>45103</v>
      </c>
      <c r="C1332" s="1" t="n">
        <v>45181</v>
      </c>
      <c r="D1332" t="inlineStr">
        <is>
          <t>VÄSTERNORRLANDS LÄN</t>
        </is>
      </c>
      <c r="E1332" t="inlineStr">
        <is>
          <t>SUNDSVALL</t>
        </is>
      </c>
      <c r="G1332" t="n">
        <v>10.1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  <c r="U1332">
        <f>HYPERLINK("https://klasma.github.io/Logging_SUNDSVALL/knärot/A 31036-2023.png")</f>
        <v/>
      </c>
      <c r="V1332">
        <f>HYPERLINK("https://klasma.github.io/Logging_SUNDSVALL/klagomål/A 31036-2023.docx")</f>
        <v/>
      </c>
      <c r="W1332">
        <f>HYPERLINK("https://klasma.github.io/Logging_SUNDSVALL/klagomålsmail/A 31036-2023.docx")</f>
        <v/>
      </c>
      <c r="X1332">
        <f>HYPERLINK("https://klasma.github.io/Logging_SUNDSVALL/tillsyn/A 31036-2023.docx")</f>
        <v/>
      </c>
      <c r="Y1332">
        <f>HYPERLINK("https://klasma.github.io/Logging_SUNDSVALL/tillsynsmail/A 31036-2023.docx")</f>
        <v/>
      </c>
    </row>
    <row r="1333" ht="15" customHeight="1">
      <c r="A1333" t="inlineStr">
        <is>
          <t>A 28669-2023</t>
        </is>
      </c>
      <c r="B1333" s="1" t="n">
        <v>45103</v>
      </c>
      <c r="C1333" s="1" t="n">
        <v>45181</v>
      </c>
      <c r="D1333" t="inlineStr">
        <is>
          <t>VÄSTERNORRLANDS LÄN</t>
        </is>
      </c>
      <c r="E1333" t="inlineStr">
        <is>
          <t>SUNDSVALL</t>
        </is>
      </c>
      <c r="G1333" t="n">
        <v>3.2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29035-2023</t>
        </is>
      </c>
      <c r="B1334" s="1" t="n">
        <v>45104</v>
      </c>
      <c r="C1334" s="1" t="n">
        <v>45181</v>
      </c>
      <c r="D1334" t="inlineStr">
        <is>
          <t>VÄSTERNORRLANDS LÄN</t>
        </is>
      </c>
      <c r="E1334" t="inlineStr">
        <is>
          <t>SUNDSVALL</t>
        </is>
      </c>
      <c r="G1334" t="n">
        <v>0.6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31414-2023</t>
        </is>
      </c>
      <c r="B1335" s="1" t="n">
        <v>45104</v>
      </c>
      <c r="C1335" s="1" t="n">
        <v>45181</v>
      </c>
      <c r="D1335" t="inlineStr">
        <is>
          <t>VÄSTERNORRLANDS LÄN</t>
        </is>
      </c>
      <c r="E1335" t="inlineStr">
        <is>
          <t>SUNDSVALL</t>
        </is>
      </c>
      <c r="G1335" t="n">
        <v>6.3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29340-2023</t>
        </is>
      </c>
      <c r="B1336" s="1" t="n">
        <v>45105</v>
      </c>
      <c r="C1336" s="1" t="n">
        <v>45181</v>
      </c>
      <c r="D1336" t="inlineStr">
        <is>
          <t>VÄSTERNORRLANDS LÄN</t>
        </is>
      </c>
      <c r="E1336" t="inlineStr">
        <is>
          <t>SUNDSVALL</t>
        </is>
      </c>
      <c r="F1336" t="inlineStr">
        <is>
          <t>SCA</t>
        </is>
      </c>
      <c r="G1336" t="n">
        <v>6.1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29432-2023</t>
        </is>
      </c>
      <c r="B1337" s="1" t="n">
        <v>45106</v>
      </c>
      <c r="C1337" s="1" t="n">
        <v>45181</v>
      </c>
      <c r="D1337" t="inlineStr">
        <is>
          <t>VÄSTERNORRLANDS LÄN</t>
        </is>
      </c>
      <c r="E1337" t="inlineStr">
        <is>
          <t>SUNDSVALL</t>
        </is>
      </c>
      <c r="G1337" t="n">
        <v>7.3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29597-2023</t>
        </is>
      </c>
      <c r="B1338" s="1" t="n">
        <v>45106</v>
      </c>
      <c r="C1338" s="1" t="n">
        <v>45181</v>
      </c>
      <c r="D1338" t="inlineStr">
        <is>
          <t>VÄSTERNORRLANDS LÄN</t>
        </is>
      </c>
      <c r="E1338" t="inlineStr">
        <is>
          <t>SUNDSVALL</t>
        </is>
      </c>
      <c r="G1338" t="n">
        <v>1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29598-2023</t>
        </is>
      </c>
      <c r="B1339" s="1" t="n">
        <v>45106</v>
      </c>
      <c r="C1339" s="1" t="n">
        <v>45181</v>
      </c>
      <c r="D1339" t="inlineStr">
        <is>
          <t>VÄSTERNORRLANDS LÄN</t>
        </is>
      </c>
      <c r="E1339" t="inlineStr">
        <is>
          <t>SUNDSVALL</t>
        </is>
      </c>
      <c r="G1339" t="n">
        <v>0.9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29689-2023</t>
        </is>
      </c>
      <c r="B1340" s="1" t="n">
        <v>45107</v>
      </c>
      <c r="C1340" s="1" t="n">
        <v>45181</v>
      </c>
      <c r="D1340" t="inlineStr">
        <is>
          <t>VÄSTERNORRLANDS LÄN</t>
        </is>
      </c>
      <c r="E1340" t="inlineStr">
        <is>
          <t>SUNDSVALL</t>
        </is>
      </c>
      <c r="G1340" t="n">
        <v>3.9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32128-2023</t>
        </is>
      </c>
      <c r="B1341" s="1" t="n">
        <v>45107</v>
      </c>
      <c r="C1341" s="1" t="n">
        <v>45181</v>
      </c>
      <c r="D1341" t="inlineStr">
        <is>
          <t>VÄSTERNORRLANDS LÄN</t>
        </is>
      </c>
      <c r="E1341" t="inlineStr">
        <is>
          <t>SUNDSVALL</t>
        </is>
      </c>
      <c r="G1341" t="n">
        <v>13.3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32122-2023</t>
        </is>
      </c>
      <c r="B1342" s="1" t="n">
        <v>45107</v>
      </c>
      <c r="C1342" s="1" t="n">
        <v>45181</v>
      </c>
      <c r="D1342" t="inlineStr">
        <is>
          <t>VÄSTERNORRLANDS LÄN</t>
        </is>
      </c>
      <c r="E1342" t="inlineStr">
        <is>
          <t>SUNDSVALL</t>
        </is>
      </c>
      <c r="G1342" t="n">
        <v>5.6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30287-2023</t>
        </is>
      </c>
      <c r="B1343" s="1" t="n">
        <v>45110</v>
      </c>
      <c r="C1343" s="1" t="n">
        <v>45181</v>
      </c>
      <c r="D1343" t="inlineStr">
        <is>
          <t>VÄSTERNORRLANDS LÄN</t>
        </is>
      </c>
      <c r="E1343" t="inlineStr">
        <is>
          <t>SUNDSVALL</t>
        </is>
      </c>
      <c r="G1343" t="n">
        <v>2.2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30557-2023</t>
        </is>
      </c>
      <c r="B1344" s="1" t="n">
        <v>45111</v>
      </c>
      <c r="C1344" s="1" t="n">
        <v>45181</v>
      </c>
      <c r="D1344" t="inlineStr">
        <is>
          <t>VÄSTERNORRLANDS LÄN</t>
        </is>
      </c>
      <c r="E1344" t="inlineStr">
        <is>
          <t>SUNDSVALL</t>
        </is>
      </c>
      <c r="G1344" t="n">
        <v>6.9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30569-2023</t>
        </is>
      </c>
      <c r="B1345" s="1" t="n">
        <v>45111</v>
      </c>
      <c r="C1345" s="1" t="n">
        <v>45181</v>
      </c>
      <c r="D1345" t="inlineStr">
        <is>
          <t>VÄSTERNORRLANDS LÄN</t>
        </is>
      </c>
      <c r="E1345" t="inlineStr">
        <is>
          <t>SUNDSVALL</t>
        </is>
      </c>
      <c r="F1345" t="inlineStr">
        <is>
          <t>SCA</t>
        </is>
      </c>
      <c r="G1345" t="n">
        <v>3.3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32571-2023</t>
        </is>
      </c>
      <c r="B1346" s="1" t="n">
        <v>45111</v>
      </c>
      <c r="C1346" s="1" t="n">
        <v>45181</v>
      </c>
      <c r="D1346" t="inlineStr">
        <is>
          <t>VÄSTERNORRLANDS LÄN</t>
        </is>
      </c>
      <c r="E1346" t="inlineStr">
        <is>
          <t>SUNDSVALL</t>
        </is>
      </c>
      <c r="G1346" t="n">
        <v>1.2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30559-2023</t>
        </is>
      </c>
      <c r="B1347" s="1" t="n">
        <v>45111</v>
      </c>
      <c r="C1347" s="1" t="n">
        <v>45181</v>
      </c>
      <c r="D1347" t="inlineStr">
        <is>
          <t>VÄSTERNORRLANDS LÄN</t>
        </is>
      </c>
      <c r="E1347" t="inlineStr">
        <is>
          <t>SUNDSVALL</t>
        </is>
      </c>
      <c r="G1347" t="n">
        <v>25.9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32562-2023</t>
        </is>
      </c>
      <c r="B1348" s="1" t="n">
        <v>45111</v>
      </c>
      <c r="C1348" s="1" t="n">
        <v>45181</v>
      </c>
      <c r="D1348" t="inlineStr">
        <is>
          <t>VÄSTERNORRLANDS LÄN</t>
        </is>
      </c>
      <c r="E1348" t="inlineStr">
        <is>
          <t>SUNDSVALL</t>
        </is>
      </c>
      <c r="G1348" t="n">
        <v>1.5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30537-2023</t>
        </is>
      </c>
      <c r="B1349" s="1" t="n">
        <v>45111</v>
      </c>
      <c r="C1349" s="1" t="n">
        <v>45181</v>
      </c>
      <c r="D1349" t="inlineStr">
        <is>
          <t>VÄSTERNORRLANDS LÄN</t>
        </is>
      </c>
      <c r="E1349" t="inlineStr">
        <is>
          <t>SUNDSVALL</t>
        </is>
      </c>
      <c r="G1349" t="n">
        <v>3.3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30544-2023</t>
        </is>
      </c>
      <c r="B1350" s="1" t="n">
        <v>45111</v>
      </c>
      <c r="C1350" s="1" t="n">
        <v>45181</v>
      </c>
      <c r="D1350" t="inlineStr">
        <is>
          <t>VÄSTERNORRLANDS LÄN</t>
        </is>
      </c>
      <c r="E1350" t="inlineStr">
        <is>
          <t>SUNDSVALL</t>
        </is>
      </c>
      <c r="G1350" t="n">
        <v>1.4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32582-2023</t>
        </is>
      </c>
      <c r="B1351" s="1" t="n">
        <v>45111</v>
      </c>
      <c r="C1351" s="1" t="n">
        <v>45181</v>
      </c>
      <c r="D1351" t="inlineStr">
        <is>
          <t>VÄSTERNORRLANDS LÄN</t>
        </is>
      </c>
      <c r="E1351" t="inlineStr">
        <is>
          <t>SUNDSVALL</t>
        </is>
      </c>
      <c r="G1351" t="n">
        <v>6.7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32970-2023</t>
        </is>
      </c>
      <c r="B1352" s="1" t="n">
        <v>45113</v>
      </c>
      <c r="C1352" s="1" t="n">
        <v>45181</v>
      </c>
      <c r="D1352" t="inlineStr">
        <is>
          <t>VÄSTERNORRLANDS LÄN</t>
        </is>
      </c>
      <c r="E1352" t="inlineStr">
        <is>
          <t>SUNDSVALL</t>
        </is>
      </c>
      <c r="G1352" t="n">
        <v>1.2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31202-2023</t>
        </is>
      </c>
      <c r="B1353" s="1" t="n">
        <v>45113</v>
      </c>
      <c r="C1353" s="1" t="n">
        <v>45181</v>
      </c>
      <c r="D1353" t="inlineStr">
        <is>
          <t>VÄSTERNORRLANDS LÄN</t>
        </is>
      </c>
      <c r="E1353" t="inlineStr">
        <is>
          <t>SUNDSVALL</t>
        </is>
      </c>
      <c r="F1353" t="inlineStr">
        <is>
          <t>SCA</t>
        </is>
      </c>
      <c r="G1353" t="n">
        <v>5.9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32953-2023</t>
        </is>
      </c>
      <c r="B1354" s="1" t="n">
        <v>45113</v>
      </c>
      <c r="C1354" s="1" t="n">
        <v>45181</v>
      </c>
      <c r="D1354" t="inlineStr">
        <is>
          <t>VÄSTERNORRLANDS LÄN</t>
        </is>
      </c>
      <c r="E1354" t="inlineStr">
        <is>
          <t>SUNDSVALL</t>
        </is>
      </c>
      <c r="G1354" t="n">
        <v>2.6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31493-2023</t>
        </is>
      </c>
      <c r="B1355" s="1" t="n">
        <v>45114</v>
      </c>
      <c r="C1355" s="1" t="n">
        <v>45181</v>
      </c>
      <c r="D1355" t="inlineStr">
        <is>
          <t>VÄSTERNORRLANDS LÄN</t>
        </is>
      </c>
      <c r="E1355" t="inlineStr">
        <is>
          <t>SUNDSVALL</t>
        </is>
      </c>
      <c r="F1355" t="inlineStr">
        <is>
          <t>SCA</t>
        </is>
      </c>
      <c r="G1355" t="n">
        <v>5.1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31739-2023</t>
        </is>
      </c>
      <c r="B1356" s="1" t="n">
        <v>45117</v>
      </c>
      <c r="C1356" s="1" t="n">
        <v>45181</v>
      </c>
      <c r="D1356" t="inlineStr">
        <is>
          <t>VÄSTERNORRLANDS LÄN</t>
        </is>
      </c>
      <c r="E1356" t="inlineStr">
        <is>
          <t>SUNDSVALL</t>
        </is>
      </c>
      <c r="F1356" t="inlineStr">
        <is>
          <t>SCA</t>
        </is>
      </c>
      <c r="G1356" t="n">
        <v>4.5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31928-2023</t>
        </is>
      </c>
      <c r="B1357" s="1" t="n">
        <v>45118</v>
      </c>
      <c r="C1357" s="1" t="n">
        <v>45181</v>
      </c>
      <c r="D1357" t="inlineStr">
        <is>
          <t>VÄSTERNORRLANDS LÄN</t>
        </is>
      </c>
      <c r="E1357" t="inlineStr">
        <is>
          <t>SUNDSVALL</t>
        </is>
      </c>
      <c r="F1357" t="inlineStr">
        <is>
          <t>SCA</t>
        </is>
      </c>
      <c r="G1357" t="n">
        <v>2.7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32201-2023</t>
        </is>
      </c>
      <c r="B1358" s="1" t="n">
        <v>45119</v>
      </c>
      <c r="C1358" s="1" t="n">
        <v>45181</v>
      </c>
      <c r="D1358" t="inlineStr">
        <is>
          <t>VÄSTERNORRLANDS LÄN</t>
        </is>
      </c>
      <c r="E1358" t="inlineStr">
        <is>
          <t>SUNDSVALL</t>
        </is>
      </c>
      <c r="G1358" t="n">
        <v>1.9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33041-2023</t>
        </is>
      </c>
      <c r="B1359" s="1" t="n">
        <v>45125</v>
      </c>
      <c r="C1359" s="1" t="n">
        <v>45181</v>
      </c>
      <c r="D1359" t="inlineStr">
        <is>
          <t>VÄSTERNORRLANDS LÄN</t>
        </is>
      </c>
      <c r="E1359" t="inlineStr">
        <is>
          <t>SUNDSVALL</t>
        </is>
      </c>
      <c r="F1359" t="inlineStr">
        <is>
          <t>SCA</t>
        </is>
      </c>
      <c r="G1359" t="n">
        <v>7.2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33044-2023</t>
        </is>
      </c>
      <c r="B1360" s="1" t="n">
        <v>45125</v>
      </c>
      <c r="C1360" s="1" t="n">
        <v>45181</v>
      </c>
      <c r="D1360" t="inlineStr">
        <is>
          <t>VÄSTERNORRLANDS LÄN</t>
        </is>
      </c>
      <c r="E1360" t="inlineStr">
        <is>
          <t>SUNDSVALL</t>
        </is>
      </c>
      <c r="F1360" t="inlineStr">
        <is>
          <t>SCA</t>
        </is>
      </c>
      <c r="G1360" t="n">
        <v>7.3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33431-2023</t>
        </is>
      </c>
      <c r="B1361" s="1" t="n">
        <v>45128</v>
      </c>
      <c r="C1361" s="1" t="n">
        <v>45181</v>
      </c>
      <c r="D1361" t="inlineStr">
        <is>
          <t>VÄSTERNORRLANDS LÄN</t>
        </is>
      </c>
      <c r="E1361" t="inlineStr">
        <is>
          <t>SUNDSVALL</t>
        </is>
      </c>
      <c r="F1361" t="inlineStr">
        <is>
          <t>SCA</t>
        </is>
      </c>
      <c r="G1361" t="n">
        <v>20.9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33444-2023</t>
        </is>
      </c>
      <c r="B1362" s="1" t="n">
        <v>45129</v>
      </c>
      <c r="C1362" s="1" t="n">
        <v>45181</v>
      </c>
      <c r="D1362" t="inlineStr">
        <is>
          <t>VÄSTERNORRLANDS LÄN</t>
        </is>
      </c>
      <c r="E1362" t="inlineStr">
        <is>
          <t>SUNDSVALL</t>
        </is>
      </c>
      <c r="F1362" t="inlineStr">
        <is>
          <t>SCA</t>
        </is>
      </c>
      <c r="G1362" t="n">
        <v>9.199999999999999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33714-2023</t>
        </is>
      </c>
      <c r="B1363" s="1" t="n">
        <v>45132</v>
      </c>
      <c r="C1363" s="1" t="n">
        <v>45181</v>
      </c>
      <c r="D1363" t="inlineStr">
        <is>
          <t>VÄSTERNORRLANDS LÄN</t>
        </is>
      </c>
      <c r="E1363" t="inlineStr">
        <is>
          <t>SUNDSVALL</t>
        </is>
      </c>
      <c r="F1363" t="inlineStr">
        <is>
          <t>SCA</t>
        </is>
      </c>
      <c r="G1363" t="n">
        <v>4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33876-2023</t>
        </is>
      </c>
      <c r="B1364" s="1" t="n">
        <v>45133</v>
      </c>
      <c r="C1364" s="1" t="n">
        <v>45181</v>
      </c>
      <c r="D1364" t="inlineStr">
        <is>
          <t>VÄSTERNORRLANDS LÄN</t>
        </is>
      </c>
      <c r="E1364" t="inlineStr">
        <is>
          <t>SUNDSVALL</t>
        </is>
      </c>
      <c r="F1364" t="inlineStr">
        <is>
          <t>SCA</t>
        </is>
      </c>
      <c r="G1364" t="n">
        <v>4.4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34135-2023</t>
        </is>
      </c>
      <c r="B1365" s="1" t="n">
        <v>45135</v>
      </c>
      <c r="C1365" s="1" t="n">
        <v>45181</v>
      </c>
      <c r="D1365" t="inlineStr">
        <is>
          <t>VÄSTERNORRLANDS LÄN</t>
        </is>
      </c>
      <c r="E1365" t="inlineStr">
        <is>
          <t>SUNDSVALL</t>
        </is>
      </c>
      <c r="F1365" t="inlineStr">
        <is>
          <t>SCA</t>
        </is>
      </c>
      <c r="G1365" t="n">
        <v>2.1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34192-2023</t>
        </is>
      </c>
      <c r="B1366" s="1" t="n">
        <v>45138</v>
      </c>
      <c r="C1366" s="1" t="n">
        <v>45181</v>
      </c>
      <c r="D1366" t="inlineStr">
        <is>
          <t>VÄSTERNORRLANDS LÄN</t>
        </is>
      </c>
      <c r="E1366" t="inlineStr">
        <is>
          <t>SUNDSVALL</t>
        </is>
      </c>
      <c r="G1366" t="n">
        <v>4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34326-2023</t>
        </is>
      </c>
      <c r="B1367" s="1" t="n">
        <v>45138</v>
      </c>
      <c r="C1367" s="1" t="n">
        <v>45181</v>
      </c>
      <c r="D1367" t="inlineStr">
        <is>
          <t>VÄSTERNORRLANDS LÄN</t>
        </is>
      </c>
      <c r="E1367" t="inlineStr">
        <is>
          <t>SUNDSVALL</t>
        </is>
      </c>
      <c r="F1367" t="inlineStr">
        <is>
          <t>SCA</t>
        </is>
      </c>
      <c r="G1367" t="n">
        <v>4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34428-2023</t>
        </is>
      </c>
      <c r="B1368" s="1" t="n">
        <v>45139</v>
      </c>
      <c r="C1368" s="1" t="n">
        <v>45181</v>
      </c>
      <c r="D1368" t="inlineStr">
        <is>
          <t>VÄSTERNORRLANDS LÄN</t>
        </is>
      </c>
      <c r="E1368" t="inlineStr">
        <is>
          <t>SUNDSVALL</t>
        </is>
      </c>
      <c r="F1368" t="inlineStr">
        <is>
          <t>Holmen skog AB</t>
        </is>
      </c>
      <c r="G1368" t="n">
        <v>18.5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34855-2023</t>
        </is>
      </c>
      <c r="B1369" s="1" t="n">
        <v>45141</v>
      </c>
      <c r="C1369" s="1" t="n">
        <v>45181</v>
      </c>
      <c r="D1369" t="inlineStr">
        <is>
          <t>VÄSTERNORRLANDS LÄN</t>
        </is>
      </c>
      <c r="E1369" t="inlineStr">
        <is>
          <t>SUNDSVALL</t>
        </is>
      </c>
      <c r="F1369" t="inlineStr">
        <is>
          <t>SCA</t>
        </is>
      </c>
      <c r="G1369" t="n">
        <v>7.5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35010-2023</t>
        </is>
      </c>
      <c r="B1370" s="1" t="n">
        <v>45142</v>
      </c>
      <c r="C1370" s="1" t="n">
        <v>45181</v>
      </c>
      <c r="D1370" t="inlineStr">
        <is>
          <t>VÄSTERNORRLANDS LÄN</t>
        </is>
      </c>
      <c r="E1370" t="inlineStr">
        <is>
          <t>SUNDSVALL</t>
        </is>
      </c>
      <c r="F1370" t="inlineStr">
        <is>
          <t>SCA</t>
        </is>
      </c>
      <c r="G1370" t="n">
        <v>1.6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35262-2023</t>
        </is>
      </c>
      <c r="B1371" s="1" t="n">
        <v>45145</v>
      </c>
      <c r="C1371" s="1" t="n">
        <v>45181</v>
      </c>
      <c r="D1371" t="inlineStr">
        <is>
          <t>VÄSTERNORRLANDS LÄN</t>
        </is>
      </c>
      <c r="E1371" t="inlineStr">
        <is>
          <t>SUNDSVALL</t>
        </is>
      </c>
      <c r="F1371" t="inlineStr">
        <is>
          <t>SCA</t>
        </is>
      </c>
      <c r="G1371" t="n">
        <v>5.2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35254-2023</t>
        </is>
      </c>
      <c r="B1372" s="1" t="n">
        <v>45145</v>
      </c>
      <c r="C1372" s="1" t="n">
        <v>45181</v>
      </c>
      <c r="D1372" t="inlineStr">
        <is>
          <t>VÄSTERNORRLANDS LÄN</t>
        </is>
      </c>
      <c r="E1372" t="inlineStr">
        <is>
          <t>SUNDSVALL</t>
        </is>
      </c>
      <c r="F1372" t="inlineStr">
        <is>
          <t>SCA</t>
        </is>
      </c>
      <c r="G1372" t="n">
        <v>1.1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35530-2023</t>
        </is>
      </c>
      <c r="B1373" s="1" t="n">
        <v>45146</v>
      </c>
      <c r="C1373" s="1" t="n">
        <v>45181</v>
      </c>
      <c r="D1373" t="inlineStr">
        <is>
          <t>VÄSTERNORRLANDS LÄN</t>
        </is>
      </c>
      <c r="E1373" t="inlineStr">
        <is>
          <t>SUNDSVALL</t>
        </is>
      </c>
      <c r="G1373" t="n">
        <v>7.5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35535-2023</t>
        </is>
      </c>
      <c r="B1374" s="1" t="n">
        <v>45146</v>
      </c>
      <c r="C1374" s="1" t="n">
        <v>45181</v>
      </c>
      <c r="D1374" t="inlineStr">
        <is>
          <t>VÄSTERNORRLANDS LÄN</t>
        </is>
      </c>
      <c r="E1374" t="inlineStr">
        <is>
          <t>SUNDSVALL</t>
        </is>
      </c>
      <c r="G1374" t="n">
        <v>0.9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35818-2023</t>
        </is>
      </c>
      <c r="B1375" s="1" t="n">
        <v>45147</v>
      </c>
      <c r="C1375" s="1" t="n">
        <v>45181</v>
      </c>
      <c r="D1375" t="inlineStr">
        <is>
          <t>VÄSTERNORRLANDS LÄN</t>
        </is>
      </c>
      <c r="E1375" t="inlineStr">
        <is>
          <t>SUNDSVALL</t>
        </is>
      </c>
      <c r="G1375" t="n">
        <v>0.5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35682-2023</t>
        </is>
      </c>
      <c r="B1376" s="1" t="n">
        <v>45147</v>
      </c>
      <c r="C1376" s="1" t="n">
        <v>45181</v>
      </c>
      <c r="D1376" t="inlineStr">
        <is>
          <t>VÄSTERNORRLANDS LÄN</t>
        </is>
      </c>
      <c r="E1376" t="inlineStr">
        <is>
          <t>SUNDSVALL</t>
        </is>
      </c>
      <c r="G1376" t="n">
        <v>1.1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35743-2023</t>
        </is>
      </c>
      <c r="B1377" s="1" t="n">
        <v>45147</v>
      </c>
      <c r="C1377" s="1" t="n">
        <v>45181</v>
      </c>
      <c r="D1377" t="inlineStr">
        <is>
          <t>VÄSTERNORRLANDS LÄN</t>
        </is>
      </c>
      <c r="E1377" t="inlineStr">
        <is>
          <t>SUNDSVALL</t>
        </is>
      </c>
      <c r="F1377" t="inlineStr">
        <is>
          <t>SCA</t>
        </is>
      </c>
      <c r="G1377" t="n">
        <v>3.2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35815-2023</t>
        </is>
      </c>
      <c r="B1378" s="1" t="n">
        <v>45147</v>
      </c>
      <c r="C1378" s="1" t="n">
        <v>45181</v>
      </c>
      <c r="D1378" t="inlineStr">
        <is>
          <t>VÄSTERNORRLANDS LÄN</t>
        </is>
      </c>
      <c r="E1378" t="inlineStr">
        <is>
          <t>SUNDSVALL</t>
        </is>
      </c>
      <c r="G1378" t="n">
        <v>3.6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36203-2023</t>
        </is>
      </c>
      <c r="B1379" s="1" t="n">
        <v>45149</v>
      </c>
      <c r="C1379" s="1" t="n">
        <v>45181</v>
      </c>
      <c r="D1379" t="inlineStr">
        <is>
          <t>VÄSTERNORRLANDS LÄN</t>
        </is>
      </c>
      <c r="E1379" t="inlineStr">
        <is>
          <t>SUNDSVALL</t>
        </is>
      </c>
      <c r="G1379" t="n">
        <v>0.8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36202-2023</t>
        </is>
      </c>
      <c r="B1380" s="1" t="n">
        <v>45149</v>
      </c>
      <c r="C1380" s="1" t="n">
        <v>45181</v>
      </c>
      <c r="D1380" t="inlineStr">
        <is>
          <t>VÄSTERNORRLANDS LÄN</t>
        </is>
      </c>
      <c r="E1380" t="inlineStr">
        <is>
          <t>SUNDSVALL</t>
        </is>
      </c>
      <c r="G1380" t="n">
        <v>1.7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38095-2023</t>
        </is>
      </c>
      <c r="B1381" s="1" t="n">
        <v>45160</v>
      </c>
      <c r="C1381" s="1" t="n">
        <v>45181</v>
      </c>
      <c r="D1381" t="inlineStr">
        <is>
          <t>VÄSTERNORRLANDS LÄN</t>
        </is>
      </c>
      <c r="E1381" t="inlineStr">
        <is>
          <t>SUNDSVALL</t>
        </is>
      </c>
      <c r="F1381" t="inlineStr">
        <is>
          <t>SCA</t>
        </is>
      </c>
      <c r="G1381" t="n">
        <v>32.1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>
      <c r="A1382" t="inlineStr">
        <is>
          <t>A 38131-2023</t>
        </is>
      </c>
      <c r="B1382" s="1" t="n">
        <v>45160</v>
      </c>
      <c r="C1382" s="1" t="n">
        <v>45181</v>
      </c>
      <c r="D1382" t="inlineStr">
        <is>
          <t>VÄSTERNORRLANDS LÄN</t>
        </is>
      </c>
      <c r="E1382" t="inlineStr">
        <is>
          <t>SUNDSVALL</t>
        </is>
      </c>
      <c r="G1382" t="n">
        <v>0.3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2023-09-12T04:15:00Z</dcterms:created>
  <dcterms:modified xmlns:dcterms="http://purl.org/dc/terms/" xmlns:xsi="http://www.w3.org/2001/XMLSchema-instance" xsi:type="dcterms:W3CDTF">2023-09-12T04:15:00Z</dcterms:modified>
</cp:coreProperties>
</file>