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33126-2021</t>
        </is>
      </c>
      <c r="B2" s="1" t="n">
        <v>44376</v>
      </c>
      <c r="C2" s="1" t="n">
        <v>45204</v>
      </c>
      <c r="D2" t="inlineStr">
        <is>
          <t>UPPSALA LÄN</t>
        </is>
      </c>
      <c r="E2" t="inlineStr">
        <is>
          <t>TIERP</t>
        </is>
      </c>
      <c r="F2" t="inlineStr">
        <is>
          <t>Bergvik skog väst AB</t>
        </is>
      </c>
      <c r="G2" t="n">
        <v>26.6</v>
      </c>
      <c r="H2" t="n">
        <v>8</v>
      </c>
      <c r="I2" t="n">
        <v>12</v>
      </c>
      <c r="J2" t="n">
        <v>2</v>
      </c>
      <c r="K2" t="n">
        <v>1</v>
      </c>
      <c r="L2" t="n">
        <v>1</v>
      </c>
      <c r="M2" t="n">
        <v>0</v>
      </c>
      <c r="N2" t="n">
        <v>0</v>
      </c>
      <c r="O2" t="n">
        <v>4</v>
      </c>
      <c r="P2" t="n">
        <v>2</v>
      </c>
      <c r="Q2" t="n">
        <v>19</v>
      </c>
      <c r="R2" s="2" t="inlineStr">
        <is>
          <t>Ask
Violgubbe
Gultoppig fingersvamp
Spillkråka
Anisspindling
Fjällig taggsvamp s.str.
Guckusko
Kattfotslav
Nästrot
Olivspindling
Rödgul trumpetsvamp
Skogsknipprot
Strimspindling
Sårläka
Tibast
Tvåblad
Fläcknycklar
Blåsippa
Revlummer</t>
        </is>
      </c>
      <c r="S2">
        <f>HYPERLINK("https://klasma.github.io/Logging_TIERP/artfynd/A 33126-2021.xlsx", "A 33126-2021")</f>
        <v/>
      </c>
      <c r="T2">
        <f>HYPERLINK("https://klasma.github.io/Logging_TIERP/kartor/A 33126-2021.png", "A 33126-2021")</f>
        <v/>
      </c>
      <c r="V2">
        <f>HYPERLINK("https://klasma.github.io/Logging_TIERP/klagomål/A 33126-2021.docx", "A 33126-2021")</f>
        <v/>
      </c>
      <c r="W2">
        <f>HYPERLINK("https://klasma.github.io/Logging_TIERP/klagomålsmail/A 33126-2021.docx", "A 33126-2021")</f>
        <v/>
      </c>
      <c r="X2">
        <f>HYPERLINK("https://klasma.github.io/Logging_TIERP/tillsyn/A 33126-2021.docx", "A 33126-2021")</f>
        <v/>
      </c>
      <c r="Y2">
        <f>HYPERLINK("https://klasma.github.io/Logging_TIERP/tillsynsmail/A 33126-2021.docx", "A 33126-2021")</f>
        <v/>
      </c>
    </row>
    <row r="3" ht="15" customHeight="1">
      <c r="A3" t="inlineStr">
        <is>
          <t>A 7208-2023</t>
        </is>
      </c>
      <c r="B3" s="1" t="n">
        <v>44970</v>
      </c>
      <c r="C3" s="1" t="n">
        <v>45204</v>
      </c>
      <c r="D3" t="inlineStr">
        <is>
          <t>UPPSALA LÄN</t>
        </is>
      </c>
      <c r="E3" t="inlineStr">
        <is>
          <t>TIERP</t>
        </is>
      </c>
      <c r="F3" t="inlineStr">
        <is>
          <t>Bergvik skog öst AB</t>
        </is>
      </c>
      <c r="G3" t="n">
        <v>26.4</v>
      </c>
      <c r="H3" t="n">
        <v>7</v>
      </c>
      <c r="I3" t="n">
        <v>6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16</v>
      </c>
      <c r="R3" s="2" t="inlineStr">
        <is>
          <t>Duvspindling
Knärot
Kopparspindling
Havsörn
Motaggsvamp
Svart taggsvamp
Talltita
Anisspindling
Olivspindling
Rödgul trumpetsvamp
Skogsknipprot
Svavelriska
Tibast
Brudsporre
Blåsippa
Revlummer</t>
        </is>
      </c>
      <c r="S3">
        <f>HYPERLINK("https://klasma.github.io/Logging_TIERP/artfynd/A 7208-2023.xlsx", "A 7208-2023")</f>
        <v/>
      </c>
      <c r="T3">
        <f>HYPERLINK("https://klasma.github.io/Logging_TIERP/kartor/A 7208-2023.png", "A 7208-2023")</f>
        <v/>
      </c>
      <c r="U3">
        <f>HYPERLINK("https://klasma.github.io/Logging_TIERP/knärot/A 7208-2023.png", "A 7208-2023")</f>
        <v/>
      </c>
      <c r="V3">
        <f>HYPERLINK("https://klasma.github.io/Logging_TIERP/klagomål/A 7208-2023.docx", "A 7208-2023")</f>
        <v/>
      </c>
      <c r="W3">
        <f>HYPERLINK("https://klasma.github.io/Logging_TIERP/klagomålsmail/A 7208-2023.docx", "A 7208-2023")</f>
        <v/>
      </c>
      <c r="X3">
        <f>HYPERLINK("https://klasma.github.io/Logging_TIERP/tillsyn/A 7208-2023.docx", "A 7208-2023")</f>
        <v/>
      </c>
      <c r="Y3">
        <f>HYPERLINK("https://klasma.github.io/Logging_TIERP/tillsynsmail/A 7208-2023.docx", "A 7208-2023")</f>
        <v/>
      </c>
    </row>
    <row r="4" ht="15" customHeight="1">
      <c r="A4" t="inlineStr">
        <is>
          <t>A 29232-2023</t>
        </is>
      </c>
      <c r="B4" s="1" t="n">
        <v>45105</v>
      </c>
      <c r="C4" s="1" t="n">
        <v>45204</v>
      </c>
      <c r="D4" t="inlineStr">
        <is>
          <t>UPPSALA LÄN</t>
        </is>
      </c>
      <c r="E4" t="inlineStr">
        <is>
          <t>TIERP</t>
        </is>
      </c>
      <c r="F4" t="inlineStr">
        <is>
          <t>Bergvik skog öst AB</t>
        </is>
      </c>
      <c r="G4" t="n">
        <v>6.8</v>
      </c>
      <c r="H4" t="n">
        <v>4</v>
      </c>
      <c r="I4" t="n">
        <v>7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16</v>
      </c>
      <c r="R4" s="2" t="inlineStr">
        <is>
          <t>Rynkskinn
Vågticka
Dofttaggsvamp
Spillkråka
Svartvit taggsvamp
Talltita
Ullticka
Bronshjon
Fjällig taggsvamp s.str.
Grönpyrola
Rödgul trumpetsvamp
Skarp dropptaggsvamp
Vedticka
Vårärt
Vanlig padda
Blåsippa</t>
        </is>
      </c>
      <c r="S4">
        <f>HYPERLINK("https://klasma.github.io/Logging_TIERP/artfynd/A 29232-2023.xlsx", "A 29232-2023")</f>
        <v/>
      </c>
      <c r="T4">
        <f>HYPERLINK("https://klasma.github.io/Logging_TIERP/kartor/A 29232-2023.png", "A 29232-2023")</f>
        <v/>
      </c>
      <c r="V4">
        <f>HYPERLINK("https://klasma.github.io/Logging_TIERP/klagomål/A 29232-2023.docx", "A 29232-2023")</f>
        <v/>
      </c>
      <c r="W4">
        <f>HYPERLINK("https://klasma.github.io/Logging_TIERP/klagomålsmail/A 29232-2023.docx", "A 29232-2023")</f>
        <v/>
      </c>
      <c r="X4">
        <f>HYPERLINK("https://klasma.github.io/Logging_TIERP/tillsyn/A 29232-2023.docx", "A 29232-2023")</f>
        <v/>
      </c>
      <c r="Y4">
        <f>HYPERLINK("https://klasma.github.io/Logging_TIERP/tillsynsmail/A 29232-2023.docx", "A 29232-2023")</f>
        <v/>
      </c>
    </row>
    <row r="5" ht="15" customHeight="1">
      <c r="A5" t="inlineStr">
        <is>
          <t>A 28821-2019</t>
        </is>
      </c>
      <c r="B5" s="1" t="n">
        <v>43627</v>
      </c>
      <c r="C5" s="1" t="n">
        <v>45204</v>
      </c>
      <c r="D5" t="inlineStr">
        <is>
          <t>UPPSALA LÄN</t>
        </is>
      </c>
      <c r="E5" t="inlineStr">
        <is>
          <t>TIERP</t>
        </is>
      </c>
      <c r="G5" t="n">
        <v>2.8</v>
      </c>
      <c r="H5" t="n">
        <v>1</v>
      </c>
      <c r="I5" t="n">
        <v>7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12</v>
      </c>
      <c r="R5" s="2" t="inlineStr">
        <is>
          <t>Kopparspindling
Koppartaggsvamp
Violgubbe
Orange taggsvamp
Persiljespindling
Anisspindling
Bronshjon
Dropptaggsvamp
Skarp dropptaggsvamp
Skogsknipprot
Svavelriska
Vågbandad barkbock</t>
        </is>
      </c>
      <c r="S5">
        <f>HYPERLINK("https://klasma.github.io/Logging_TIERP/artfynd/A 28821-2019.xlsx", "A 28821-2019")</f>
        <v/>
      </c>
      <c r="T5">
        <f>HYPERLINK("https://klasma.github.io/Logging_TIERP/kartor/A 28821-2019.png", "A 28821-2019")</f>
        <v/>
      </c>
      <c r="V5">
        <f>HYPERLINK("https://klasma.github.io/Logging_TIERP/klagomål/A 28821-2019.docx", "A 28821-2019")</f>
        <v/>
      </c>
      <c r="W5">
        <f>HYPERLINK("https://klasma.github.io/Logging_TIERP/klagomålsmail/A 28821-2019.docx", "A 28821-2019")</f>
        <v/>
      </c>
      <c r="X5">
        <f>HYPERLINK("https://klasma.github.io/Logging_TIERP/tillsyn/A 28821-2019.docx", "A 28821-2019")</f>
        <v/>
      </c>
      <c r="Y5">
        <f>HYPERLINK("https://klasma.github.io/Logging_TIERP/tillsynsmail/A 28821-2019.docx", "A 28821-2019")</f>
        <v/>
      </c>
    </row>
    <row r="6" ht="15" customHeight="1">
      <c r="A6" t="inlineStr">
        <is>
          <t>A 2802-2021</t>
        </is>
      </c>
      <c r="B6" s="1" t="n">
        <v>44215</v>
      </c>
      <c r="C6" s="1" t="n">
        <v>45204</v>
      </c>
      <c r="D6" t="inlineStr">
        <is>
          <t>UPPSALA LÄN</t>
        </is>
      </c>
      <c r="E6" t="inlineStr">
        <is>
          <t>TIERP</t>
        </is>
      </c>
      <c r="G6" t="n">
        <v>4.3</v>
      </c>
      <c r="H6" t="n">
        <v>0</v>
      </c>
      <c r="I6" t="n">
        <v>7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10</v>
      </c>
      <c r="R6" s="2" t="inlineStr">
        <is>
          <t>Kopparspindling
Puderspindling
Äggspindling
Anisspindling
Diskvaxskivling
Fjällig taggsvamp s.str.
Kantjordstjärna
Kryddspindling
Olivspindling
Rödgul trumpetsvamp</t>
        </is>
      </c>
      <c r="S6">
        <f>HYPERLINK("https://klasma.github.io/Logging_TIERP/artfynd/A 2802-2021.xlsx", "A 2802-2021")</f>
        <v/>
      </c>
      <c r="T6">
        <f>HYPERLINK("https://klasma.github.io/Logging_TIERP/kartor/A 2802-2021.png", "A 2802-2021")</f>
        <v/>
      </c>
      <c r="V6">
        <f>HYPERLINK("https://klasma.github.io/Logging_TIERP/klagomål/A 2802-2021.docx", "A 2802-2021")</f>
        <v/>
      </c>
      <c r="W6">
        <f>HYPERLINK("https://klasma.github.io/Logging_TIERP/klagomålsmail/A 2802-2021.docx", "A 2802-2021")</f>
        <v/>
      </c>
      <c r="X6">
        <f>HYPERLINK("https://klasma.github.io/Logging_TIERP/tillsyn/A 2802-2021.docx", "A 2802-2021")</f>
        <v/>
      </c>
      <c r="Y6">
        <f>HYPERLINK("https://klasma.github.io/Logging_TIERP/tillsynsmail/A 2802-2021.docx", "A 2802-2021")</f>
        <v/>
      </c>
    </row>
    <row r="7" ht="15" customHeight="1">
      <c r="A7" t="inlineStr">
        <is>
          <t>A 14157-2022</t>
        </is>
      </c>
      <c r="B7" s="1" t="n">
        <v>44651</v>
      </c>
      <c r="C7" s="1" t="n">
        <v>45204</v>
      </c>
      <c r="D7" t="inlineStr">
        <is>
          <t>UPPSALA LÄN</t>
        </is>
      </c>
      <c r="E7" t="inlineStr">
        <is>
          <t>TIERP</t>
        </is>
      </c>
      <c r="F7" t="inlineStr">
        <is>
          <t>Bergvik skog öst AB</t>
        </is>
      </c>
      <c r="G7" t="n">
        <v>8.1</v>
      </c>
      <c r="H7" t="n">
        <v>3</v>
      </c>
      <c r="I7" t="n">
        <v>8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10</v>
      </c>
      <c r="R7" s="2" t="inlineStr">
        <is>
          <t>Vit vedfingersvamp
Brandticka
Bårdlav
Lönnlav
Skogsknipprot
Tibast
Tvåblad
Underviol
Vårärt
Blåsippa</t>
        </is>
      </c>
      <c r="S7">
        <f>HYPERLINK("https://klasma.github.io/Logging_TIERP/artfynd/A 14157-2022.xlsx", "A 14157-2022")</f>
        <v/>
      </c>
      <c r="T7">
        <f>HYPERLINK("https://klasma.github.io/Logging_TIERP/kartor/A 14157-2022.png", "A 14157-2022")</f>
        <v/>
      </c>
      <c r="V7">
        <f>HYPERLINK("https://klasma.github.io/Logging_TIERP/klagomål/A 14157-2022.docx", "A 14157-2022")</f>
        <v/>
      </c>
      <c r="W7">
        <f>HYPERLINK("https://klasma.github.io/Logging_TIERP/klagomålsmail/A 14157-2022.docx", "A 14157-2022")</f>
        <v/>
      </c>
      <c r="X7">
        <f>HYPERLINK("https://klasma.github.io/Logging_TIERP/tillsyn/A 14157-2022.docx", "A 14157-2022")</f>
        <v/>
      </c>
      <c r="Y7">
        <f>HYPERLINK("https://klasma.github.io/Logging_TIERP/tillsynsmail/A 14157-2022.docx", "A 14157-2022")</f>
        <v/>
      </c>
    </row>
    <row r="8" ht="15" customHeight="1">
      <c r="A8" t="inlineStr">
        <is>
          <t>A 8507-2023</t>
        </is>
      </c>
      <c r="B8" s="1" t="n">
        <v>44977</v>
      </c>
      <c r="C8" s="1" t="n">
        <v>45204</v>
      </c>
      <c r="D8" t="inlineStr">
        <is>
          <t>UPPSALA LÄN</t>
        </is>
      </c>
      <c r="E8" t="inlineStr">
        <is>
          <t>TIERP</t>
        </is>
      </c>
      <c r="F8" t="inlineStr">
        <is>
          <t>Bergvik skog väst AB</t>
        </is>
      </c>
      <c r="G8" t="n">
        <v>7.6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Violgubbe
Dofttaggsvamp
Flattoppad klubbsvamp
Orange taggsvamp
Spillkråka
Dropptaggsvamp</t>
        </is>
      </c>
      <c r="S8">
        <f>HYPERLINK("https://klasma.github.io/Logging_TIERP/artfynd/A 8507-2023.xlsx", "A 8507-2023")</f>
        <v/>
      </c>
      <c r="T8">
        <f>HYPERLINK("https://klasma.github.io/Logging_TIERP/kartor/A 8507-2023.png", "A 8507-2023")</f>
        <v/>
      </c>
      <c r="V8">
        <f>HYPERLINK("https://klasma.github.io/Logging_TIERP/klagomål/A 8507-2023.docx", "A 8507-2023")</f>
        <v/>
      </c>
      <c r="W8">
        <f>HYPERLINK("https://klasma.github.io/Logging_TIERP/klagomålsmail/A 8507-2023.docx", "A 8507-2023")</f>
        <v/>
      </c>
      <c r="X8">
        <f>HYPERLINK("https://klasma.github.io/Logging_TIERP/tillsyn/A 8507-2023.docx", "A 8507-2023")</f>
        <v/>
      </c>
      <c r="Y8">
        <f>HYPERLINK("https://klasma.github.io/Logging_TIERP/tillsynsmail/A 8507-2023.docx", "A 8507-2023")</f>
        <v/>
      </c>
    </row>
    <row r="9" ht="15" customHeight="1">
      <c r="A9" t="inlineStr">
        <is>
          <t>A 9126-2023</t>
        </is>
      </c>
      <c r="B9" s="1" t="n">
        <v>44980</v>
      </c>
      <c r="C9" s="1" t="n">
        <v>45204</v>
      </c>
      <c r="D9" t="inlineStr">
        <is>
          <t>UPPSALA LÄN</t>
        </is>
      </c>
      <c r="E9" t="inlineStr">
        <is>
          <t>TIERP</t>
        </is>
      </c>
      <c r="F9" t="inlineStr">
        <is>
          <t>Bergvik skog öst AB</t>
        </is>
      </c>
      <c r="G9" t="n">
        <v>21.8</v>
      </c>
      <c r="H9" t="n">
        <v>6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6</v>
      </c>
      <c r="R9" s="2" t="inlineStr">
        <is>
          <t>Knärot
Spillkråka
Skogsödla
Blåsippa
Lopplummer
Revlummer</t>
        </is>
      </c>
      <c r="S9">
        <f>HYPERLINK("https://klasma.github.io/Logging_TIERP/artfynd/A 9126-2023.xlsx", "A 9126-2023")</f>
        <v/>
      </c>
      <c r="T9">
        <f>HYPERLINK("https://klasma.github.io/Logging_TIERP/kartor/A 9126-2023.png", "A 9126-2023")</f>
        <v/>
      </c>
      <c r="U9">
        <f>HYPERLINK("https://klasma.github.io/Logging_TIERP/knärot/A 9126-2023.png", "A 9126-2023")</f>
        <v/>
      </c>
      <c r="V9">
        <f>HYPERLINK("https://klasma.github.io/Logging_TIERP/klagomål/A 9126-2023.docx", "A 9126-2023")</f>
        <v/>
      </c>
      <c r="W9">
        <f>HYPERLINK("https://klasma.github.io/Logging_TIERP/klagomålsmail/A 9126-2023.docx", "A 9126-2023")</f>
        <v/>
      </c>
      <c r="X9">
        <f>HYPERLINK("https://klasma.github.io/Logging_TIERP/tillsyn/A 9126-2023.docx", "A 9126-2023")</f>
        <v/>
      </c>
      <c r="Y9">
        <f>HYPERLINK("https://klasma.github.io/Logging_TIERP/tillsynsmail/A 9126-2023.docx", "A 9126-2023")</f>
        <v/>
      </c>
    </row>
    <row r="10" ht="15" customHeight="1">
      <c r="A10" t="inlineStr">
        <is>
          <t>A 51438-2018</t>
        </is>
      </c>
      <c r="B10" s="1" t="n">
        <v>43381</v>
      </c>
      <c r="C10" s="1" t="n">
        <v>45204</v>
      </c>
      <c r="D10" t="inlineStr">
        <is>
          <t>UPPSALA LÄN</t>
        </is>
      </c>
      <c r="E10" t="inlineStr">
        <is>
          <t>TIERP</t>
        </is>
      </c>
      <c r="G10" t="n">
        <v>4.9</v>
      </c>
      <c r="H10" t="n">
        <v>3</v>
      </c>
      <c r="I10" t="n">
        <v>3</v>
      </c>
      <c r="J10" t="n">
        <v>0</v>
      </c>
      <c r="K10" t="n">
        <v>0</v>
      </c>
      <c r="L10" t="n">
        <v>2</v>
      </c>
      <c r="M10" t="n">
        <v>0</v>
      </c>
      <c r="N10" t="n">
        <v>0</v>
      </c>
      <c r="O10" t="n">
        <v>2</v>
      </c>
      <c r="P10" t="n">
        <v>2</v>
      </c>
      <c r="Q10" t="n">
        <v>5</v>
      </c>
      <c r="R10" s="2" t="inlineStr">
        <is>
          <t>Mosippa
Ryl
Grönpyrola
Plattlummer
Skogsknipprot</t>
        </is>
      </c>
      <c r="S10">
        <f>HYPERLINK("https://klasma.github.io/Logging_TIERP/artfynd/A 51438-2018.xlsx", "A 51438-2018")</f>
        <v/>
      </c>
      <c r="T10">
        <f>HYPERLINK("https://klasma.github.io/Logging_TIERP/kartor/A 51438-2018.png", "A 51438-2018")</f>
        <v/>
      </c>
      <c r="V10">
        <f>HYPERLINK("https://klasma.github.io/Logging_TIERP/klagomål/A 51438-2018.docx", "A 51438-2018")</f>
        <v/>
      </c>
      <c r="W10">
        <f>HYPERLINK("https://klasma.github.io/Logging_TIERP/klagomålsmail/A 51438-2018.docx", "A 51438-2018")</f>
        <v/>
      </c>
      <c r="X10">
        <f>HYPERLINK("https://klasma.github.io/Logging_TIERP/tillsyn/A 51438-2018.docx", "A 51438-2018")</f>
        <v/>
      </c>
      <c r="Y10">
        <f>HYPERLINK("https://klasma.github.io/Logging_TIERP/tillsynsmail/A 51438-2018.docx", "A 51438-2018")</f>
        <v/>
      </c>
    </row>
    <row r="11" ht="15" customHeight="1">
      <c r="A11" t="inlineStr">
        <is>
          <t>A 17954-2023</t>
        </is>
      </c>
      <c r="B11" s="1" t="n">
        <v>45040</v>
      </c>
      <c r="C11" s="1" t="n">
        <v>45204</v>
      </c>
      <c r="D11" t="inlineStr">
        <is>
          <t>UPPSALA LÄN</t>
        </is>
      </c>
      <c r="E11" t="inlineStr">
        <is>
          <t>TIERP</t>
        </is>
      </c>
      <c r="G11" t="n">
        <v>8.199999999999999</v>
      </c>
      <c r="H11" t="n">
        <v>0</v>
      </c>
      <c r="I11" t="n">
        <v>2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5</v>
      </c>
      <c r="R11" s="2" t="inlineStr">
        <is>
          <t>Duvspindling
Taggfingersvamp
Äggspindling
Anisspindling
Olivspindling</t>
        </is>
      </c>
      <c r="S11">
        <f>HYPERLINK("https://klasma.github.io/Logging_TIERP/artfynd/A 17954-2023.xlsx", "A 17954-2023")</f>
        <v/>
      </c>
      <c r="T11">
        <f>HYPERLINK("https://klasma.github.io/Logging_TIERP/kartor/A 17954-2023.png", "A 17954-2023")</f>
        <v/>
      </c>
      <c r="V11">
        <f>HYPERLINK("https://klasma.github.io/Logging_TIERP/klagomål/A 17954-2023.docx", "A 17954-2023")</f>
        <v/>
      </c>
      <c r="W11">
        <f>HYPERLINK("https://klasma.github.io/Logging_TIERP/klagomålsmail/A 17954-2023.docx", "A 17954-2023")</f>
        <v/>
      </c>
      <c r="X11">
        <f>HYPERLINK("https://klasma.github.io/Logging_TIERP/tillsyn/A 17954-2023.docx", "A 17954-2023")</f>
        <v/>
      </c>
      <c r="Y11">
        <f>HYPERLINK("https://klasma.github.io/Logging_TIERP/tillsynsmail/A 17954-2023.docx", "A 17954-2023")</f>
        <v/>
      </c>
    </row>
    <row r="12" ht="15" customHeight="1">
      <c r="A12" t="inlineStr">
        <is>
          <t>A 29306-2021</t>
        </is>
      </c>
      <c r="B12" s="1" t="n">
        <v>44361</v>
      </c>
      <c r="C12" s="1" t="n">
        <v>45204</v>
      </c>
      <c r="D12" t="inlineStr">
        <is>
          <t>UPPSALA LÄN</t>
        </is>
      </c>
      <c r="E12" t="inlineStr">
        <is>
          <t>TIERP</t>
        </is>
      </c>
      <c r="F12" t="inlineStr">
        <is>
          <t>Bergvik skog väst AB</t>
        </is>
      </c>
      <c r="G12" t="n">
        <v>3.7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Dvärgtufs
Granbarkgnagare
Rostfläck
Stuplav</t>
        </is>
      </c>
      <c r="S12">
        <f>HYPERLINK("https://klasma.github.io/Logging_TIERP/artfynd/A 29306-2021.xlsx", "A 29306-2021")</f>
        <v/>
      </c>
      <c r="T12">
        <f>HYPERLINK("https://klasma.github.io/Logging_TIERP/kartor/A 29306-2021.png", "A 29306-2021")</f>
        <v/>
      </c>
      <c r="V12">
        <f>HYPERLINK("https://klasma.github.io/Logging_TIERP/klagomål/A 29306-2021.docx", "A 29306-2021")</f>
        <v/>
      </c>
      <c r="W12">
        <f>HYPERLINK("https://klasma.github.io/Logging_TIERP/klagomålsmail/A 29306-2021.docx", "A 29306-2021")</f>
        <v/>
      </c>
      <c r="X12">
        <f>HYPERLINK("https://klasma.github.io/Logging_TIERP/tillsyn/A 29306-2021.docx", "A 29306-2021")</f>
        <v/>
      </c>
      <c r="Y12">
        <f>HYPERLINK("https://klasma.github.io/Logging_TIERP/tillsynsmail/A 29306-2021.docx", "A 29306-2021")</f>
        <v/>
      </c>
    </row>
    <row r="13" ht="15" customHeight="1">
      <c r="A13" t="inlineStr">
        <is>
          <t>A 73761-2021</t>
        </is>
      </c>
      <c r="B13" s="1" t="n">
        <v>44552</v>
      </c>
      <c r="C13" s="1" t="n">
        <v>45204</v>
      </c>
      <c r="D13" t="inlineStr">
        <is>
          <t>UPPSALA LÄN</t>
        </is>
      </c>
      <c r="E13" t="inlineStr">
        <is>
          <t>TIERP</t>
        </is>
      </c>
      <c r="F13" t="inlineStr">
        <is>
          <t>Bergvik skog väst AB</t>
        </is>
      </c>
      <c r="G13" t="n">
        <v>1.9</v>
      </c>
      <c r="H13" t="n">
        <v>2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Vedtrappmossa
Brandticka
Skogsknipprot
Fläcknycklar</t>
        </is>
      </c>
      <c r="S13">
        <f>HYPERLINK("https://klasma.github.io/Logging_TIERP/artfynd/A 73761-2021.xlsx", "A 73761-2021")</f>
        <v/>
      </c>
      <c r="T13">
        <f>HYPERLINK("https://klasma.github.io/Logging_TIERP/kartor/A 73761-2021.png", "A 73761-2021")</f>
        <v/>
      </c>
      <c r="V13">
        <f>HYPERLINK("https://klasma.github.io/Logging_TIERP/klagomål/A 73761-2021.docx", "A 73761-2021")</f>
        <v/>
      </c>
      <c r="W13">
        <f>HYPERLINK("https://klasma.github.io/Logging_TIERP/klagomålsmail/A 73761-2021.docx", "A 73761-2021")</f>
        <v/>
      </c>
      <c r="X13">
        <f>HYPERLINK("https://klasma.github.io/Logging_TIERP/tillsyn/A 73761-2021.docx", "A 73761-2021")</f>
        <v/>
      </c>
      <c r="Y13">
        <f>HYPERLINK("https://klasma.github.io/Logging_TIERP/tillsynsmail/A 73761-2021.docx", "A 73761-2021")</f>
        <v/>
      </c>
    </row>
    <row r="14" ht="15" customHeight="1">
      <c r="A14" t="inlineStr">
        <is>
          <t>A 5089-2023</t>
        </is>
      </c>
      <c r="B14" s="1" t="n">
        <v>44958</v>
      </c>
      <c r="C14" s="1" t="n">
        <v>45204</v>
      </c>
      <c r="D14" t="inlineStr">
        <is>
          <t>UPPSALA LÄN</t>
        </is>
      </c>
      <c r="E14" t="inlineStr">
        <is>
          <t>TIERP</t>
        </is>
      </c>
      <c r="F14" t="inlineStr">
        <is>
          <t>Bergvik skog öst AB</t>
        </is>
      </c>
      <c r="G14" t="n">
        <v>19.1</v>
      </c>
      <c r="H14" t="n">
        <v>1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4</v>
      </c>
      <c r="R14" s="2" t="inlineStr">
        <is>
          <t>Motaggsvamp
Talltita
Ullticka
Granbarkgnagare</t>
        </is>
      </c>
      <c r="S14">
        <f>HYPERLINK("https://klasma.github.io/Logging_TIERP/artfynd/A 5089-2023.xlsx", "A 5089-2023")</f>
        <v/>
      </c>
      <c r="T14">
        <f>HYPERLINK("https://klasma.github.io/Logging_TIERP/kartor/A 5089-2023.png", "A 5089-2023")</f>
        <v/>
      </c>
      <c r="V14">
        <f>HYPERLINK("https://klasma.github.io/Logging_TIERP/klagomål/A 5089-2023.docx", "A 5089-2023")</f>
        <v/>
      </c>
      <c r="W14">
        <f>HYPERLINK("https://klasma.github.io/Logging_TIERP/klagomålsmail/A 5089-2023.docx", "A 5089-2023")</f>
        <v/>
      </c>
      <c r="X14">
        <f>HYPERLINK("https://klasma.github.io/Logging_TIERP/tillsyn/A 5089-2023.docx", "A 5089-2023")</f>
        <v/>
      </c>
      <c r="Y14">
        <f>HYPERLINK("https://klasma.github.io/Logging_TIERP/tillsynsmail/A 5089-2023.docx", "A 5089-2023")</f>
        <v/>
      </c>
    </row>
    <row r="15" ht="15" customHeight="1">
      <c r="A15" t="inlineStr">
        <is>
          <t>A 11878-2023</t>
        </is>
      </c>
      <c r="B15" s="1" t="n">
        <v>44995</v>
      </c>
      <c r="C15" s="1" t="n">
        <v>45204</v>
      </c>
      <c r="D15" t="inlineStr">
        <is>
          <t>UPPSALA LÄN</t>
        </is>
      </c>
      <c r="E15" t="inlineStr">
        <is>
          <t>TIERP</t>
        </is>
      </c>
      <c r="F15" t="inlineStr">
        <is>
          <t>Bergvik skog öst AB</t>
        </is>
      </c>
      <c r="G15" t="n">
        <v>38</v>
      </c>
      <c r="H15" t="n">
        <v>3</v>
      </c>
      <c r="I15" t="n">
        <v>0</v>
      </c>
      <c r="J15" t="n">
        <v>1</v>
      </c>
      <c r="K15" t="n">
        <v>2</v>
      </c>
      <c r="L15" t="n">
        <v>0</v>
      </c>
      <c r="M15" t="n">
        <v>0</v>
      </c>
      <c r="N15" t="n">
        <v>0</v>
      </c>
      <c r="O15" t="n">
        <v>3</v>
      </c>
      <c r="P15" t="n">
        <v>2</v>
      </c>
      <c r="Q15" t="n">
        <v>4</v>
      </c>
      <c r="R15" s="2" t="inlineStr">
        <is>
          <t>Knärot
Rynkskinn
Spillkråka
Blåsippa</t>
        </is>
      </c>
      <c r="S15">
        <f>HYPERLINK("https://klasma.github.io/Logging_TIERP/artfynd/A 11878-2023.xlsx", "A 11878-2023")</f>
        <v/>
      </c>
      <c r="T15">
        <f>HYPERLINK("https://klasma.github.io/Logging_TIERP/kartor/A 11878-2023.png", "A 11878-2023")</f>
        <v/>
      </c>
      <c r="U15">
        <f>HYPERLINK("https://klasma.github.io/Logging_TIERP/knärot/A 11878-2023.png", "A 11878-2023")</f>
        <v/>
      </c>
      <c r="V15">
        <f>HYPERLINK("https://klasma.github.io/Logging_TIERP/klagomål/A 11878-2023.docx", "A 11878-2023")</f>
        <v/>
      </c>
      <c r="W15">
        <f>HYPERLINK("https://klasma.github.io/Logging_TIERP/klagomålsmail/A 11878-2023.docx", "A 11878-2023")</f>
        <v/>
      </c>
      <c r="X15">
        <f>HYPERLINK("https://klasma.github.io/Logging_TIERP/tillsyn/A 11878-2023.docx", "A 11878-2023")</f>
        <v/>
      </c>
      <c r="Y15">
        <f>HYPERLINK("https://klasma.github.io/Logging_TIERP/tillsynsmail/A 11878-2023.docx", "A 11878-2023")</f>
        <v/>
      </c>
    </row>
    <row r="16" ht="15" customHeight="1">
      <c r="A16" t="inlineStr">
        <is>
          <t>A 42343-2023</t>
        </is>
      </c>
      <c r="B16" s="1" t="n">
        <v>45180</v>
      </c>
      <c r="C16" s="1" t="n">
        <v>45204</v>
      </c>
      <c r="D16" t="inlineStr">
        <is>
          <t>UPPSALA LÄN</t>
        </is>
      </c>
      <c r="E16" t="inlineStr">
        <is>
          <t>TIERP</t>
        </is>
      </c>
      <c r="F16" t="inlineStr">
        <is>
          <t>Bergvik skog väst AB</t>
        </is>
      </c>
      <c r="G16" t="n">
        <v>13.6</v>
      </c>
      <c r="H16" t="n">
        <v>1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4</v>
      </c>
      <c r="R16" s="2" t="inlineStr">
        <is>
          <t>Bronshjon
Myskmadra
Thomsons trägnagare
Blåsippa</t>
        </is>
      </c>
      <c r="S16">
        <f>HYPERLINK("https://klasma.github.io/Logging_TIERP/artfynd/A 42343-2023.xlsx", "A 42343-2023")</f>
        <v/>
      </c>
      <c r="T16">
        <f>HYPERLINK("https://klasma.github.io/Logging_TIERP/kartor/A 42343-2023.png", "A 42343-2023")</f>
        <v/>
      </c>
      <c r="V16">
        <f>HYPERLINK("https://klasma.github.io/Logging_TIERP/klagomål/A 42343-2023.docx", "A 42343-2023")</f>
        <v/>
      </c>
      <c r="W16">
        <f>HYPERLINK("https://klasma.github.io/Logging_TIERP/klagomålsmail/A 42343-2023.docx", "A 42343-2023")</f>
        <v/>
      </c>
      <c r="X16">
        <f>HYPERLINK("https://klasma.github.io/Logging_TIERP/tillsyn/A 42343-2023.docx", "A 42343-2023")</f>
        <v/>
      </c>
      <c r="Y16">
        <f>HYPERLINK("https://klasma.github.io/Logging_TIERP/tillsynsmail/A 42343-2023.docx", "A 42343-2023")</f>
        <v/>
      </c>
    </row>
    <row r="17" ht="15" customHeight="1">
      <c r="A17" t="inlineStr">
        <is>
          <t>A 57665-2019</t>
        </is>
      </c>
      <c r="B17" s="1" t="n">
        <v>43768</v>
      </c>
      <c r="C17" s="1" t="n">
        <v>45204</v>
      </c>
      <c r="D17" t="inlineStr">
        <is>
          <t>UPPSALA LÄN</t>
        </is>
      </c>
      <c r="E17" t="inlineStr">
        <is>
          <t>TIERP</t>
        </is>
      </c>
      <c r="G17" t="n">
        <v>4</v>
      </c>
      <c r="H17" t="n">
        <v>1</v>
      </c>
      <c r="I17" t="n">
        <v>1</v>
      </c>
      <c r="J17" t="n">
        <v>0</v>
      </c>
      <c r="K17" t="n">
        <v>2</v>
      </c>
      <c r="L17" t="n">
        <v>0</v>
      </c>
      <c r="M17" t="n">
        <v>0</v>
      </c>
      <c r="N17" t="n">
        <v>0</v>
      </c>
      <c r="O17" t="n">
        <v>2</v>
      </c>
      <c r="P17" t="n">
        <v>2</v>
      </c>
      <c r="Q17" t="n">
        <v>3</v>
      </c>
      <c r="R17" s="2" t="inlineStr">
        <is>
          <t>Bombmurkla
Rynkskinn
Stor aspticka</t>
        </is>
      </c>
      <c r="S17">
        <f>HYPERLINK("https://klasma.github.io/Logging_TIERP/artfynd/A 57665-2019.xlsx", "A 57665-2019")</f>
        <v/>
      </c>
      <c r="T17">
        <f>HYPERLINK("https://klasma.github.io/Logging_TIERP/kartor/A 57665-2019.png", "A 57665-2019")</f>
        <v/>
      </c>
      <c r="V17">
        <f>HYPERLINK("https://klasma.github.io/Logging_TIERP/klagomål/A 57665-2019.docx", "A 57665-2019")</f>
        <v/>
      </c>
      <c r="W17">
        <f>HYPERLINK("https://klasma.github.io/Logging_TIERP/klagomålsmail/A 57665-2019.docx", "A 57665-2019")</f>
        <v/>
      </c>
      <c r="X17">
        <f>HYPERLINK("https://klasma.github.io/Logging_TIERP/tillsyn/A 57665-2019.docx", "A 57665-2019")</f>
        <v/>
      </c>
      <c r="Y17">
        <f>HYPERLINK("https://klasma.github.io/Logging_TIERP/tillsynsmail/A 57665-2019.docx", "A 57665-2019")</f>
        <v/>
      </c>
    </row>
    <row r="18" ht="15" customHeight="1">
      <c r="A18" t="inlineStr">
        <is>
          <t>A 73005-2021</t>
        </is>
      </c>
      <c r="B18" s="1" t="n">
        <v>44550</v>
      </c>
      <c r="C18" s="1" t="n">
        <v>45204</v>
      </c>
      <c r="D18" t="inlineStr">
        <is>
          <t>UPPSALA LÄN</t>
        </is>
      </c>
      <c r="E18" t="inlineStr">
        <is>
          <t>TIERP</t>
        </is>
      </c>
      <c r="F18" t="inlineStr">
        <is>
          <t>Bergvik skog väst AB</t>
        </is>
      </c>
      <c r="G18" t="n">
        <v>5.7</v>
      </c>
      <c r="H18" t="n">
        <v>0</v>
      </c>
      <c r="I18" t="n">
        <v>2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Ekticka
Dvärghäxört
Jättesvampmal</t>
        </is>
      </c>
      <c r="S18">
        <f>HYPERLINK("https://klasma.github.io/Logging_TIERP/artfynd/A 73005-2021.xlsx", "A 73005-2021")</f>
        <v/>
      </c>
      <c r="T18">
        <f>HYPERLINK("https://klasma.github.io/Logging_TIERP/kartor/A 73005-2021.png", "A 73005-2021")</f>
        <v/>
      </c>
      <c r="V18">
        <f>HYPERLINK("https://klasma.github.io/Logging_TIERP/klagomål/A 73005-2021.docx", "A 73005-2021")</f>
        <v/>
      </c>
      <c r="W18">
        <f>HYPERLINK("https://klasma.github.io/Logging_TIERP/klagomålsmail/A 73005-2021.docx", "A 73005-2021")</f>
        <v/>
      </c>
      <c r="X18">
        <f>HYPERLINK("https://klasma.github.io/Logging_TIERP/tillsyn/A 73005-2021.docx", "A 73005-2021")</f>
        <v/>
      </c>
      <c r="Y18">
        <f>HYPERLINK("https://klasma.github.io/Logging_TIERP/tillsynsmail/A 73005-2021.docx", "A 73005-2021")</f>
        <v/>
      </c>
    </row>
    <row r="19" ht="15" customHeight="1">
      <c r="A19" t="inlineStr">
        <is>
          <t>A 73325-2021</t>
        </is>
      </c>
      <c r="B19" s="1" t="n">
        <v>44551</v>
      </c>
      <c r="C19" s="1" t="n">
        <v>45204</v>
      </c>
      <c r="D19" t="inlineStr">
        <is>
          <t>UPPSALA LÄN</t>
        </is>
      </c>
      <c r="E19" t="inlineStr">
        <is>
          <t>TIERP</t>
        </is>
      </c>
      <c r="G19" t="n">
        <v>3.7</v>
      </c>
      <c r="H19" t="n">
        <v>0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Taggfingersvamp
Äggspindling
Rödgul trumpetsvamp</t>
        </is>
      </c>
      <c r="S19">
        <f>HYPERLINK("https://klasma.github.io/Logging_TIERP/artfynd/A 73325-2021.xlsx", "A 73325-2021")</f>
        <v/>
      </c>
      <c r="T19">
        <f>HYPERLINK("https://klasma.github.io/Logging_TIERP/kartor/A 73325-2021.png", "A 73325-2021")</f>
        <v/>
      </c>
      <c r="V19">
        <f>HYPERLINK("https://klasma.github.io/Logging_TIERP/klagomål/A 73325-2021.docx", "A 73325-2021")</f>
        <v/>
      </c>
      <c r="W19">
        <f>HYPERLINK("https://klasma.github.io/Logging_TIERP/klagomålsmail/A 73325-2021.docx", "A 73325-2021")</f>
        <v/>
      </c>
      <c r="X19">
        <f>HYPERLINK("https://klasma.github.io/Logging_TIERP/tillsyn/A 73325-2021.docx", "A 73325-2021")</f>
        <v/>
      </c>
      <c r="Y19">
        <f>HYPERLINK("https://klasma.github.io/Logging_TIERP/tillsynsmail/A 73325-2021.docx", "A 73325-2021")</f>
        <v/>
      </c>
    </row>
    <row r="20" ht="15" customHeight="1">
      <c r="A20" t="inlineStr">
        <is>
          <t>A 15592-2022</t>
        </is>
      </c>
      <c r="B20" s="1" t="n">
        <v>44662</v>
      </c>
      <c r="C20" s="1" t="n">
        <v>45204</v>
      </c>
      <c r="D20" t="inlineStr">
        <is>
          <t>UPPSALA LÄN</t>
        </is>
      </c>
      <c r="E20" t="inlineStr">
        <is>
          <t>TIERP</t>
        </is>
      </c>
      <c r="F20" t="inlineStr">
        <is>
          <t>Bergvik skog väst AB</t>
        </is>
      </c>
      <c r="G20" t="n">
        <v>1.7</v>
      </c>
      <c r="H20" t="n">
        <v>2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Skogsknipprot
Tibast
Blåsippa</t>
        </is>
      </c>
      <c r="S20">
        <f>HYPERLINK("https://klasma.github.io/Logging_TIERP/artfynd/A 15592-2022.xlsx", "A 15592-2022")</f>
        <v/>
      </c>
      <c r="T20">
        <f>HYPERLINK("https://klasma.github.io/Logging_TIERP/kartor/A 15592-2022.png", "A 15592-2022")</f>
        <v/>
      </c>
      <c r="V20">
        <f>HYPERLINK("https://klasma.github.io/Logging_TIERP/klagomål/A 15592-2022.docx", "A 15592-2022")</f>
        <v/>
      </c>
      <c r="W20">
        <f>HYPERLINK("https://klasma.github.io/Logging_TIERP/klagomålsmail/A 15592-2022.docx", "A 15592-2022")</f>
        <v/>
      </c>
      <c r="X20">
        <f>HYPERLINK("https://klasma.github.io/Logging_TIERP/tillsyn/A 15592-2022.docx", "A 15592-2022")</f>
        <v/>
      </c>
      <c r="Y20">
        <f>HYPERLINK("https://klasma.github.io/Logging_TIERP/tillsynsmail/A 15592-2022.docx", "A 15592-2022")</f>
        <v/>
      </c>
    </row>
    <row r="21" ht="15" customHeight="1">
      <c r="A21" t="inlineStr">
        <is>
          <t>A 52951-2022</t>
        </is>
      </c>
      <c r="B21" s="1" t="n">
        <v>44875</v>
      </c>
      <c r="C21" s="1" t="n">
        <v>45204</v>
      </c>
      <c r="D21" t="inlineStr">
        <is>
          <t>UPPSALA LÄN</t>
        </is>
      </c>
      <c r="E21" t="inlineStr">
        <is>
          <t>TIERP</t>
        </is>
      </c>
      <c r="F21" t="inlineStr">
        <is>
          <t>Bergvik skog öst AB</t>
        </is>
      </c>
      <c r="G21" t="n">
        <v>13.5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Myskmadra
Rödgul trumpetsvamp
Sårläka</t>
        </is>
      </c>
      <c r="S21">
        <f>HYPERLINK("https://klasma.github.io/Logging_TIERP/artfynd/A 52951-2022.xlsx", "A 52951-2022")</f>
        <v/>
      </c>
      <c r="T21">
        <f>HYPERLINK("https://klasma.github.io/Logging_TIERP/kartor/A 52951-2022.png", "A 52951-2022")</f>
        <v/>
      </c>
      <c r="V21">
        <f>HYPERLINK("https://klasma.github.io/Logging_TIERP/klagomål/A 52951-2022.docx", "A 52951-2022")</f>
        <v/>
      </c>
      <c r="W21">
        <f>HYPERLINK("https://klasma.github.io/Logging_TIERP/klagomålsmail/A 52951-2022.docx", "A 52951-2022")</f>
        <v/>
      </c>
      <c r="X21">
        <f>HYPERLINK("https://klasma.github.io/Logging_TIERP/tillsyn/A 52951-2022.docx", "A 52951-2022")</f>
        <v/>
      </c>
      <c r="Y21">
        <f>HYPERLINK("https://klasma.github.io/Logging_TIERP/tillsynsmail/A 52951-2022.docx", "A 52951-2022")</f>
        <v/>
      </c>
    </row>
    <row r="22" ht="15" customHeight="1">
      <c r="A22" t="inlineStr">
        <is>
          <t>A 3511-2023</t>
        </is>
      </c>
      <c r="B22" s="1" t="n">
        <v>44950</v>
      </c>
      <c r="C22" s="1" t="n">
        <v>45204</v>
      </c>
      <c r="D22" t="inlineStr">
        <is>
          <t>UPPSALA LÄN</t>
        </is>
      </c>
      <c r="E22" t="inlineStr">
        <is>
          <t>TIERP</t>
        </is>
      </c>
      <c r="F22" t="inlineStr">
        <is>
          <t>Bergvik skog öst AB</t>
        </is>
      </c>
      <c r="G22" t="n">
        <v>20.5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Tibast
Blåsippa
Revlummer</t>
        </is>
      </c>
      <c r="S22">
        <f>HYPERLINK("https://klasma.github.io/Logging_TIERP/artfynd/A 3511-2023.xlsx", "A 3511-2023")</f>
        <v/>
      </c>
      <c r="T22">
        <f>HYPERLINK("https://klasma.github.io/Logging_TIERP/kartor/A 3511-2023.png", "A 3511-2023")</f>
        <v/>
      </c>
      <c r="V22">
        <f>HYPERLINK("https://klasma.github.io/Logging_TIERP/klagomål/A 3511-2023.docx", "A 3511-2023")</f>
        <v/>
      </c>
      <c r="W22">
        <f>HYPERLINK("https://klasma.github.io/Logging_TIERP/klagomålsmail/A 3511-2023.docx", "A 3511-2023")</f>
        <v/>
      </c>
      <c r="X22">
        <f>HYPERLINK("https://klasma.github.io/Logging_TIERP/tillsyn/A 3511-2023.docx", "A 3511-2023")</f>
        <v/>
      </c>
      <c r="Y22">
        <f>HYPERLINK("https://klasma.github.io/Logging_TIERP/tillsynsmail/A 3511-2023.docx", "A 3511-2023")</f>
        <v/>
      </c>
    </row>
    <row r="23" ht="15" customHeight="1">
      <c r="A23" t="inlineStr">
        <is>
          <t>A 7366-2023</t>
        </is>
      </c>
      <c r="B23" s="1" t="n">
        <v>44966</v>
      </c>
      <c r="C23" s="1" t="n">
        <v>45204</v>
      </c>
      <c r="D23" t="inlineStr">
        <is>
          <t>UPPSALA LÄN</t>
        </is>
      </c>
      <c r="E23" t="inlineStr">
        <is>
          <t>TIERP</t>
        </is>
      </c>
      <c r="G23" t="n">
        <v>10.3</v>
      </c>
      <c r="H23" t="n">
        <v>2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Revlummer</t>
        </is>
      </c>
      <c r="S23">
        <f>HYPERLINK("https://klasma.github.io/Logging_TIERP/artfynd/A 7366-2023.xlsx", "A 7366-2023")</f>
        <v/>
      </c>
      <c r="T23">
        <f>HYPERLINK("https://klasma.github.io/Logging_TIERP/kartor/A 7366-2023.png", "A 7366-2023")</f>
        <v/>
      </c>
      <c r="U23">
        <f>HYPERLINK("https://klasma.github.io/Logging_TIERP/knärot/A 7366-2023.png", "A 7366-2023")</f>
        <v/>
      </c>
      <c r="V23">
        <f>HYPERLINK("https://klasma.github.io/Logging_TIERP/klagomål/A 7366-2023.docx", "A 7366-2023")</f>
        <v/>
      </c>
      <c r="W23">
        <f>HYPERLINK("https://klasma.github.io/Logging_TIERP/klagomålsmail/A 7366-2023.docx", "A 7366-2023")</f>
        <v/>
      </c>
      <c r="X23">
        <f>HYPERLINK("https://klasma.github.io/Logging_TIERP/tillsyn/A 7366-2023.docx", "A 7366-2023")</f>
        <v/>
      </c>
      <c r="Y23">
        <f>HYPERLINK("https://klasma.github.io/Logging_TIERP/tillsynsmail/A 7366-2023.docx", "A 7366-2023")</f>
        <v/>
      </c>
    </row>
    <row r="24" ht="15" customHeight="1">
      <c r="A24" t="inlineStr">
        <is>
          <t>A 7125-2023</t>
        </is>
      </c>
      <c r="B24" s="1" t="n">
        <v>44970</v>
      </c>
      <c r="C24" s="1" t="n">
        <v>45204</v>
      </c>
      <c r="D24" t="inlineStr">
        <is>
          <t>UPPSALA LÄN</t>
        </is>
      </c>
      <c r="E24" t="inlineStr">
        <is>
          <t>TIERP</t>
        </is>
      </c>
      <c r="F24" t="inlineStr">
        <is>
          <t>Bergvik skog öst AB</t>
        </is>
      </c>
      <c r="G24" t="n">
        <v>23.2</v>
      </c>
      <c r="H24" t="n">
        <v>3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Knärot
Blåsippa
Revlummer</t>
        </is>
      </c>
      <c r="S24">
        <f>HYPERLINK("https://klasma.github.io/Logging_TIERP/artfynd/A 7125-2023.xlsx", "A 7125-2023")</f>
        <v/>
      </c>
      <c r="T24">
        <f>HYPERLINK("https://klasma.github.io/Logging_TIERP/kartor/A 7125-2023.png", "A 7125-2023")</f>
        <v/>
      </c>
      <c r="U24">
        <f>HYPERLINK("https://klasma.github.io/Logging_TIERP/knärot/A 7125-2023.png", "A 7125-2023")</f>
        <v/>
      </c>
      <c r="V24">
        <f>HYPERLINK("https://klasma.github.io/Logging_TIERP/klagomål/A 7125-2023.docx", "A 7125-2023")</f>
        <v/>
      </c>
      <c r="W24">
        <f>HYPERLINK("https://klasma.github.io/Logging_TIERP/klagomålsmail/A 7125-2023.docx", "A 7125-2023")</f>
        <v/>
      </c>
      <c r="X24">
        <f>HYPERLINK("https://klasma.github.io/Logging_TIERP/tillsyn/A 7125-2023.docx", "A 7125-2023")</f>
        <v/>
      </c>
      <c r="Y24">
        <f>HYPERLINK("https://klasma.github.io/Logging_TIERP/tillsynsmail/A 7125-2023.docx", "A 7125-2023")</f>
        <v/>
      </c>
    </row>
    <row r="25" ht="15" customHeight="1">
      <c r="A25" t="inlineStr">
        <is>
          <t>A 5208-2019</t>
        </is>
      </c>
      <c r="B25" s="1" t="n">
        <v>43488</v>
      </c>
      <c r="C25" s="1" t="n">
        <v>45204</v>
      </c>
      <c r="D25" t="inlineStr">
        <is>
          <t>UPPSALA LÄN</t>
        </is>
      </c>
      <c r="E25" t="inlineStr">
        <is>
          <t>TIERP</t>
        </is>
      </c>
      <c r="G25" t="n">
        <v>55.1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Reliktbock</t>
        </is>
      </c>
      <c r="S25">
        <f>HYPERLINK("https://klasma.github.io/Logging_TIERP/artfynd/A 5208-2019.xlsx", "A 5208-2019")</f>
        <v/>
      </c>
      <c r="T25">
        <f>HYPERLINK("https://klasma.github.io/Logging_TIERP/kartor/A 5208-2019.png", "A 5208-2019")</f>
        <v/>
      </c>
      <c r="V25">
        <f>HYPERLINK("https://klasma.github.io/Logging_TIERP/klagomål/A 5208-2019.docx", "A 5208-2019")</f>
        <v/>
      </c>
      <c r="W25">
        <f>HYPERLINK("https://klasma.github.io/Logging_TIERP/klagomålsmail/A 5208-2019.docx", "A 5208-2019")</f>
        <v/>
      </c>
      <c r="X25">
        <f>HYPERLINK("https://klasma.github.io/Logging_TIERP/tillsyn/A 5208-2019.docx", "A 5208-2019")</f>
        <v/>
      </c>
      <c r="Y25">
        <f>HYPERLINK("https://klasma.github.io/Logging_TIERP/tillsynsmail/A 5208-2019.docx", "A 5208-2019")</f>
        <v/>
      </c>
    </row>
    <row r="26" ht="15" customHeight="1">
      <c r="A26" t="inlineStr">
        <is>
          <t>A 16676-2019</t>
        </is>
      </c>
      <c r="B26" s="1" t="n">
        <v>43549</v>
      </c>
      <c r="C26" s="1" t="n">
        <v>45204</v>
      </c>
      <c r="D26" t="inlineStr">
        <is>
          <t>UPPSALA LÄN</t>
        </is>
      </c>
      <c r="E26" t="inlineStr">
        <is>
          <t>TIERP</t>
        </is>
      </c>
      <c r="G26" t="n">
        <v>22.9</v>
      </c>
      <c r="H26" t="n">
        <v>2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Entita
Rödvingetrast</t>
        </is>
      </c>
      <c r="S26">
        <f>HYPERLINK("https://klasma.github.io/Logging_TIERP/artfynd/A 16676-2019.xlsx", "A 16676-2019")</f>
        <v/>
      </c>
      <c r="T26">
        <f>HYPERLINK("https://klasma.github.io/Logging_TIERP/kartor/A 16676-2019.png", "A 16676-2019")</f>
        <v/>
      </c>
      <c r="V26">
        <f>HYPERLINK("https://klasma.github.io/Logging_TIERP/klagomål/A 16676-2019.docx", "A 16676-2019")</f>
        <v/>
      </c>
      <c r="W26">
        <f>HYPERLINK("https://klasma.github.io/Logging_TIERP/klagomålsmail/A 16676-2019.docx", "A 16676-2019")</f>
        <v/>
      </c>
      <c r="X26">
        <f>HYPERLINK("https://klasma.github.io/Logging_TIERP/tillsyn/A 16676-2019.docx", "A 16676-2019")</f>
        <v/>
      </c>
      <c r="Y26">
        <f>HYPERLINK("https://klasma.github.io/Logging_TIERP/tillsynsmail/A 16676-2019.docx", "A 16676-2019")</f>
        <v/>
      </c>
    </row>
    <row r="27" ht="15" customHeight="1">
      <c r="A27" t="inlineStr">
        <is>
          <t>A 35563-2019</t>
        </is>
      </c>
      <c r="B27" s="1" t="n">
        <v>43664</v>
      </c>
      <c r="C27" s="1" t="n">
        <v>45204</v>
      </c>
      <c r="D27" t="inlineStr">
        <is>
          <t>UPPSALA LÄN</t>
        </is>
      </c>
      <c r="E27" t="inlineStr">
        <is>
          <t>TIERP</t>
        </is>
      </c>
      <c r="F27" t="inlineStr">
        <is>
          <t>Bergvik skog öst AB</t>
        </is>
      </c>
      <c r="G27" t="n">
        <v>4.6</v>
      </c>
      <c r="H27" t="n">
        <v>1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Nästrot
Tibast</t>
        </is>
      </c>
      <c r="S27">
        <f>HYPERLINK("https://klasma.github.io/Logging_TIERP/artfynd/A 35563-2019.xlsx", "A 35563-2019")</f>
        <v/>
      </c>
      <c r="T27">
        <f>HYPERLINK("https://klasma.github.io/Logging_TIERP/kartor/A 35563-2019.png", "A 35563-2019")</f>
        <v/>
      </c>
      <c r="V27">
        <f>HYPERLINK("https://klasma.github.io/Logging_TIERP/klagomål/A 35563-2019.docx", "A 35563-2019")</f>
        <v/>
      </c>
      <c r="W27">
        <f>HYPERLINK("https://klasma.github.io/Logging_TIERP/klagomålsmail/A 35563-2019.docx", "A 35563-2019")</f>
        <v/>
      </c>
      <c r="X27">
        <f>HYPERLINK("https://klasma.github.io/Logging_TIERP/tillsyn/A 35563-2019.docx", "A 35563-2019")</f>
        <v/>
      </c>
      <c r="Y27">
        <f>HYPERLINK("https://klasma.github.io/Logging_TIERP/tillsynsmail/A 35563-2019.docx", "A 35563-2019")</f>
        <v/>
      </c>
    </row>
    <row r="28" ht="15" customHeight="1">
      <c r="A28" t="inlineStr">
        <is>
          <t>A 60083-2019</t>
        </is>
      </c>
      <c r="B28" s="1" t="n">
        <v>43777</v>
      </c>
      <c r="C28" s="1" t="n">
        <v>45204</v>
      </c>
      <c r="D28" t="inlineStr">
        <is>
          <t>UPPSALA LÄN</t>
        </is>
      </c>
      <c r="E28" t="inlineStr">
        <is>
          <t>TIERP</t>
        </is>
      </c>
      <c r="G28" t="n">
        <v>2.7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Granbarkgnagare
Skarp dropptaggsvamp</t>
        </is>
      </c>
      <c r="S28">
        <f>HYPERLINK("https://klasma.github.io/Logging_TIERP/artfynd/A 60083-2019.xlsx", "A 60083-2019")</f>
        <v/>
      </c>
      <c r="T28">
        <f>HYPERLINK("https://klasma.github.io/Logging_TIERP/kartor/A 60083-2019.png", "A 60083-2019")</f>
        <v/>
      </c>
      <c r="V28">
        <f>HYPERLINK("https://klasma.github.io/Logging_TIERP/klagomål/A 60083-2019.docx", "A 60083-2019")</f>
        <v/>
      </c>
      <c r="W28">
        <f>HYPERLINK("https://klasma.github.io/Logging_TIERP/klagomålsmail/A 60083-2019.docx", "A 60083-2019")</f>
        <v/>
      </c>
      <c r="X28">
        <f>HYPERLINK("https://klasma.github.io/Logging_TIERP/tillsyn/A 60083-2019.docx", "A 60083-2019")</f>
        <v/>
      </c>
      <c r="Y28">
        <f>HYPERLINK("https://klasma.github.io/Logging_TIERP/tillsynsmail/A 60083-2019.docx", "A 60083-2019")</f>
        <v/>
      </c>
    </row>
    <row r="29" ht="15" customHeight="1">
      <c r="A29" t="inlineStr">
        <is>
          <t>A 53324-2021</t>
        </is>
      </c>
      <c r="B29" s="1" t="n">
        <v>44468</v>
      </c>
      <c r="C29" s="1" t="n">
        <v>45204</v>
      </c>
      <c r="D29" t="inlineStr">
        <is>
          <t>UPPSALA LÄN</t>
        </is>
      </c>
      <c r="E29" t="inlineStr">
        <is>
          <t>TIERP</t>
        </is>
      </c>
      <c r="G29" t="n">
        <v>0.8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Granticka
Stor aspticka</t>
        </is>
      </c>
      <c r="S29">
        <f>HYPERLINK("https://klasma.github.io/Logging_TIERP/artfynd/A 53324-2021.xlsx", "A 53324-2021")</f>
        <v/>
      </c>
      <c r="T29">
        <f>HYPERLINK("https://klasma.github.io/Logging_TIERP/kartor/A 53324-2021.png", "A 53324-2021")</f>
        <v/>
      </c>
      <c r="V29">
        <f>HYPERLINK("https://klasma.github.io/Logging_TIERP/klagomål/A 53324-2021.docx", "A 53324-2021")</f>
        <v/>
      </c>
      <c r="W29">
        <f>HYPERLINK("https://klasma.github.io/Logging_TIERP/klagomålsmail/A 53324-2021.docx", "A 53324-2021")</f>
        <v/>
      </c>
      <c r="X29">
        <f>HYPERLINK("https://klasma.github.io/Logging_TIERP/tillsyn/A 53324-2021.docx", "A 53324-2021")</f>
        <v/>
      </c>
      <c r="Y29">
        <f>HYPERLINK("https://klasma.github.io/Logging_TIERP/tillsynsmail/A 53324-2021.docx", "A 53324-2021")</f>
        <v/>
      </c>
    </row>
    <row r="30" ht="15" customHeight="1">
      <c r="A30" t="inlineStr">
        <is>
          <t>A 12186-2022</t>
        </is>
      </c>
      <c r="B30" s="1" t="n">
        <v>44636</v>
      </c>
      <c r="C30" s="1" t="n">
        <v>45204</v>
      </c>
      <c r="D30" t="inlineStr">
        <is>
          <t>UPPSALA LÄN</t>
        </is>
      </c>
      <c r="E30" t="inlineStr">
        <is>
          <t>TIERP</t>
        </is>
      </c>
      <c r="G30" t="n">
        <v>8.1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Flattoppad klubbsvamp
Äggspindling</t>
        </is>
      </c>
      <c r="S30">
        <f>HYPERLINK("https://klasma.github.io/Logging_TIERP/artfynd/A 12186-2022.xlsx", "A 12186-2022")</f>
        <v/>
      </c>
      <c r="T30">
        <f>HYPERLINK("https://klasma.github.io/Logging_TIERP/kartor/A 12186-2022.png", "A 12186-2022")</f>
        <v/>
      </c>
      <c r="V30">
        <f>HYPERLINK("https://klasma.github.io/Logging_TIERP/klagomål/A 12186-2022.docx", "A 12186-2022")</f>
        <v/>
      </c>
      <c r="W30">
        <f>HYPERLINK("https://klasma.github.io/Logging_TIERP/klagomålsmail/A 12186-2022.docx", "A 12186-2022")</f>
        <v/>
      </c>
      <c r="X30">
        <f>HYPERLINK("https://klasma.github.io/Logging_TIERP/tillsyn/A 12186-2022.docx", "A 12186-2022")</f>
        <v/>
      </c>
      <c r="Y30">
        <f>HYPERLINK("https://klasma.github.io/Logging_TIERP/tillsynsmail/A 12186-2022.docx", "A 12186-2022")</f>
        <v/>
      </c>
    </row>
    <row r="31" ht="15" customHeight="1">
      <c r="A31" t="inlineStr">
        <is>
          <t>A 14093-2022</t>
        </is>
      </c>
      <c r="B31" s="1" t="n">
        <v>44651</v>
      </c>
      <c r="C31" s="1" t="n">
        <v>45204</v>
      </c>
      <c r="D31" t="inlineStr">
        <is>
          <t>UPPSALA LÄN</t>
        </is>
      </c>
      <c r="E31" t="inlineStr">
        <is>
          <t>TIERP</t>
        </is>
      </c>
      <c r="F31" t="inlineStr">
        <is>
          <t>Bergvik skog öst AB</t>
        </is>
      </c>
      <c r="G31" t="n">
        <v>3.9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Björksplintborre
Jättesvampmal</t>
        </is>
      </c>
      <c r="S31">
        <f>HYPERLINK("https://klasma.github.io/Logging_TIERP/artfynd/A 14093-2022.xlsx", "A 14093-2022")</f>
        <v/>
      </c>
      <c r="T31">
        <f>HYPERLINK("https://klasma.github.io/Logging_TIERP/kartor/A 14093-2022.png", "A 14093-2022")</f>
        <v/>
      </c>
      <c r="V31">
        <f>HYPERLINK("https://klasma.github.io/Logging_TIERP/klagomål/A 14093-2022.docx", "A 14093-2022")</f>
        <v/>
      </c>
      <c r="W31">
        <f>HYPERLINK("https://klasma.github.io/Logging_TIERP/klagomålsmail/A 14093-2022.docx", "A 14093-2022")</f>
        <v/>
      </c>
      <c r="X31">
        <f>HYPERLINK("https://klasma.github.io/Logging_TIERP/tillsyn/A 14093-2022.docx", "A 14093-2022")</f>
        <v/>
      </c>
      <c r="Y31">
        <f>HYPERLINK("https://klasma.github.io/Logging_TIERP/tillsynsmail/A 14093-2022.docx", "A 14093-2022")</f>
        <v/>
      </c>
    </row>
    <row r="32" ht="15" customHeight="1">
      <c r="A32" t="inlineStr">
        <is>
          <t>A 45851-2022</t>
        </is>
      </c>
      <c r="B32" s="1" t="n">
        <v>44846</v>
      </c>
      <c r="C32" s="1" t="n">
        <v>45204</v>
      </c>
      <c r="D32" t="inlineStr">
        <is>
          <t>UPPSALA LÄN</t>
        </is>
      </c>
      <c r="E32" t="inlineStr">
        <is>
          <t>TIERP</t>
        </is>
      </c>
      <c r="G32" t="n">
        <v>2.6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Olivspindling
Rödgul trumpetsvamp</t>
        </is>
      </c>
      <c r="S32">
        <f>HYPERLINK("https://klasma.github.io/Logging_TIERP/artfynd/A 45851-2022.xlsx", "A 45851-2022")</f>
        <v/>
      </c>
      <c r="T32">
        <f>HYPERLINK("https://klasma.github.io/Logging_TIERP/kartor/A 45851-2022.png", "A 45851-2022")</f>
        <v/>
      </c>
      <c r="V32">
        <f>HYPERLINK("https://klasma.github.io/Logging_TIERP/klagomål/A 45851-2022.docx", "A 45851-2022")</f>
        <v/>
      </c>
      <c r="W32">
        <f>HYPERLINK("https://klasma.github.io/Logging_TIERP/klagomålsmail/A 45851-2022.docx", "A 45851-2022")</f>
        <v/>
      </c>
      <c r="X32">
        <f>HYPERLINK("https://klasma.github.io/Logging_TIERP/tillsyn/A 45851-2022.docx", "A 45851-2022")</f>
        <v/>
      </c>
      <c r="Y32">
        <f>HYPERLINK("https://klasma.github.io/Logging_TIERP/tillsynsmail/A 45851-2022.docx", "A 45851-2022")</f>
        <v/>
      </c>
    </row>
    <row r="33" ht="15" customHeight="1">
      <c r="A33" t="inlineStr">
        <is>
          <t>A 56531-2022</t>
        </is>
      </c>
      <c r="B33" s="1" t="n">
        <v>44887</v>
      </c>
      <c r="C33" s="1" t="n">
        <v>45204</v>
      </c>
      <c r="D33" t="inlineStr">
        <is>
          <t>UPPSALA LÄN</t>
        </is>
      </c>
      <c r="E33" t="inlineStr">
        <is>
          <t>TIERP</t>
        </is>
      </c>
      <c r="F33" t="inlineStr">
        <is>
          <t>Bergvik skog väst AB</t>
        </is>
      </c>
      <c r="G33" t="n">
        <v>14.2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Spillkråka
Talltita</t>
        </is>
      </c>
      <c r="S33">
        <f>HYPERLINK("https://klasma.github.io/Logging_TIERP/artfynd/A 56531-2022.xlsx", "A 56531-2022")</f>
        <v/>
      </c>
      <c r="T33">
        <f>HYPERLINK("https://klasma.github.io/Logging_TIERP/kartor/A 56531-2022.png", "A 56531-2022")</f>
        <v/>
      </c>
      <c r="V33">
        <f>HYPERLINK("https://klasma.github.io/Logging_TIERP/klagomål/A 56531-2022.docx", "A 56531-2022")</f>
        <v/>
      </c>
      <c r="W33">
        <f>HYPERLINK("https://klasma.github.io/Logging_TIERP/klagomålsmail/A 56531-2022.docx", "A 56531-2022")</f>
        <v/>
      </c>
      <c r="X33">
        <f>HYPERLINK("https://klasma.github.io/Logging_TIERP/tillsyn/A 56531-2022.docx", "A 56531-2022")</f>
        <v/>
      </c>
      <c r="Y33">
        <f>HYPERLINK("https://klasma.github.io/Logging_TIERP/tillsynsmail/A 56531-2022.docx", "A 56531-2022")</f>
        <v/>
      </c>
    </row>
    <row r="34" ht="15" customHeight="1">
      <c r="A34" t="inlineStr">
        <is>
          <t>A 3510-2023</t>
        </is>
      </c>
      <c r="B34" s="1" t="n">
        <v>44950</v>
      </c>
      <c r="C34" s="1" t="n">
        <v>45204</v>
      </c>
      <c r="D34" t="inlineStr">
        <is>
          <t>UPPSALA LÄN</t>
        </is>
      </c>
      <c r="E34" t="inlineStr">
        <is>
          <t>TIERP</t>
        </is>
      </c>
      <c r="F34" t="inlineStr">
        <is>
          <t>Bergvik skog öst AB</t>
        </is>
      </c>
      <c r="G34" t="n">
        <v>2.4</v>
      </c>
      <c r="H34" t="n">
        <v>2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Blåsippa
Revlummer</t>
        </is>
      </c>
      <c r="S34">
        <f>HYPERLINK("https://klasma.github.io/Logging_TIERP/artfynd/A 3510-2023.xlsx", "A 3510-2023")</f>
        <v/>
      </c>
      <c r="T34">
        <f>HYPERLINK("https://klasma.github.io/Logging_TIERP/kartor/A 3510-2023.png", "A 3510-2023")</f>
        <v/>
      </c>
      <c r="V34">
        <f>HYPERLINK("https://klasma.github.io/Logging_TIERP/klagomål/A 3510-2023.docx", "A 3510-2023")</f>
        <v/>
      </c>
      <c r="W34">
        <f>HYPERLINK("https://klasma.github.io/Logging_TIERP/klagomålsmail/A 3510-2023.docx", "A 3510-2023")</f>
        <v/>
      </c>
      <c r="X34">
        <f>HYPERLINK("https://klasma.github.io/Logging_TIERP/tillsyn/A 3510-2023.docx", "A 3510-2023")</f>
        <v/>
      </c>
      <c r="Y34">
        <f>HYPERLINK("https://klasma.github.io/Logging_TIERP/tillsynsmail/A 3510-2023.docx", "A 3510-2023")</f>
        <v/>
      </c>
    </row>
    <row r="35" ht="15" customHeight="1">
      <c r="A35" t="inlineStr">
        <is>
          <t>A 4544-2023</t>
        </is>
      </c>
      <c r="B35" s="1" t="n">
        <v>44956</v>
      </c>
      <c r="C35" s="1" t="n">
        <v>45204</v>
      </c>
      <c r="D35" t="inlineStr">
        <is>
          <t>UPPSALA LÄN</t>
        </is>
      </c>
      <c r="E35" t="inlineStr">
        <is>
          <t>TIERP</t>
        </is>
      </c>
      <c r="F35" t="inlineStr">
        <is>
          <t>Bergvik skog öst AB</t>
        </is>
      </c>
      <c r="G35" t="n">
        <v>11.5</v>
      </c>
      <c r="H35" t="n">
        <v>2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Blåsippa
Lopplummer</t>
        </is>
      </c>
      <c r="S35">
        <f>HYPERLINK("https://klasma.github.io/Logging_TIERP/artfynd/A 4544-2023.xlsx", "A 4544-2023")</f>
        <v/>
      </c>
      <c r="T35">
        <f>HYPERLINK("https://klasma.github.io/Logging_TIERP/kartor/A 4544-2023.png", "A 4544-2023")</f>
        <v/>
      </c>
      <c r="V35">
        <f>HYPERLINK("https://klasma.github.io/Logging_TIERP/klagomål/A 4544-2023.docx", "A 4544-2023")</f>
        <v/>
      </c>
      <c r="W35">
        <f>HYPERLINK("https://klasma.github.io/Logging_TIERP/klagomålsmail/A 4544-2023.docx", "A 4544-2023")</f>
        <v/>
      </c>
      <c r="X35">
        <f>HYPERLINK("https://klasma.github.io/Logging_TIERP/tillsyn/A 4544-2023.docx", "A 4544-2023")</f>
        <v/>
      </c>
      <c r="Y35">
        <f>HYPERLINK("https://klasma.github.io/Logging_TIERP/tillsynsmail/A 4544-2023.docx", "A 4544-2023")</f>
        <v/>
      </c>
    </row>
    <row r="36" ht="15" customHeight="1">
      <c r="A36" t="inlineStr">
        <is>
          <t>A 24680-2023</t>
        </is>
      </c>
      <c r="B36" s="1" t="n">
        <v>45084</v>
      </c>
      <c r="C36" s="1" t="n">
        <v>45204</v>
      </c>
      <c r="D36" t="inlineStr">
        <is>
          <t>UPPSALA LÄN</t>
        </is>
      </c>
      <c r="E36" t="inlineStr">
        <is>
          <t>TIERP</t>
        </is>
      </c>
      <c r="G36" t="n">
        <v>7.6</v>
      </c>
      <c r="H36" t="n">
        <v>0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Gul lammticka
Gultoppig fingersvamp</t>
        </is>
      </c>
      <c r="S36">
        <f>HYPERLINK("https://klasma.github.io/Logging_TIERP/artfynd/A 24680-2023.xlsx", "A 24680-2023")</f>
        <v/>
      </c>
      <c r="T36">
        <f>HYPERLINK("https://klasma.github.io/Logging_TIERP/kartor/A 24680-2023.png", "A 24680-2023")</f>
        <v/>
      </c>
      <c r="V36">
        <f>HYPERLINK("https://klasma.github.io/Logging_TIERP/klagomål/A 24680-2023.docx", "A 24680-2023")</f>
        <v/>
      </c>
      <c r="W36">
        <f>HYPERLINK("https://klasma.github.io/Logging_TIERP/klagomålsmail/A 24680-2023.docx", "A 24680-2023")</f>
        <v/>
      </c>
      <c r="X36">
        <f>HYPERLINK("https://klasma.github.io/Logging_TIERP/tillsyn/A 24680-2023.docx", "A 24680-2023")</f>
        <v/>
      </c>
      <c r="Y36">
        <f>HYPERLINK("https://klasma.github.io/Logging_TIERP/tillsynsmail/A 24680-2023.docx", "A 24680-2023")</f>
        <v/>
      </c>
    </row>
    <row r="37" ht="15" customHeight="1">
      <c r="A37" t="inlineStr">
        <is>
          <t>A 29226-2023</t>
        </is>
      </c>
      <c r="B37" s="1" t="n">
        <v>45105</v>
      </c>
      <c r="C37" s="1" t="n">
        <v>45204</v>
      </c>
      <c r="D37" t="inlineStr">
        <is>
          <t>UPPSALA LÄN</t>
        </is>
      </c>
      <c r="E37" t="inlineStr">
        <is>
          <t>TIERP</t>
        </is>
      </c>
      <c r="F37" t="inlineStr">
        <is>
          <t>Bergvik skog öst AB</t>
        </is>
      </c>
      <c r="G37" t="n">
        <v>4.1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Bronshjon
Blåsippa</t>
        </is>
      </c>
      <c r="S37">
        <f>HYPERLINK("https://klasma.github.io/Logging_TIERP/artfynd/A 29226-2023.xlsx", "A 29226-2023")</f>
        <v/>
      </c>
      <c r="T37">
        <f>HYPERLINK("https://klasma.github.io/Logging_TIERP/kartor/A 29226-2023.png", "A 29226-2023")</f>
        <v/>
      </c>
      <c r="V37">
        <f>HYPERLINK("https://klasma.github.io/Logging_TIERP/klagomål/A 29226-2023.docx", "A 29226-2023")</f>
        <v/>
      </c>
      <c r="W37">
        <f>HYPERLINK("https://klasma.github.io/Logging_TIERP/klagomålsmail/A 29226-2023.docx", "A 29226-2023")</f>
        <v/>
      </c>
      <c r="X37">
        <f>HYPERLINK("https://klasma.github.io/Logging_TIERP/tillsyn/A 29226-2023.docx", "A 29226-2023")</f>
        <v/>
      </c>
      <c r="Y37">
        <f>HYPERLINK("https://klasma.github.io/Logging_TIERP/tillsynsmail/A 29226-2023.docx", "A 29226-2023")</f>
        <v/>
      </c>
    </row>
    <row r="38" ht="15" customHeight="1">
      <c r="A38" t="inlineStr">
        <is>
          <t>A 57136-2018</t>
        </is>
      </c>
      <c r="B38" s="1" t="n">
        <v>43403</v>
      </c>
      <c r="C38" s="1" t="n">
        <v>45204</v>
      </c>
      <c r="D38" t="inlineStr">
        <is>
          <t>UPPSALA LÄN</t>
        </is>
      </c>
      <c r="E38" t="inlineStr">
        <is>
          <t>TIERP</t>
        </is>
      </c>
      <c r="G38" t="n">
        <v>6.2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Slaguggla</t>
        </is>
      </c>
      <c r="S38">
        <f>HYPERLINK("https://klasma.github.io/Logging_TIERP/artfynd/A 57136-2018.xlsx", "A 57136-2018")</f>
        <v/>
      </c>
      <c r="T38">
        <f>HYPERLINK("https://klasma.github.io/Logging_TIERP/kartor/A 57136-2018.png", "A 57136-2018")</f>
        <v/>
      </c>
      <c r="V38">
        <f>HYPERLINK("https://klasma.github.io/Logging_TIERP/klagomål/A 57136-2018.docx", "A 57136-2018")</f>
        <v/>
      </c>
      <c r="W38">
        <f>HYPERLINK("https://klasma.github.io/Logging_TIERP/klagomålsmail/A 57136-2018.docx", "A 57136-2018")</f>
        <v/>
      </c>
      <c r="X38">
        <f>HYPERLINK("https://klasma.github.io/Logging_TIERP/tillsyn/A 57136-2018.docx", "A 57136-2018")</f>
        <v/>
      </c>
      <c r="Y38">
        <f>HYPERLINK("https://klasma.github.io/Logging_TIERP/tillsynsmail/A 57136-2018.docx", "A 57136-2018")</f>
        <v/>
      </c>
    </row>
    <row r="39" ht="15" customHeight="1">
      <c r="A39" t="inlineStr">
        <is>
          <t>A 5014-2019</t>
        </is>
      </c>
      <c r="B39" s="1" t="n">
        <v>43486</v>
      </c>
      <c r="C39" s="1" t="n">
        <v>45204</v>
      </c>
      <c r="D39" t="inlineStr">
        <is>
          <t>UPPSALA LÄN</t>
        </is>
      </c>
      <c r="E39" t="inlineStr">
        <is>
          <t>TIERP</t>
        </is>
      </c>
      <c r="G39" t="n">
        <v>71.5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Jättesvampmal</t>
        </is>
      </c>
      <c r="S39">
        <f>HYPERLINK("https://klasma.github.io/Logging_TIERP/artfynd/A 5014-2019.xlsx", "A 5014-2019")</f>
        <v/>
      </c>
      <c r="T39">
        <f>HYPERLINK("https://klasma.github.io/Logging_TIERP/kartor/A 5014-2019.png", "A 5014-2019")</f>
        <v/>
      </c>
      <c r="V39">
        <f>HYPERLINK("https://klasma.github.io/Logging_TIERP/klagomål/A 5014-2019.docx", "A 5014-2019")</f>
        <v/>
      </c>
      <c r="W39">
        <f>HYPERLINK("https://klasma.github.io/Logging_TIERP/klagomålsmail/A 5014-2019.docx", "A 5014-2019")</f>
        <v/>
      </c>
      <c r="X39">
        <f>HYPERLINK("https://klasma.github.io/Logging_TIERP/tillsyn/A 5014-2019.docx", "A 5014-2019")</f>
        <v/>
      </c>
      <c r="Y39">
        <f>HYPERLINK("https://klasma.github.io/Logging_TIERP/tillsynsmail/A 5014-2019.docx", "A 5014-2019")</f>
        <v/>
      </c>
    </row>
    <row r="40" ht="15" customHeight="1">
      <c r="A40" t="inlineStr">
        <is>
          <t>A 30583-2019</t>
        </is>
      </c>
      <c r="B40" s="1" t="n">
        <v>43635</v>
      </c>
      <c r="C40" s="1" t="n">
        <v>45204</v>
      </c>
      <c r="D40" t="inlineStr">
        <is>
          <t>UPPSALA LÄN</t>
        </is>
      </c>
      <c r="E40" t="inlineStr">
        <is>
          <t>TIERP</t>
        </is>
      </c>
      <c r="G40" t="n">
        <v>1.9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Guckusko</t>
        </is>
      </c>
      <c r="S40">
        <f>HYPERLINK("https://klasma.github.io/Logging_TIERP/artfynd/A 30583-2019.xlsx", "A 30583-2019")</f>
        <v/>
      </c>
      <c r="T40">
        <f>HYPERLINK("https://klasma.github.io/Logging_TIERP/kartor/A 30583-2019.png", "A 30583-2019")</f>
        <v/>
      </c>
      <c r="V40">
        <f>HYPERLINK("https://klasma.github.io/Logging_TIERP/klagomål/A 30583-2019.docx", "A 30583-2019")</f>
        <v/>
      </c>
      <c r="W40">
        <f>HYPERLINK("https://klasma.github.io/Logging_TIERP/klagomålsmail/A 30583-2019.docx", "A 30583-2019")</f>
        <v/>
      </c>
      <c r="X40">
        <f>HYPERLINK("https://klasma.github.io/Logging_TIERP/tillsyn/A 30583-2019.docx", "A 30583-2019")</f>
        <v/>
      </c>
      <c r="Y40">
        <f>HYPERLINK("https://klasma.github.io/Logging_TIERP/tillsynsmail/A 30583-2019.docx", "A 30583-2019")</f>
        <v/>
      </c>
    </row>
    <row r="41" ht="15" customHeight="1">
      <c r="A41" t="inlineStr">
        <is>
          <t>A 33753-2019</t>
        </is>
      </c>
      <c r="B41" s="1" t="n">
        <v>43651</v>
      </c>
      <c r="C41" s="1" t="n">
        <v>45204</v>
      </c>
      <c r="D41" t="inlineStr">
        <is>
          <t>UPPSALA LÄN</t>
        </is>
      </c>
      <c r="E41" t="inlineStr">
        <is>
          <t>TIERP</t>
        </is>
      </c>
      <c r="F41" t="inlineStr">
        <is>
          <t>Bergvik skog öst AB</t>
        </is>
      </c>
      <c r="G41" t="n">
        <v>1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HYPERLINK("https://klasma.github.io/Logging_TIERP/artfynd/A 33753-2019.xlsx", "A 33753-2019")</f>
        <v/>
      </c>
      <c r="T41">
        <f>HYPERLINK("https://klasma.github.io/Logging_TIERP/kartor/A 33753-2019.png", "A 33753-2019")</f>
        <v/>
      </c>
      <c r="V41">
        <f>HYPERLINK("https://klasma.github.io/Logging_TIERP/klagomål/A 33753-2019.docx", "A 33753-2019")</f>
        <v/>
      </c>
      <c r="W41">
        <f>HYPERLINK("https://klasma.github.io/Logging_TIERP/klagomålsmail/A 33753-2019.docx", "A 33753-2019")</f>
        <v/>
      </c>
      <c r="X41">
        <f>HYPERLINK("https://klasma.github.io/Logging_TIERP/tillsyn/A 33753-2019.docx", "A 33753-2019")</f>
        <v/>
      </c>
      <c r="Y41">
        <f>HYPERLINK("https://klasma.github.io/Logging_TIERP/tillsynsmail/A 33753-2019.docx", "A 33753-2019")</f>
        <v/>
      </c>
    </row>
    <row r="42" ht="15" customHeight="1">
      <c r="A42" t="inlineStr">
        <is>
          <t>A 2391-2020</t>
        </is>
      </c>
      <c r="B42" s="1" t="n">
        <v>43847</v>
      </c>
      <c r="C42" s="1" t="n">
        <v>45204</v>
      </c>
      <c r="D42" t="inlineStr">
        <is>
          <t>UPPSALA LÄN</t>
        </is>
      </c>
      <c r="E42" t="inlineStr">
        <is>
          <t>TIERP</t>
        </is>
      </c>
      <c r="G42" t="n">
        <v>1.7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Äggspindling</t>
        </is>
      </c>
      <c r="S42">
        <f>HYPERLINK("https://klasma.github.io/Logging_TIERP/artfynd/A 2391-2020.xlsx", "A 2391-2020")</f>
        <v/>
      </c>
      <c r="T42">
        <f>HYPERLINK("https://klasma.github.io/Logging_TIERP/kartor/A 2391-2020.png", "A 2391-2020")</f>
        <v/>
      </c>
      <c r="V42">
        <f>HYPERLINK("https://klasma.github.io/Logging_TIERP/klagomål/A 2391-2020.docx", "A 2391-2020")</f>
        <v/>
      </c>
      <c r="W42">
        <f>HYPERLINK("https://klasma.github.io/Logging_TIERP/klagomålsmail/A 2391-2020.docx", "A 2391-2020")</f>
        <v/>
      </c>
      <c r="X42">
        <f>HYPERLINK("https://klasma.github.io/Logging_TIERP/tillsyn/A 2391-2020.docx", "A 2391-2020")</f>
        <v/>
      </c>
      <c r="Y42">
        <f>HYPERLINK("https://klasma.github.io/Logging_TIERP/tillsynsmail/A 2391-2020.docx", "A 2391-2020")</f>
        <v/>
      </c>
    </row>
    <row r="43" ht="15" customHeight="1">
      <c r="A43" t="inlineStr">
        <is>
          <t>A 2835-2020</t>
        </is>
      </c>
      <c r="B43" s="1" t="n">
        <v>43850</v>
      </c>
      <c r="C43" s="1" t="n">
        <v>45204</v>
      </c>
      <c r="D43" t="inlineStr">
        <is>
          <t>UPPSALA LÄN</t>
        </is>
      </c>
      <c r="E43" t="inlineStr">
        <is>
          <t>TIERP</t>
        </is>
      </c>
      <c r="G43" t="n">
        <v>7.6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Kamjordstjärna</t>
        </is>
      </c>
      <c r="S43">
        <f>HYPERLINK("https://klasma.github.io/Logging_TIERP/artfynd/A 2835-2020.xlsx", "A 2835-2020")</f>
        <v/>
      </c>
      <c r="T43">
        <f>HYPERLINK("https://klasma.github.io/Logging_TIERP/kartor/A 2835-2020.png", "A 2835-2020")</f>
        <v/>
      </c>
      <c r="V43">
        <f>HYPERLINK("https://klasma.github.io/Logging_TIERP/klagomål/A 2835-2020.docx", "A 2835-2020")</f>
        <v/>
      </c>
      <c r="W43">
        <f>HYPERLINK("https://klasma.github.io/Logging_TIERP/klagomålsmail/A 2835-2020.docx", "A 2835-2020")</f>
        <v/>
      </c>
      <c r="X43">
        <f>HYPERLINK("https://klasma.github.io/Logging_TIERP/tillsyn/A 2835-2020.docx", "A 2835-2020")</f>
        <v/>
      </c>
      <c r="Y43">
        <f>HYPERLINK("https://klasma.github.io/Logging_TIERP/tillsynsmail/A 2835-2020.docx", "A 2835-2020")</f>
        <v/>
      </c>
    </row>
    <row r="44" ht="15" customHeight="1">
      <c r="A44" t="inlineStr">
        <is>
          <t>A 5316-2020</t>
        </is>
      </c>
      <c r="B44" s="1" t="n">
        <v>43860</v>
      </c>
      <c r="C44" s="1" t="n">
        <v>45204</v>
      </c>
      <c r="D44" t="inlineStr">
        <is>
          <t>UPPSALA LÄN</t>
        </is>
      </c>
      <c r="E44" t="inlineStr">
        <is>
          <t>TIERP</t>
        </is>
      </c>
      <c r="F44" t="inlineStr">
        <is>
          <t>Bergvik skog väst AB</t>
        </is>
      </c>
      <c r="G44" t="n">
        <v>18.2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HYPERLINK("https://klasma.github.io/Logging_TIERP/artfynd/A 5316-2020.xlsx", "A 5316-2020")</f>
        <v/>
      </c>
      <c r="T44">
        <f>HYPERLINK("https://klasma.github.io/Logging_TIERP/kartor/A 5316-2020.png", "A 5316-2020")</f>
        <v/>
      </c>
      <c r="V44">
        <f>HYPERLINK("https://klasma.github.io/Logging_TIERP/klagomål/A 5316-2020.docx", "A 5316-2020")</f>
        <v/>
      </c>
      <c r="W44">
        <f>HYPERLINK("https://klasma.github.io/Logging_TIERP/klagomålsmail/A 5316-2020.docx", "A 5316-2020")</f>
        <v/>
      </c>
      <c r="X44">
        <f>HYPERLINK("https://klasma.github.io/Logging_TIERP/tillsyn/A 5316-2020.docx", "A 5316-2020")</f>
        <v/>
      </c>
      <c r="Y44">
        <f>HYPERLINK("https://klasma.github.io/Logging_TIERP/tillsynsmail/A 5316-2020.docx", "A 5316-2020")</f>
        <v/>
      </c>
    </row>
    <row r="45" ht="15" customHeight="1">
      <c r="A45" t="inlineStr">
        <is>
          <t>A 14008-2020</t>
        </is>
      </c>
      <c r="B45" s="1" t="n">
        <v>43906</v>
      </c>
      <c r="C45" s="1" t="n">
        <v>45204</v>
      </c>
      <c r="D45" t="inlineStr">
        <is>
          <t>UPPSALA LÄN</t>
        </is>
      </c>
      <c r="E45" t="inlineStr">
        <is>
          <t>TIERP</t>
        </is>
      </c>
      <c r="G45" t="n">
        <v>22.3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HYPERLINK("https://klasma.github.io/Logging_TIERP/artfynd/A 14008-2020.xlsx", "A 14008-2020")</f>
        <v/>
      </c>
      <c r="T45">
        <f>HYPERLINK("https://klasma.github.io/Logging_TIERP/kartor/A 14008-2020.png", "A 14008-2020")</f>
        <v/>
      </c>
      <c r="V45">
        <f>HYPERLINK("https://klasma.github.io/Logging_TIERP/klagomål/A 14008-2020.docx", "A 14008-2020")</f>
        <v/>
      </c>
      <c r="W45">
        <f>HYPERLINK("https://klasma.github.io/Logging_TIERP/klagomålsmail/A 14008-2020.docx", "A 14008-2020")</f>
        <v/>
      </c>
      <c r="X45">
        <f>HYPERLINK("https://klasma.github.io/Logging_TIERP/tillsyn/A 14008-2020.docx", "A 14008-2020")</f>
        <v/>
      </c>
      <c r="Y45">
        <f>HYPERLINK("https://klasma.github.io/Logging_TIERP/tillsynsmail/A 14008-2020.docx", "A 14008-2020")</f>
        <v/>
      </c>
    </row>
    <row r="46" ht="15" customHeight="1">
      <c r="A46" t="inlineStr">
        <is>
          <t>A 18773-2020</t>
        </is>
      </c>
      <c r="B46" s="1" t="n">
        <v>43930</v>
      </c>
      <c r="C46" s="1" t="n">
        <v>45204</v>
      </c>
      <c r="D46" t="inlineStr">
        <is>
          <t>UPPSALA LÄN</t>
        </is>
      </c>
      <c r="E46" t="inlineStr">
        <is>
          <t>TIERP</t>
        </is>
      </c>
      <c r="F46" t="inlineStr">
        <is>
          <t>Bergvik skog väst AB</t>
        </is>
      </c>
      <c r="G46" t="n">
        <v>2.4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Skogsknipprot</t>
        </is>
      </c>
      <c r="S46">
        <f>HYPERLINK("https://klasma.github.io/Logging_TIERP/artfynd/A 18773-2020.xlsx", "A 18773-2020")</f>
        <v/>
      </c>
      <c r="T46">
        <f>HYPERLINK("https://klasma.github.io/Logging_TIERP/kartor/A 18773-2020.png", "A 18773-2020")</f>
        <v/>
      </c>
      <c r="V46">
        <f>HYPERLINK("https://klasma.github.io/Logging_TIERP/klagomål/A 18773-2020.docx", "A 18773-2020")</f>
        <v/>
      </c>
      <c r="W46">
        <f>HYPERLINK("https://klasma.github.io/Logging_TIERP/klagomålsmail/A 18773-2020.docx", "A 18773-2020")</f>
        <v/>
      </c>
      <c r="X46">
        <f>HYPERLINK("https://klasma.github.io/Logging_TIERP/tillsyn/A 18773-2020.docx", "A 18773-2020")</f>
        <v/>
      </c>
      <c r="Y46">
        <f>HYPERLINK("https://klasma.github.io/Logging_TIERP/tillsynsmail/A 18773-2020.docx", "A 18773-2020")</f>
        <v/>
      </c>
    </row>
    <row r="47" ht="15" customHeight="1">
      <c r="A47" t="inlineStr">
        <is>
          <t>A 18788-2020</t>
        </is>
      </c>
      <c r="B47" s="1" t="n">
        <v>43931</v>
      </c>
      <c r="C47" s="1" t="n">
        <v>45204</v>
      </c>
      <c r="D47" t="inlineStr">
        <is>
          <t>UPPSALA LÄN</t>
        </is>
      </c>
      <c r="E47" t="inlineStr">
        <is>
          <t>TIERP</t>
        </is>
      </c>
      <c r="F47" t="inlineStr">
        <is>
          <t>Bergvik skog väst AB</t>
        </is>
      </c>
      <c r="G47" t="n">
        <v>2.4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Gullklöver</t>
        </is>
      </c>
      <c r="S47">
        <f>HYPERLINK("https://klasma.github.io/Logging_TIERP/artfynd/A 18788-2020.xlsx", "A 18788-2020")</f>
        <v/>
      </c>
      <c r="T47">
        <f>HYPERLINK("https://klasma.github.io/Logging_TIERP/kartor/A 18788-2020.png", "A 18788-2020")</f>
        <v/>
      </c>
      <c r="V47">
        <f>HYPERLINK("https://klasma.github.io/Logging_TIERP/klagomål/A 18788-2020.docx", "A 18788-2020")</f>
        <v/>
      </c>
      <c r="W47">
        <f>HYPERLINK("https://klasma.github.io/Logging_TIERP/klagomålsmail/A 18788-2020.docx", "A 18788-2020")</f>
        <v/>
      </c>
      <c r="X47">
        <f>HYPERLINK("https://klasma.github.io/Logging_TIERP/tillsyn/A 18788-2020.docx", "A 18788-2020")</f>
        <v/>
      </c>
      <c r="Y47">
        <f>HYPERLINK("https://klasma.github.io/Logging_TIERP/tillsynsmail/A 18788-2020.docx", "A 18788-2020")</f>
        <v/>
      </c>
    </row>
    <row r="48" ht="15" customHeight="1">
      <c r="A48" t="inlineStr">
        <is>
          <t>A 3444-2021</t>
        </is>
      </c>
      <c r="B48" s="1" t="n">
        <v>44218</v>
      </c>
      <c r="C48" s="1" t="n">
        <v>45204</v>
      </c>
      <c r="D48" t="inlineStr">
        <is>
          <t>UPPSALA LÄN</t>
        </is>
      </c>
      <c r="E48" t="inlineStr">
        <is>
          <t>TIERP</t>
        </is>
      </c>
      <c r="G48" t="n">
        <v>5.6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Fyrflikig jordstjärna</t>
        </is>
      </c>
      <c r="S48">
        <f>HYPERLINK("https://klasma.github.io/Logging_TIERP/artfynd/A 3444-2021.xlsx", "A 3444-2021")</f>
        <v/>
      </c>
      <c r="T48">
        <f>HYPERLINK("https://klasma.github.io/Logging_TIERP/kartor/A 3444-2021.png", "A 3444-2021")</f>
        <v/>
      </c>
      <c r="V48">
        <f>HYPERLINK("https://klasma.github.io/Logging_TIERP/klagomål/A 3444-2021.docx", "A 3444-2021")</f>
        <v/>
      </c>
      <c r="W48">
        <f>HYPERLINK("https://klasma.github.io/Logging_TIERP/klagomålsmail/A 3444-2021.docx", "A 3444-2021")</f>
        <v/>
      </c>
      <c r="X48">
        <f>HYPERLINK("https://klasma.github.io/Logging_TIERP/tillsyn/A 3444-2021.docx", "A 3444-2021")</f>
        <v/>
      </c>
      <c r="Y48">
        <f>HYPERLINK("https://klasma.github.io/Logging_TIERP/tillsynsmail/A 3444-2021.docx", "A 3444-2021")</f>
        <v/>
      </c>
    </row>
    <row r="49" ht="15" customHeight="1">
      <c r="A49" t="inlineStr">
        <is>
          <t>A 73320-2021</t>
        </is>
      </c>
      <c r="B49" s="1" t="n">
        <v>44551</v>
      </c>
      <c r="C49" s="1" t="n">
        <v>45204</v>
      </c>
      <c r="D49" t="inlineStr">
        <is>
          <t>UPPSALA LÄN</t>
        </is>
      </c>
      <c r="E49" t="inlineStr">
        <is>
          <t>TIERP</t>
        </is>
      </c>
      <c r="G49" t="n">
        <v>8.699999999999999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Rödgul trumpetsvamp</t>
        </is>
      </c>
      <c r="S49">
        <f>HYPERLINK("https://klasma.github.io/Logging_TIERP/artfynd/A 73320-2021.xlsx", "A 73320-2021")</f>
        <v/>
      </c>
      <c r="T49">
        <f>HYPERLINK("https://klasma.github.io/Logging_TIERP/kartor/A 73320-2021.png", "A 73320-2021")</f>
        <v/>
      </c>
      <c r="V49">
        <f>HYPERLINK("https://klasma.github.io/Logging_TIERP/klagomål/A 73320-2021.docx", "A 73320-2021")</f>
        <v/>
      </c>
      <c r="W49">
        <f>HYPERLINK("https://klasma.github.io/Logging_TIERP/klagomålsmail/A 73320-2021.docx", "A 73320-2021")</f>
        <v/>
      </c>
      <c r="X49">
        <f>HYPERLINK("https://klasma.github.io/Logging_TIERP/tillsyn/A 73320-2021.docx", "A 73320-2021")</f>
        <v/>
      </c>
      <c r="Y49">
        <f>HYPERLINK("https://klasma.github.io/Logging_TIERP/tillsynsmail/A 73320-2021.docx", "A 73320-2021")</f>
        <v/>
      </c>
    </row>
    <row r="50" ht="15" customHeight="1">
      <c r="A50" t="inlineStr">
        <is>
          <t>A 74472-2021</t>
        </is>
      </c>
      <c r="B50" s="1" t="n">
        <v>44560</v>
      </c>
      <c r="C50" s="1" t="n">
        <v>45204</v>
      </c>
      <c r="D50" t="inlineStr">
        <is>
          <t>UPPSALA LÄN</t>
        </is>
      </c>
      <c r="E50" t="inlineStr">
        <is>
          <t>TIERP</t>
        </is>
      </c>
      <c r="G50" t="n">
        <v>2.8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Underviol</t>
        </is>
      </c>
      <c r="S50">
        <f>HYPERLINK("https://klasma.github.io/Logging_TIERP/artfynd/A 74472-2021.xlsx", "A 74472-2021")</f>
        <v/>
      </c>
      <c r="T50">
        <f>HYPERLINK("https://klasma.github.io/Logging_TIERP/kartor/A 74472-2021.png", "A 74472-2021")</f>
        <v/>
      </c>
      <c r="V50">
        <f>HYPERLINK("https://klasma.github.io/Logging_TIERP/klagomål/A 74472-2021.docx", "A 74472-2021")</f>
        <v/>
      </c>
      <c r="W50">
        <f>HYPERLINK("https://klasma.github.io/Logging_TIERP/klagomålsmail/A 74472-2021.docx", "A 74472-2021")</f>
        <v/>
      </c>
      <c r="X50">
        <f>HYPERLINK("https://klasma.github.io/Logging_TIERP/tillsyn/A 74472-2021.docx", "A 74472-2021")</f>
        <v/>
      </c>
      <c r="Y50">
        <f>HYPERLINK("https://klasma.github.io/Logging_TIERP/tillsynsmail/A 74472-2021.docx", "A 74472-2021")</f>
        <v/>
      </c>
    </row>
    <row r="51" ht="15" customHeight="1">
      <c r="A51" t="inlineStr">
        <is>
          <t>A 5454-2022</t>
        </is>
      </c>
      <c r="B51" s="1" t="n">
        <v>44595</v>
      </c>
      <c r="C51" s="1" t="n">
        <v>45204</v>
      </c>
      <c r="D51" t="inlineStr">
        <is>
          <t>UPPSALA LÄN</t>
        </is>
      </c>
      <c r="E51" t="inlineStr">
        <is>
          <t>TIERP</t>
        </is>
      </c>
      <c r="G51" t="n">
        <v>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Anisspindling</t>
        </is>
      </c>
      <c r="S51">
        <f>HYPERLINK("https://klasma.github.io/Logging_TIERP/artfynd/A 5454-2022.xlsx", "A 5454-2022")</f>
        <v/>
      </c>
      <c r="T51">
        <f>HYPERLINK("https://klasma.github.io/Logging_TIERP/kartor/A 5454-2022.png", "A 5454-2022")</f>
        <v/>
      </c>
      <c r="U51">
        <f>HYPERLINK("https://klasma.github.io/Logging_TIERP/knärot/A 5454-2022.png", "A 5454-2022")</f>
        <v/>
      </c>
      <c r="V51">
        <f>HYPERLINK("https://klasma.github.io/Logging_TIERP/klagomål/A 5454-2022.docx", "A 5454-2022")</f>
        <v/>
      </c>
      <c r="W51">
        <f>HYPERLINK("https://klasma.github.io/Logging_TIERP/klagomålsmail/A 5454-2022.docx", "A 5454-2022")</f>
        <v/>
      </c>
      <c r="X51">
        <f>HYPERLINK("https://klasma.github.io/Logging_TIERP/tillsyn/A 5454-2022.docx", "A 5454-2022")</f>
        <v/>
      </c>
      <c r="Y51">
        <f>HYPERLINK("https://klasma.github.io/Logging_TIERP/tillsynsmail/A 5454-2022.docx", "A 5454-2022")</f>
        <v/>
      </c>
    </row>
    <row r="52" ht="15" customHeight="1">
      <c r="A52" t="inlineStr">
        <is>
          <t>A 7505-2022</t>
        </is>
      </c>
      <c r="B52" s="1" t="n">
        <v>44607</v>
      </c>
      <c r="C52" s="1" t="n">
        <v>45204</v>
      </c>
      <c r="D52" t="inlineStr">
        <is>
          <t>UPPSALA LÄN</t>
        </is>
      </c>
      <c r="E52" t="inlineStr">
        <is>
          <t>TIERP</t>
        </is>
      </c>
      <c r="F52" t="inlineStr">
        <is>
          <t>Bergvik skog öst AB</t>
        </is>
      </c>
      <c r="G52" t="n">
        <v>3.8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Grentaggsvamp</t>
        </is>
      </c>
      <c r="S52">
        <f>HYPERLINK("https://klasma.github.io/Logging_TIERP/artfynd/A 7505-2022.xlsx", "A 7505-2022")</f>
        <v/>
      </c>
      <c r="T52">
        <f>HYPERLINK("https://klasma.github.io/Logging_TIERP/kartor/A 7505-2022.png", "A 7505-2022")</f>
        <v/>
      </c>
      <c r="V52">
        <f>HYPERLINK("https://klasma.github.io/Logging_TIERP/klagomål/A 7505-2022.docx", "A 7505-2022")</f>
        <v/>
      </c>
      <c r="W52">
        <f>HYPERLINK("https://klasma.github.io/Logging_TIERP/klagomålsmail/A 7505-2022.docx", "A 7505-2022")</f>
        <v/>
      </c>
      <c r="X52">
        <f>HYPERLINK("https://klasma.github.io/Logging_TIERP/tillsyn/A 7505-2022.docx", "A 7505-2022")</f>
        <v/>
      </c>
      <c r="Y52">
        <f>HYPERLINK("https://klasma.github.io/Logging_TIERP/tillsynsmail/A 7505-2022.docx", "A 7505-2022")</f>
        <v/>
      </c>
    </row>
    <row r="53" ht="15" customHeight="1">
      <c r="A53" t="inlineStr">
        <is>
          <t>A 27422-2022</t>
        </is>
      </c>
      <c r="B53" s="1" t="n">
        <v>44742</v>
      </c>
      <c r="C53" s="1" t="n">
        <v>45204</v>
      </c>
      <c r="D53" t="inlineStr">
        <is>
          <t>UPPSALA LÄN</t>
        </is>
      </c>
      <c r="E53" t="inlineStr">
        <is>
          <t>TIERP</t>
        </is>
      </c>
      <c r="G53" t="n">
        <v>4.1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HYPERLINK("https://klasma.github.io/Logging_TIERP/artfynd/A 27422-2022.xlsx", "A 27422-2022")</f>
        <v/>
      </c>
      <c r="T53">
        <f>HYPERLINK("https://klasma.github.io/Logging_TIERP/kartor/A 27422-2022.png", "A 27422-2022")</f>
        <v/>
      </c>
      <c r="V53">
        <f>HYPERLINK("https://klasma.github.io/Logging_TIERP/klagomål/A 27422-2022.docx", "A 27422-2022")</f>
        <v/>
      </c>
      <c r="W53">
        <f>HYPERLINK("https://klasma.github.io/Logging_TIERP/klagomålsmail/A 27422-2022.docx", "A 27422-2022")</f>
        <v/>
      </c>
      <c r="X53">
        <f>HYPERLINK("https://klasma.github.io/Logging_TIERP/tillsyn/A 27422-2022.docx", "A 27422-2022")</f>
        <v/>
      </c>
      <c r="Y53">
        <f>HYPERLINK("https://klasma.github.io/Logging_TIERP/tillsynsmail/A 27422-2022.docx", "A 27422-2022")</f>
        <v/>
      </c>
    </row>
    <row r="54" ht="15" customHeight="1">
      <c r="A54" t="inlineStr">
        <is>
          <t>A 33375-2022</t>
        </is>
      </c>
      <c r="B54" s="1" t="n">
        <v>44788</v>
      </c>
      <c r="C54" s="1" t="n">
        <v>45204</v>
      </c>
      <c r="D54" t="inlineStr">
        <is>
          <t>UPPSALA LÄN</t>
        </is>
      </c>
      <c r="E54" t="inlineStr">
        <is>
          <t>TIERP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Fältgentiana</t>
        </is>
      </c>
      <c r="S54">
        <f>HYPERLINK("https://klasma.github.io/Logging_TIERP/artfynd/A 33375-2022.xlsx", "A 33375-2022")</f>
        <v/>
      </c>
      <c r="T54">
        <f>HYPERLINK("https://klasma.github.io/Logging_TIERP/kartor/A 33375-2022.png", "A 33375-2022")</f>
        <v/>
      </c>
      <c r="V54">
        <f>HYPERLINK("https://klasma.github.io/Logging_TIERP/klagomål/A 33375-2022.docx", "A 33375-2022")</f>
        <v/>
      </c>
      <c r="W54">
        <f>HYPERLINK("https://klasma.github.io/Logging_TIERP/klagomålsmail/A 33375-2022.docx", "A 33375-2022")</f>
        <v/>
      </c>
      <c r="X54">
        <f>HYPERLINK("https://klasma.github.io/Logging_TIERP/tillsyn/A 33375-2022.docx", "A 33375-2022")</f>
        <v/>
      </c>
      <c r="Y54">
        <f>HYPERLINK("https://klasma.github.io/Logging_TIERP/tillsynsmail/A 33375-2022.docx", "A 33375-2022")</f>
        <v/>
      </c>
    </row>
    <row r="55" ht="15" customHeight="1">
      <c r="A55" t="inlineStr">
        <is>
          <t>A 40362-2022</t>
        </is>
      </c>
      <c r="B55" s="1" t="n">
        <v>44823</v>
      </c>
      <c r="C55" s="1" t="n">
        <v>45204</v>
      </c>
      <c r="D55" t="inlineStr">
        <is>
          <t>UPPSALA LÄN</t>
        </is>
      </c>
      <c r="E55" t="inlineStr">
        <is>
          <t>TIERP</t>
        </is>
      </c>
      <c r="F55" t="inlineStr">
        <is>
          <t>Bergvik skog väst AB</t>
        </is>
      </c>
      <c r="G55" t="n">
        <v>18.5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Fläcknycklar</t>
        </is>
      </c>
      <c r="S55">
        <f>HYPERLINK("https://klasma.github.io/Logging_TIERP/artfynd/A 40362-2022.xlsx", "A 40362-2022")</f>
        <v/>
      </c>
      <c r="T55">
        <f>HYPERLINK("https://klasma.github.io/Logging_TIERP/kartor/A 40362-2022.png", "A 40362-2022")</f>
        <v/>
      </c>
      <c r="V55">
        <f>HYPERLINK("https://klasma.github.io/Logging_TIERP/klagomål/A 40362-2022.docx", "A 40362-2022")</f>
        <v/>
      </c>
      <c r="W55">
        <f>HYPERLINK("https://klasma.github.io/Logging_TIERP/klagomålsmail/A 40362-2022.docx", "A 40362-2022")</f>
        <v/>
      </c>
      <c r="X55">
        <f>HYPERLINK("https://klasma.github.io/Logging_TIERP/tillsyn/A 40362-2022.docx", "A 40362-2022")</f>
        <v/>
      </c>
      <c r="Y55">
        <f>HYPERLINK("https://klasma.github.io/Logging_TIERP/tillsynsmail/A 40362-2022.docx", "A 40362-2022")</f>
        <v/>
      </c>
    </row>
    <row r="56" ht="15" customHeight="1">
      <c r="A56" t="inlineStr">
        <is>
          <t>A 45536-2022</t>
        </is>
      </c>
      <c r="B56" s="1" t="n">
        <v>44845</v>
      </c>
      <c r="C56" s="1" t="n">
        <v>45204</v>
      </c>
      <c r="D56" t="inlineStr">
        <is>
          <t>UPPSALA LÄN</t>
        </is>
      </c>
      <c r="E56" t="inlineStr">
        <is>
          <t>TIERP</t>
        </is>
      </c>
      <c r="F56" t="inlineStr">
        <is>
          <t>Bergvik skog öst AB</t>
        </is>
      </c>
      <c r="G56" t="n">
        <v>0.5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Ögonpyrola</t>
        </is>
      </c>
      <c r="S56">
        <f>HYPERLINK("https://klasma.github.io/Logging_TIERP/artfynd/A 45536-2022.xlsx", "A 45536-2022")</f>
        <v/>
      </c>
      <c r="T56">
        <f>HYPERLINK("https://klasma.github.io/Logging_TIERP/kartor/A 45536-2022.png", "A 45536-2022")</f>
        <v/>
      </c>
      <c r="V56">
        <f>HYPERLINK("https://klasma.github.io/Logging_TIERP/klagomål/A 45536-2022.docx", "A 45536-2022")</f>
        <v/>
      </c>
      <c r="W56">
        <f>HYPERLINK("https://klasma.github.io/Logging_TIERP/klagomålsmail/A 45536-2022.docx", "A 45536-2022")</f>
        <v/>
      </c>
      <c r="X56">
        <f>HYPERLINK("https://klasma.github.io/Logging_TIERP/tillsyn/A 45536-2022.docx", "A 45536-2022")</f>
        <v/>
      </c>
      <c r="Y56">
        <f>HYPERLINK("https://klasma.github.io/Logging_TIERP/tillsynsmail/A 45536-2022.docx", "A 45536-2022")</f>
        <v/>
      </c>
    </row>
    <row r="57" ht="15" customHeight="1">
      <c r="A57" t="inlineStr">
        <is>
          <t>A 47227-2022</t>
        </is>
      </c>
      <c r="B57" s="1" t="n">
        <v>44852</v>
      </c>
      <c r="C57" s="1" t="n">
        <v>45204</v>
      </c>
      <c r="D57" t="inlineStr">
        <is>
          <t>UPPSALA LÄN</t>
        </is>
      </c>
      <c r="E57" t="inlineStr">
        <is>
          <t>TIERP</t>
        </is>
      </c>
      <c r="G57" t="n">
        <v>5.9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Nästrot</t>
        </is>
      </c>
      <c r="S57">
        <f>HYPERLINK("https://klasma.github.io/Logging_TIERP/artfynd/A 47227-2022.xlsx", "A 47227-2022")</f>
        <v/>
      </c>
      <c r="T57">
        <f>HYPERLINK("https://klasma.github.io/Logging_TIERP/kartor/A 47227-2022.png", "A 47227-2022")</f>
        <v/>
      </c>
      <c r="V57">
        <f>HYPERLINK("https://klasma.github.io/Logging_TIERP/klagomål/A 47227-2022.docx", "A 47227-2022")</f>
        <v/>
      </c>
      <c r="W57">
        <f>HYPERLINK("https://klasma.github.io/Logging_TIERP/klagomålsmail/A 47227-2022.docx", "A 47227-2022")</f>
        <v/>
      </c>
      <c r="X57">
        <f>HYPERLINK("https://klasma.github.io/Logging_TIERP/tillsyn/A 47227-2022.docx", "A 47227-2022")</f>
        <v/>
      </c>
      <c r="Y57">
        <f>HYPERLINK("https://klasma.github.io/Logging_TIERP/tillsynsmail/A 47227-2022.docx", "A 47227-2022")</f>
        <v/>
      </c>
    </row>
    <row r="58" ht="15" customHeight="1">
      <c r="A58" t="inlineStr">
        <is>
          <t>A 56968-2022</t>
        </is>
      </c>
      <c r="B58" s="1" t="n">
        <v>44894</v>
      </c>
      <c r="C58" s="1" t="n">
        <v>45204</v>
      </c>
      <c r="D58" t="inlineStr">
        <is>
          <t>UPPSALA LÄN</t>
        </is>
      </c>
      <c r="E58" t="inlineStr">
        <is>
          <t>TIERP</t>
        </is>
      </c>
      <c r="G58" t="n">
        <v>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Olivspindling</t>
        </is>
      </c>
      <c r="S58">
        <f>HYPERLINK("https://klasma.github.io/Logging_TIERP/artfynd/A 56968-2022.xlsx", "A 56968-2022")</f>
        <v/>
      </c>
      <c r="T58">
        <f>HYPERLINK("https://klasma.github.io/Logging_TIERP/kartor/A 56968-2022.png", "A 56968-2022")</f>
        <v/>
      </c>
      <c r="V58">
        <f>HYPERLINK("https://klasma.github.io/Logging_TIERP/klagomål/A 56968-2022.docx", "A 56968-2022")</f>
        <v/>
      </c>
      <c r="W58">
        <f>HYPERLINK("https://klasma.github.io/Logging_TIERP/klagomålsmail/A 56968-2022.docx", "A 56968-2022")</f>
        <v/>
      </c>
      <c r="X58">
        <f>HYPERLINK("https://klasma.github.io/Logging_TIERP/tillsyn/A 56968-2022.docx", "A 56968-2022")</f>
        <v/>
      </c>
      <c r="Y58">
        <f>HYPERLINK("https://klasma.github.io/Logging_TIERP/tillsynsmail/A 56968-2022.docx", "A 56968-2022")</f>
        <v/>
      </c>
    </row>
    <row r="59" ht="15" customHeight="1">
      <c r="A59" t="inlineStr">
        <is>
          <t>A 5472-2023</t>
        </is>
      </c>
      <c r="B59" s="1" t="n">
        <v>44960</v>
      </c>
      <c r="C59" s="1" t="n">
        <v>45204</v>
      </c>
      <c r="D59" t="inlineStr">
        <is>
          <t>UPPSALA LÄN</t>
        </is>
      </c>
      <c r="E59" t="inlineStr">
        <is>
          <t>TIERP</t>
        </is>
      </c>
      <c r="F59" t="inlineStr">
        <is>
          <t>Bergvik skog öst AB</t>
        </is>
      </c>
      <c r="G59" t="n">
        <v>7.8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HYPERLINK("https://klasma.github.io/Logging_TIERP/artfynd/A 5472-2023.xlsx", "A 5472-2023")</f>
        <v/>
      </c>
      <c r="T59">
        <f>HYPERLINK("https://klasma.github.io/Logging_TIERP/kartor/A 5472-2023.png", "A 5472-2023")</f>
        <v/>
      </c>
      <c r="V59">
        <f>HYPERLINK("https://klasma.github.io/Logging_TIERP/klagomål/A 5472-2023.docx", "A 5472-2023")</f>
        <v/>
      </c>
      <c r="W59">
        <f>HYPERLINK("https://klasma.github.io/Logging_TIERP/klagomålsmail/A 5472-2023.docx", "A 5472-2023")</f>
        <v/>
      </c>
      <c r="X59">
        <f>HYPERLINK("https://klasma.github.io/Logging_TIERP/tillsyn/A 5472-2023.docx", "A 5472-2023")</f>
        <v/>
      </c>
      <c r="Y59">
        <f>HYPERLINK("https://klasma.github.io/Logging_TIERP/tillsynsmail/A 5472-2023.docx", "A 5472-2023")</f>
        <v/>
      </c>
    </row>
    <row r="60" ht="15" customHeight="1">
      <c r="A60" t="inlineStr">
        <is>
          <t>A 7309-2023</t>
        </is>
      </c>
      <c r="B60" s="1" t="n">
        <v>44970</v>
      </c>
      <c r="C60" s="1" t="n">
        <v>45204</v>
      </c>
      <c r="D60" t="inlineStr">
        <is>
          <t>UPPSALA LÄN</t>
        </is>
      </c>
      <c r="E60" t="inlineStr">
        <is>
          <t>TIERP</t>
        </is>
      </c>
      <c r="F60" t="inlineStr">
        <is>
          <t>Bergvik skog öst AB</t>
        </is>
      </c>
      <c r="G60" t="n">
        <v>13.7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HYPERLINK("https://klasma.github.io/Logging_TIERP/artfynd/A 7309-2023.xlsx", "A 7309-2023")</f>
        <v/>
      </c>
      <c r="T60">
        <f>HYPERLINK("https://klasma.github.io/Logging_TIERP/kartor/A 7309-2023.png", "A 7309-2023")</f>
        <v/>
      </c>
      <c r="V60">
        <f>HYPERLINK("https://klasma.github.io/Logging_TIERP/klagomål/A 7309-2023.docx", "A 7309-2023")</f>
        <v/>
      </c>
      <c r="W60">
        <f>HYPERLINK("https://klasma.github.io/Logging_TIERP/klagomålsmail/A 7309-2023.docx", "A 7309-2023")</f>
        <v/>
      </c>
      <c r="X60">
        <f>HYPERLINK("https://klasma.github.io/Logging_TIERP/tillsyn/A 7309-2023.docx", "A 7309-2023")</f>
        <v/>
      </c>
      <c r="Y60">
        <f>HYPERLINK("https://klasma.github.io/Logging_TIERP/tillsynsmail/A 7309-2023.docx", "A 7309-2023")</f>
        <v/>
      </c>
    </row>
    <row r="61" ht="15" customHeight="1">
      <c r="A61" t="inlineStr">
        <is>
          <t>A 9706-2023</t>
        </is>
      </c>
      <c r="B61" s="1" t="n">
        <v>44984</v>
      </c>
      <c r="C61" s="1" t="n">
        <v>45204</v>
      </c>
      <c r="D61" t="inlineStr">
        <is>
          <t>UPPSALA LÄN</t>
        </is>
      </c>
      <c r="E61" t="inlineStr">
        <is>
          <t>TIERP</t>
        </is>
      </c>
      <c r="F61" t="inlineStr">
        <is>
          <t>Bergvik skog öst AB</t>
        </is>
      </c>
      <c r="G61" t="n">
        <v>12.2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Klasefibbla</t>
        </is>
      </c>
      <c r="S61">
        <f>HYPERLINK("https://klasma.github.io/Logging_TIERP/artfynd/A 9706-2023.xlsx", "A 9706-2023")</f>
        <v/>
      </c>
      <c r="T61">
        <f>HYPERLINK("https://klasma.github.io/Logging_TIERP/kartor/A 9706-2023.png", "A 9706-2023")</f>
        <v/>
      </c>
      <c r="V61">
        <f>HYPERLINK("https://klasma.github.io/Logging_TIERP/klagomål/A 9706-2023.docx", "A 9706-2023")</f>
        <v/>
      </c>
      <c r="W61">
        <f>HYPERLINK("https://klasma.github.io/Logging_TIERP/klagomålsmail/A 9706-2023.docx", "A 9706-2023")</f>
        <v/>
      </c>
      <c r="X61">
        <f>HYPERLINK("https://klasma.github.io/Logging_TIERP/tillsyn/A 9706-2023.docx", "A 9706-2023")</f>
        <v/>
      </c>
      <c r="Y61">
        <f>HYPERLINK("https://klasma.github.io/Logging_TIERP/tillsynsmail/A 9706-2023.docx", "A 9706-2023")</f>
        <v/>
      </c>
    </row>
    <row r="62" ht="15" customHeight="1">
      <c r="A62" t="inlineStr">
        <is>
          <t>A 38151-2023</t>
        </is>
      </c>
      <c r="B62" s="1" t="n">
        <v>45160</v>
      </c>
      <c r="C62" s="1" t="n">
        <v>45204</v>
      </c>
      <c r="D62" t="inlineStr">
        <is>
          <t>UPPSALA LÄN</t>
        </is>
      </c>
      <c r="E62" t="inlineStr">
        <is>
          <t>TIERP</t>
        </is>
      </c>
      <c r="G62" t="n">
        <v>1.4</v>
      </c>
      <c r="H62" t="n">
        <v>1</v>
      </c>
      <c r="I62" t="n">
        <v>0</v>
      </c>
      <c r="J62" t="n">
        <v>0</v>
      </c>
      <c r="K62" t="n">
        <v>0</v>
      </c>
      <c r="L62" t="n">
        <v>1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Tornseglare</t>
        </is>
      </c>
      <c r="S62">
        <f>HYPERLINK("https://klasma.github.io/Logging_TIERP/artfynd/A 38151-2023.xlsx", "A 38151-2023")</f>
        <v/>
      </c>
      <c r="T62">
        <f>HYPERLINK("https://klasma.github.io/Logging_TIERP/kartor/A 38151-2023.png", "A 38151-2023")</f>
        <v/>
      </c>
      <c r="V62">
        <f>HYPERLINK("https://klasma.github.io/Logging_TIERP/klagomål/A 38151-2023.docx", "A 38151-2023")</f>
        <v/>
      </c>
      <c r="W62">
        <f>HYPERLINK("https://klasma.github.io/Logging_TIERP/klagomålsmail/A 38151-2023.docx", "A 38151-2023")</f>
        <v/>
      </c>
      <c r="X62">
        <f>HYPERLINK("https://klasma.github.io/Logging_TIERP/tillsyn/A 38151-2023.docx", "A 38151-2023")</f>
        <v/>
      </c>
      <c r="Y62">
        <f>HYPERLINK("https://klasma.github.io/Logging_TIERP/tillsynsmail/A 38151-2023.docx", "A 38151-2023")</f>
        <v/>
      </c>
    </row>
    <row r="63" ht="15" customHeight="1">
      <c r="A63" t="inlineStr">
        <is>
          <t>A 38821-2023</t>
        </is>
      </c>
      <c r="B63" s="1" t="n">
        <v>45163</v>
      </c>
      <c r="C63" s="1" t="n">
        <v>45204</v>
      </c>
      <c r="D63" t="inlineStr">
        <is>
          <t>UPPSALA LÄN</t>
        </is>
      </c>
      <c r="E63" t="inlineStr">
        <is>
          <t>TIERP</t>
        </is>
      </c>
      <c r="G63" t="n">
        <v>20.3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Revlummer</t>
        </is>
      </c>
      <c r="S63">
        <f>HYPERLINK("https://klasma.github.io/Logging_TIERP/artfynd/A 38821-2023.xlsx", "A 38821-2023")</f>
        <v/>
      </c>
      <c r="T63">
        <f>HYPERLINK("https://klasma.github.io/Logging_TIERP/kartor/A 38821-2023.png", "A 38821-2023")</f>
        <v/>
      </c>
      <c r="V63">
        <f>HYPERLINK("https://klasma.github.io/Logging_TIERP/klagomål/A 38821-2023.docx", "A 38821-2023")</f>
        <v/>
      </c>
      <c r="W63">
        <f>HYPERLINK("https://klasma.github.io/Logging_TIERP/klagomålsmail/A 38821-2023.docx", "A 38821-2023")</f>
        <v/>
      </c>
      <c r="X63">
        <f>HYPERLINK("https://klasma.github.io/Logging_TIERP/tillsyn/A 38821-2023.docx", "A 38821-2023")</f>
        <v/>
      </c>
      <c r="Y63">
        <f>HYPERLINK("https://klasma.github.io/Logging_TIERP/tillsynsmail/A 38821-2023.docx", "A 38821-2023")</f>
        <v/>
      </c>
    </row>
    <row r="64" ht="15" customHeight="1">
      <c r="A64" t="inlineStr">
        <is>
          <t>A 38118-2018</t>
        </is>
      </c>
      <c r="B64" s="1" t="n">
        <v>43336</v>
      </c>
      <c r="C64" s="1" t="n">
        <v>45204</v>
      </c>
      <c r="D64" t="inlineStr">
        <is>
          <t>UPPSALA LÄN</t>
        </is>
      </c>
      <c r="E64" t="inlineStr">
        <is>
          <t>TIERP</t>
        </is>
      </c>
      <c r="F64" t="inlineStr">
        <is>
          <t>Bergvik skog öst AB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38065-2018</t>
        </is>
      </c>
      <c r="B65" s="1" t="n">
        <v>43336</v>
      </c>
      <c r="C65" s="1" t="n">
        <v>45204</v>
      </c>
      <c r="D65" t="inlineStr">
        <is>
          <t>UPPSALA LÄN</t>
        </is>
      </c>
      <c r="E65" t="inlineStr">
        <is>
          <t>TIERP</t>
        </is>
      </c>
      <c r="F65" t="inlineStr">
        <is>
          <t>Bergvik skog öst AB</t>
        </is>
      </c>
      <c r="G65" t="n">
        <v>9.800000000000001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40097-2018</t>
        </is>
      </c>
      <c r="B66" s="1" t="n">
        <v>43343</v>
      </c>
      <c r="C66" s="1" t="n">
        <v>45204</v>
      </c>
      <c r="D66" t="inlineStr">
        <is>
          <t>UPPSALA LÄN</t>
        </is>
      </c>
      <c r="E66" t="inlineStr">
        <is>
          <t>TIERP</t>
        </is>
      </c>
      <c r="F66" t="inlineStr">
        <is>
          <t>Bergvik skog väst AB</t>
        </is>
      </c>
      <c r="G66" t="n">
        <v>5.8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44233-2018</t>
        </is>
      </c>
      <c r="B67" s="1" t="n">
        <v>43355</v>
      </c>
      <c r="C67" s="1" t="n">
        <v>45204</v>
      </c>
      <c r="D67" t="inlineStr">
        <is>
          <t>UPPSALA LÄN</t>
        </is>
      </c>
      <c r="E67" t="inlineStr">
        <is>
          <t>TIERP</t>
        </is>
      </c>
      <c r="G67" t="n">
        <v>4.8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46078-2018</t>
        </is>
      </c>
      <c r="B68" s="1" t="n">
        <v>43367</v>
      </c>
      <c r="C68" s="1" t="n">
        <v>45204</v>
      </c>
      <c r="D68" t="inlineStr">
        <is>
          <t>UPPSALA LÄN</t>
        </is>
      </c>
      <c r="E68" t="inlineStr">
        <is>
          <t>TIERP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59667-2018</t>
        </is>
      </c>
      <c r="B69" s="1" t="n">
        <v>43371</v>
      </c>
      <c r="C69" s="1" t="n">
        <v>45204</v>
      </c>
      <c r="D69" t="inlineStr">
        <is>
          <t>UPPSALA LÄN</t>
        </is>
      </c>
      <c r="E69" t="inlineStr">
        <is>
          <t>TIERP</t>
        </is>
      </c>
      <c r="F69" t="inlineStr">
        <is>
          <t>Bergvik skog öst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59719-2018</t>
        </is>
      </c>
      <c r="B70" s="1" t="n">
        <v>43378</v>
      </c>
      <c r="C70" s="1" t="n">
        <v>45204</v>
      </c>
      <c r="D70" t="inlineStr">
        <is>
          <t>UPPSALA LÄN</t>
        </is>
      </c>
      <c r="E70" t="inlineStr">
        <is>
          <t>TIERP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60291-2018</t>
        </is>
      </c>
      <c r="B71" s="1" t="n">
        <v>43385</v>
      </c>
      <c r="C71" s="1" t="n">
        <v>45204</v>
      </c>
      <c r="D71" t="inlineStr">
        <is>
          <t>UPPSALA LÄN</t>
        </is>
      </c>
      <c r="E71" t="inlineStr">
        <is>
          <t>TIERP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60035-2018</t>
        </is>
      </c>
      <c r="B72" s="1" t="n">
        <v>43412</v>
      </c>
      <c r="C72" s="1" t="n">
        <v>45204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62436-2018</t>
        </is>
      </c>
      <c r="B73" s="1" t="n">
        <v>43416</v>
      </c>
      <c r="C73" s="1" t="n">
        <v>45204</v>
      </c>
      <c r="D73" t="inlineStr">
        <is>
          <t>UPPSALA LÄN</t>
        </is>
      </c>
      <c r="E73" t="inlineStr">
        <is>
          <t>TIERP</t>
        </is>
      </c>
      <c r="F73" t="inlineStr">
        <is>
          <t>Bergvik skog öst AB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59700-2018</t>
        </is>
      </c>
      <c r="B74" s="1" t="n">
        <v>43419</v>
      </c>
      <c r="C74" s="1" t="n">
        <v>45204</v>
      </c>
      <c r="D74" t="inlineStr">
        <is>
          <t>UPPSALA LÄN</t>
        </is>
      </c>
      <c r="E74" t="inlineStr">
        <is>
          <t>TIERP</t>
        </is>
      </c>
      <c r="F74" t="inlineStr">
        <is>
          <t>Bergvik skog väst AB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59440-2018</t>
        </is>
      </c>
      <c r="B75" s="1" t="n">
        <v>43419</v>
      </c>
      <c r="C75" s="1" t="n">
        <v>45204</v>
      </c>
      <c r="D75" t="inlineStr">
        <is>
          <t>UPPSALA LÄN</t>
        </is>
      </c>
      <c r="E75" t="inlineStr">
        <is>
          <t>TIERP</t>
        </is>
      </c>
      <c r="F75" t="inlineStr">
        <is>
          <t>Bergvik skog öst AB</t>
        </is>
      </c>
      <c r="G75" t="n">
        <v>7.3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61548-2018</t>
        </is>
      </c>
      <c r="B76" s="1" t="n">
        <v>43424</v>
      </c>
      <c r="C76" s="1" t="n">
        <v>45204</v>
      </c>
      <c r="D76" t="inlineStr">
        <is>
          <t>UPPSALA LÄN</t>
        </is>
      </c>
      <c r="E76" t="inlineStr">
        <is>
          <t>TIERP</t>
        </is>
      </c>
      <c r="F76" t="inlineStr">
        <is>
          <t>Bergvik skog öst AB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63525-2018</t>
        </is>
      </c>
      <c r="B77" s="1" t="n">
        <v>43427</v>
      </c>
      <c r="C77" s="1" t="n">
        <v>45204</v>
      </c>
      <c r="D77" t="inlineStr">
        <is>
          <t>UPPSALA LÄN</t>
        </is>
      </c>
      <c r="E77" t="inlineStr">
        <is>
          <t>TIERP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67716-2018</t>
        </is>
      </c>
      <c r="B78" s="1" t="n">
        <v>43434</v>
      </c>
      <c r="C78" s="1" t="n">
        <v>45204</v>
      </c>
      <c r="D78" t="inlineStr">
        <is>
          <t>UPPSALA LÄN</t>
        </is>
      </c>
      <c r="E78" t="inlineStr">
        <is>
          <t>TIERP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66869-2018</t>
        </is>
      </c>
      <c r="B79" s="1" t="n">
        <v>43438</v>
      </c>
      <c r="C79" s="1" t="n">
        <v>45204</v>
      </c>
      <c r="D79" t="inlineStr">
        <is>
          <t>UPPSALA LÄN</t>
        </is>
      </c>
      <c r="E79" t="inlineStr">
        <is>
          <t>TIERP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66942-2018</t>
        </is>
      </c>
      <c r="B80" s="1" t="n">
        <v>43438</v>
      </c>
      <c r="C80" s="1" t="n">
        <v>45204</v>
      </c>
      <c r="D80" t="inlineStr">
        <is>
          <t>UPPSALA LÄN</t>
        </is>
      </c>
      <c r="E80" t="inlineStr">
        <is>
          <t>TIERP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66868-2018</t>
        </is>
      </c>
      <c r="B81" s="1" t="n">
        <v>43438</v>
      </c>
      <c r="C81" s="1" t="n">
        <v>45204</v>
      </c>
      <c r="D81" t="inlineStr">
        <is>
          <t>UPPSALA LÄN</t>
        </is>
      </c>
      <c r="E81" t="inlineStr">
        <is>
          <t>TIERP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67573-2018</t>
        </is>
      </c>
      <c r="B82" s="1" t="n">
        <v>43439</v>
      </c>
      <c r="C82" s="1" t="n">
        <v>45204</v>
      </c>
      <c r="D82" t="inlineStr">
        <is>
          <t>UPPSALA LÄN</t>
        </is>
      </c>
      <c r="E82" t="inlineStr">
        <is>
          <t>TIERP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67819-2018</t>
        </is>
      </c>
      <c r="B83" s="1" t="n">
        <v>43440</v>
      </c>
      <c r="C83" s="1" t="n">
        <v>45204</v>
      </c>
      <c r="D83" t="inlineStr">
        <is>
          <t>UPPSALA LÄN</t>
        </is>
      </c>
      <c r="E83" t="inlineStr">
        <is>
          <t>TIERP</t>
        </is>
      </c>
      <c r="F83" t="inlineStr">
        <is>
          <t>Bergvik skog öst AB</t>
        </is>
      </c>
      <c r="G83" t="n">
        <v>6.1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69404-2018</t>
        </is>
      </c>
      <c r="B84" s="1" t="n">
        <v>43446</v>
      </c>
      <c r="C84" s="1" t="n">
        <v>45204</v>
      </c>
      <c r="D84" t="inlineStr">
        <is>
          <t>UPPSALA LÄN</t>
        </is>
      </c>
      <c r="E84" t="inlineStr">
        <is>
          <t>TIERP</t>
        </is>
      </c>
      <c r="F84" t="inlineStr">
        <is>
          <t>Bergvik skog väst AB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69346-2018</t>
        </is>
      </c>
      <c r="B85" s="1" t="n">
        <v>43446</v>
      </c>
      <c r="C85" s="1" t="n">
        <v>45204</v>
      </c>
      <c r="D85" t="inlineStr">
        <is>
          <t>UPPSALA LÄN</t>
        </is>
      </c>
      <c r="E85" t="inlineStr">
        <is>
          <t>TIERP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69434-2018</t>
        </is>
      </c>
      <c r="B86" s="1" t="n">
        <v>43446</v>
      </c>
      <c r="C86" s="1" t="n">
        <v>45204</v>
      </c>
      <c r="D86" t="inlineStr">
        <is>
          <t>UPPSALA LÄN</t>
        </is>
      </c>
      <c r="E86" t="inlineStr">
        <is>
          <t>TIERP</t>
        </is>
      </c>
      <c r="F86" t="inlineStr">
        <is>
          <t>Bergvik skog väst AB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69698-2018</t>
        </is>
      </c>
      <c r="B87" s="1" t="n">
        <v>43447</v>
      </c>
      <c r="C87" s="1" t="n">
        <v>45204</v>
      </c>
      <c r="D87" t="inlineStr">
        <is>
          <t>UPPSALA LÄN</t>
        </is>
      </c>
      <c r="E87" t="inlineStr">
        <is>
          <t>TIERP</t>
        </is>
      </c>
      <c r="F87" t="inlineStr">
        <is>
          <t>Bergvik skog väst AB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69700-2018</t>
        </is>
      </c>
      <c r="B88" s="1" t="n">
        <v>43447</v>
      </c>
      <c r="C88" s="1" t="n">
        <v>45204</v>
      </c>
      <c r="D88" t="inlineStr">
        <is>
          <t>UPPSALA LÄN</t>
        </is>
      </c>
      <c r="E88" t="inlineStr">
        <is>
          <t>TIERP</t>
        </is>
      </c>
      <c r="F88" t="inlineStr">
        <is>
          <t>Bergvik skog väst AB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70373-2018</t>
        </is>
      </c>
      <c r="B89" s="1" t="n">
        <v>43450</v>
      </c>
      <c r="C89" s="1" t="n">
        <v>45204</v>
      </c>
      <c r="D89" t="inlineStr">
        <is>
          <t>UPPSALA LÄN</t>
        </is>
      </c>
      <c r="E89" t="inlineStr">
        <is>
          <t>TIERP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70376-2018</t>
        </is>
      </c>
      <c r="B90" s="1" t="n">
        <v>43450</v>
      </c>
      <c r="C90" s="1" t="n">
        <v>45204</v>
      </c>
      <c r="D90" t="inlineStr">
        <is>
          <t>UPPSALA LÄN</t>
        </is>
      </c>
      <c r="E90" t="inlineStr">
        <is>
          <t>TIERP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70375-2018</t>
        </is>
      </c>
      <c r="B91" s="1" t="n">
        <v>43450</v>
      </c>
      <c r="C91" s="1" t="n">
        <v>45204</v>
      </c>
      <c r="D91" t="inlineStr">
        <is>
          <t>UPPSALA LÄN</t>
        </is>
      </c>
      <c r="E91" t="inlineStr">
        <is>
          <t>TIERP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70541-2018</t>
        </is>
      </c>
      <c r="B92" s="1" t="n">
        <v>43451</v>
      </c>
      <c r="C92" s="1" t="n">
        <v>45204</v>
      </c>
      <c r="D92" t="inlineStr">
        <is>
          <t>UPPSALA LÄN</t>
        </is>
      </c>
      <c r="E92" t="inlineStr">
        <is>
          <t>TIERP</t>
        </is>
      </c>
      <c r="F92" t="inlineStr">
        <is>
          <t>Bergvik skog öst AB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72538-2018</t>
        </is>
      </c>
      <c r="B93" s="1" t="n">
        <v>43462</v>
      </c>
      <c r="C93" s="1" t="n">
        <v>45204</v>
      </c>
      <c r="D93" t="inlineStr">
        <is>
          <t>UPPSALA LÄN</t>
        </is>
      </c>
      <c r="E93" t="inlineStr">
        <is>
          <t>TIERP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2216-2019</t>
        </is>
      </c>
      <c r="B94" s="1" t="n">
        <v>43475</v>
      </c>
      <c r="C94" s="1" t="n">
        <v>45204</v>
      </c>
      <c r="D94" t="inlineStr">
        <is>
          <t>UPPSALA LÄN</t>
        </is>
      </c>
      <c r="E94" t="inlineStr">
        <is>
          <t>TIERP</t>
        </is>
      </c>
      <c r="G94" t="n">
        <v>8.300000000000001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2462-2019</t>
        </is>
      </c>
      <c r="B95" s="1" t="n">
        <v>43476</v>
      </c>
      <c r="C95" s="1" t="n">
        <v>45204</v>
      </c>
      <c r="D95" t="inlineStr">
        <is>
          <t>UPPSALA LÄN</t>
        </is>
      </c>
      <c r="E95" t="inlineStr">
        <is>
          <t>TIERP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4504-2019</t>
        </is>
      </c>
      <c r="B96" s="1" t="n">
        <v>43486</v>
      </c>
      <c r="C96" s="1" t="n">
        <v>45204</v>
      </c>
      <c r="D96" t="inlineStr">
        <is>
          <t>UPPSALA LÄN</t>
        </is>
      </c>
      <c r="E96" t="inlineStr">
        <is>
          <t>TIERP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4500-2019</t>
        </is>
      </c>
      <c r="B97" s="1" t="n">
        <v>43486</v>
      </c>
      <c r="C97" s="1" t="n">
        <v>45204</v>
      </c>
      <c r="D97" t="inlineStr">
        <is>
          <t>UPPSALA LÄN</t>
        </is>
      </c>
      <c r="E97" t="inlineStr">
        <is>
          <t>TIERP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5473-2019</t>
        </is>
      </c>
      <c r="B98" s="1" t="n">
        <v>43488</v>
      </c>
      <c r="C98" s="1" t="n">
        <v>45204</v>
      </c>
      <c r="D98" t="inlineStr">
        <is>
          <t>UPPSALA LÄN</t>
        </is>
      </c>
      <c r="E98" t="inlineStr">
        <is>
          <t>TIERP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5199-2019</t>
        </is>
      </c>
      <c r="B99" s="1" t="n">
        <v>43488</v>
      </c>
      <c r="C99" s="1" t="n">
        <v>45204</v>
      </c>
      <c r="D99" t="inlineStr">
        <is>
          <t>UPPSALA LÄN</t>
        </is>
      </c>
      <c r="E99" t="inlineStr">
        <is>
          <t>TIERP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5224-2019</t>
        </is>
      </c>
      <c r="B100" s="1" t="n">
        <v>43488</v>
      </c>
      <c r="C100" s="1" t="n">
        <v>45204</v>
      </c>
      <c r="D100" t="inlineStr">
        <is>
          <t>UPPSALA LÄN</t>
        </is>
      </c>
      <c r="E100" t="inlineStr">
        <is>
          <t>TIERP</t>
        </is>
      </c>
      <c r="G100" t="n">
        <v>16.5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6898-2019</t>
        </is>
      </c>
      <c r="B101" s="1" t="n">
        <v>43495</v>
      </c>
      <c r="C101" s="1" t="n">
        <v>45204</v>
      </c>
      <c r="D101" t="inlineStr">
        <is>
          <t>UPPSALA LÄN</t>
        </is>
      </c>
      <c r="E101" t="inlineStr">
        <is>
          <t>TIERP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7157-2019</t>
        </is>
      </c>
      <c r="B102" s="1" t="n">
        <v>43496</v>
      </c>
      <c r="C102" s="1" t="n">
        <v>45204</v>
      </c>
      <c r="D102" t="inlineStr">
        <is>
          <t>UPPSALA LÄN</t>
        </is>
      </c>
      <c r="E102" t="inlineStr">
        <is>
          <t>TIERP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7701-2019</t>
        </is>
      </c>
      <c r="B103" s="1" t="n">
        <v>43500</v>
      </c>
      <c r="C103" s="1" t="n">
        <v>45204</v>
      </c>
      <c r="D103" t="inlineStr">
        <is>
          <t>UPPSALA LÄN</t>
        </is>
      </c>
      <c r="E103" t="inlineStr">
        <is>
          <t>TIERP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10816-2019</t>
        </is>
      </c>
      <c r="B104" s="1" t="n">
        <v>43514</v>
      </c>
      <c r="C104" s="1" t="n">
        <v>45204</v>
      </c>
      <c r="D104" t="inlineStr">
        <is>
          <t>UPPSALA LÄN</t>
        </is>
      </c>
      <c r="E104" t="inlineStr">
        <is>
          <t>TIERP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11499-2019</t>
        </is>
      </c>
      <c r="B105" s="1" t="n">
        <v>43517</v>
      </c>
      <c r="C105" s="1" t="n">
        <v>45204</v>
      </c>
      <c r="D105" t="inlineStr">
        <is>
          <t>UPPSALA LÄN</t>
        </is>
      </c>
      <c r="E105" t="inlineStr">
        <is>
          <t>TIERP</t>
        </is>
      </c>
      <c r="G105" t="n">
        <v>11.7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11813-2019</t>
        </is>
      </c>
      <c r="B106" s="1" t="n">
        <v>43521</v>
      </c>
      <c r="C106" s="1" t="n">
        <v>45204</v>
      </c>
      <c r="D106" t="inlineStr">
        <is>
          <t>UPPSALA LÄN</t>
        </is>
      </c>
      <c r="E106" t="inlineStr">
        <is>
          <t>TIERP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12174-2019</t>
        </is>
      </c>
      <c r="B107" s="1" t="n">
        <v>43522</v>
      </c>
      <c r="C107" s="1" t="n">
        <v>45204</v>
      </c>
      <c r="D107" t="inlineStr">
        <is>
          <t>UPPSALA LÄN</t>
        </is>
      </c>
      <c r="E107" t="inlineStr">
        <is>
          <t>TIERP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13203-2019</t>
        </is>
      </c>
      <c r="B108" s="1" t="n">
        <v>43528</v>
      </c>
      <c r="C108" s="1" t="n">
        <v>45204</v>
      </c>
      <c r="D108" t="inlineStr">
        <is>
          <t>UPPSALA LÄN</t>
        </is>
      </c>
      <c r="E108" t="inlineStr">
        <is>
          <t>TIERP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13261-2019</t>
        </is>
      </c>
      <c r="B109" s="1" t="n">
        <v>43528</v>
      </c>
      <c r="C109" s="1" t="n">
        <v>45204</v>
      </c>
      <c r="D109" t="inlineStr">
        <is>
          <t>UPPSALA LÄN</t>
        </is>
      </c>
      <c r="E109" t="inlineStr">
        <is>
          <t>TIERP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13422-2019</t>
        </is>
      </c>
      <c r="B110" s="1" t="n">
        <v>43529</v>
      </c>
      <c r="C110" s="1" t="n">
        <v>45204</v>
      </c>
      <c r="D110" t="inlineStr">
        <is>
          <t>UPPSALA LÄN</t>
        </is>
      </c>
      <c r="E110" t="inlineStr">
        <is>
          <t>TIERP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14377-2019</t>
        </is>
      </c>
      <c r="B111" s="1" t="n">
        <v>43536</v>
      </c>
      <c r="C111" s="1" t="n">
        <v>45204</v>
      </c>
      <c r="D111" t="inlineStr">
        <is>
          <t>UPPSALA LÄN</t>
        </is>
      </c>
      <c r="E111" t="inlineStr">
        <is>
          <t>TIERP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14703-2019</t>
        </is>
      </c>
      <c r="B112" s="1" t="n">
        <v>43539</v>
      </c>
      <c r="C112" s="1" t="n">
        <v>45204</v>
      </c>
      <c r="D112" t="inlineStr">
        <is>
          <t>UPPSALA LÄN</t>
        </is>
      </c>
      <c r="E112" t="inlineStr">
        <is>
          <t>TIERP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18466-2019</t>
        </is>
      </c>
      <c r="B113" s="1" t="n">
        <v>43559</v>
      </c>
      <c r="C113" s="1" t="n">
        <v>45204</v>
      </c>
      <c r="D113" t="inlineStr">
        <is>
          <t>UPPSALA LÄN</t>
        </is>
      </c>
      <c r="E113" t="inlineStr">
        <is>
          <t>TIERP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19791-2019</t>
        </is>
      </c>
      <c r="B114" s="1" t="n">
        <v>43567</v>
      </c>
      <c r="C114" s="1" t="n">
        <v>45204</v>
      </c>
      <c r="D114" t="inlineStr">
        <is>
          <t>UPPSALA LÄN</t>
        </is>
      </c>
      <c r="E114" t="inlineStr">
        <is>
          <t>TIERP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25502-2019</t>
        </is>
      </c>
      <c r="B115" s="1" t="n">
        <v>43606</v>
      </c>
      <c r="C115" s="1" t="n">
        <v>45204</v>
      </c>
      <c r="D115" t="inlineStr">
        <is>
          <t>UPPSALA LÄN</t>
        </is>
      </c>
      <c r="E115" t="inlineStr">
        <is>
          <t>TIERP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25498-2019</t>
        </is>
      </c>
      <c r="B116" s="1" t="n">
        <v>43606</v>
      </c>
      <c r="C116" s="1" t="n">
        <v>45204</v>
      </c>
      <c r="D116" t="inlineStr">
        <is>
          <t>UPPSALA LÄN</t>
        </is>
      </c>
      <c r="E116" t="inlineStr">
        <is>
          <t>TIERP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26366-2019</t>
        </is>
      </c>
      <c r="B117" s="1" t="n">
        <v>43612</v>
      </c>
      <c r="C117" s="1" t="n">
        <v>45204</v>
      </c>
      <c r="D117" t="inlineStr">
        <is>
          <t>UPPSALA LÄN</t>
        </is>
      </c>
      <c r="E117" t="inlineStr">
        <is>
          <t>TIERP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26371-2019</t>
        </is>
      </c>
      <c r="B118" s="1" t="n">
        <v>43612</v>
      </c>
      <c r="C118" s="1" t="n">
        <v>45204</v>
      </c>
      <c r="D118" t="inlineStr">
        <is>
          <t>UPPSALA LÄN</t>
        </is>
      </c>
      <c r="E118" t="inlineStr">
        <is>
          <t>TIERP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29792-2019</t>
        </is>
      </c>
      <c r="B119" s="1" t="n">
        <v>43633</v>
      </c>
      <c r="C119" s="1" t="n">
        <v>45204</v>
      </c>
      <c r="D119" t="inlineStr">
        <is>
          <t>UPPSALA LÄN</t>
        </is>
      </c>
      <c r="E119" t="inlineStr">
        <is>
          <t>TIERP</t>
        </is>
      </c>
      <c r="F119" t="inlineStr">
        <is>
          <t>Bergvik skog väst AB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31319-2019</t>
        </is>
      </c>
      <c r="B120" s="1" t="n">
        <v>43641</v>
      </c>
      <c r="C120" s="1" t="n">
        <v>45204</v>
      </c>
      <c r="D120" t="inlineStr">
        <is>
          <t>UPPSALA LÄN</t>
        </is>
      </c>
      <c r="E120" t="inlineStr">
        <is>
          <t>TIERP</t>
        </is>
      </c>
      <c r="F120" t="inlineStr">
        <is>
          <t>Bergvik skog väst AB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31884-2019</t>
        </is>
      </c>
      <c r="B121" s="1" t="n">
        <v>43642</v>
      </c>
      <c r="C121" s="1" t="n">
        <v>45204</v>
      </c>
      <c r="D121" t="inlineStr">
        <is>
          <t>UPPSALA LÄN</t>
        </is>
      </c>
      <c r="E121" t="inlineStr">
        <is>
          <t>TIERP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33670-2019</t>
        </is>
      </c>
      <c r="B122" s="1" t="n">
        <v>43651</v>
      </c>
      <c r="C122" s="1" t="n">
        <v>45204</v>
      </c>
      <c r="D122" t="inlineStr">
        <is>
          <t>UPPSALA LÄN</t>
        </is>
      </c>
      <c r="E122" t="inlineStr">
        <is>
          <t>TIERP</t>
        </is>
      </c>
      <c r="F122" t="inlineStr">
        <is>
          <t>Bergvik skog öst AB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34386-2019</t>
        </is>
      </c>
      <c r="B123" s="1" t="n">
        <v>43656</v>
      </c>
      <c r="C123" s="1" t="n">
        <v>45204</v>
      </c>
      <c r="D123" t="inlineStr">
        <is>
          <t>UPPSALA LÄN</t>
        </is>
      </c>
      <c r="E123" t="inlineStr">
        <is>
          <t>TIERP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34392-2019</t>
        </is>
      </c>
      <c r="B124" s="1" t="n">
        <v>43656</v>
      </c>
      <c r="C124" s="1" t="n">
        <v>45204</v>
      </c>
      <c r="D124" t="inlineStr">
        <is>
          <t>UPPSALA LÄN</t>
        </is>
      </c>
      <c r="E124" t="inlineStr">
        <is>
          <t>TIERP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36019-2019</t>
        </is>
      </c>
      <c r="B125" s="1" t="n">
        <v>43668</v>
      </c>
      <c r="C125" s="1" t="n">
        <v>45204</v>
      </c>
      <c r="D125" t="inlineStr">
        <is>
          <t>UPPSALA LÄN</t>
        </is>
      </c>
      <c r="E125" t="inlineStr">
        <is>
          <t>TIERP</t>
        </is>
      </c>
      <c r="F125" t="inlineStr">
        <is>
          <t>Bergvik skog väst AB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37114-2019</t>
        </is>
      </c>
      <c r="B126" s="1" t="n">
        <v>43676</v>
      </c>
      <c r="C126" s="1" t="n">
        <v>45204</v>
      </c>
      <c r="D126" t="inlineStr">
        <is>
          <t>UPPSALA LÄN</t>
        </is>
      </c>
      <c r="E126" t="inlineStr">
        <is>
          <t>TIERP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39554-2019</t>
        </is>
      </c>
      <c r="B127" s="1" t="n">
        <v>43686</v>
      </c>
      <c r="C127" s="1" t="n">
        <v>45204</v>
      </c>
      <c r="D127" t="inlineStr">
        <is>
          <t>UPPSALA LÄN</t>
        </is>
      </c>
      <c r="E127" t="inlineStr">
        <is>
          <t>TIERP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39914-2019</t>
        </is>
      </c>
      <c r="B128" s="1" t="n">
        <v>43692</v>
      </c>
      <c r="C128" s="1" t="n">
        <v>45204</v>
      </c>
      <c r="D128" t="inlineStr">
        <is>
          <t>UPPSALA LÄN</t>
        </is>
      </c>
      <c r="E128" t="inlineStr">
        <is>
          <t>TIERP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39911-2019</t>
        </is>
      </c>
      <c r="B129" s="1" t="n">
        <v>43692</v>
      </c>
      <c r="C129" s="1" t="n">
        <v>45204</v>
      </c>
      <c r="D129" t="inlineStr">
        <is>
          <t>UPPSALA LÄN</t>
        </is>
      </c>
      <c r="E129" t="inlineStr">
        <is>
          <t>TIERP</t>
        </is>
      </c>
      <c r="G129" t="n">
        <v>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43535-2019</t>
        </is>
      </c>
      <c r="B130" s="1" t="n">
        <v>43706</v>
      </c>
      <c r="C130" s="1" t="n">
        <v>45204</v>
      </c>
      <c r="D130" t="inlineStr">
        <is>
          <t>UPPSALA LÄN</t>
        </is>
      </c>
      <c r="E130" t="inlineStr">
        <is>
          <t>TIERP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43625-2019</t>
        </is>
      </c>
      <c r="B131" s="1" t="n">
        <v>43707</v>
      </c>
      <c r="C131" s="1" t="n">
        <v>45204</v>
      </c>
      <c r="D131" t="inlineStr">
        <is>
          <t>UPPSALA LÄN</t>
        </is>
      </c>
      <c r="E131" t="inlineStr">
        <is>
          <t>TIERP</t>
        </is>
      </c>
      <c r="F131" t="inlineStr">
        <is>
          <t>Bergvik skog väst AB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44569-2019</t>
        </is>
      </c>
      <c r="B132" s="1" t="n">
        <v>43711</v>
      </c>
      <c r="C132" s="1" t="n">
        <v>45204</v>
      </c>
      <c r="D132" t="inlineStr">
        <is>
          <t>UPPSALA LÄN</t>
        </is>
      </c>
      <c r="E132" t="inlineStr">
        <is>
          <t>TIERP</t>
        </is>
      </c>
      <c r="F132" t="inlineStr">
        <is>
          <t>Bergvik skog öst AB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49877-2019</t>
        </is>
      </c>
      <c r="B133" s="1" t="n">
        <v>43733</v>
      </c>
      <c r="C133" s="1" t="n">
        <v>45204</v>
      </c>
      <c r="D133" t="inlineStr">
        <is>
          <t>UPPSALA LÄN</t>
        </is>
      </c>
      <c r="E133" t="inlineStr">
        <is>
          <t>TIERP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49900-2019</t>
        </is>
      </c>
      <c r="B134" s="1" t="n">
        <v>43733</v>
      </c>
      <c r="C134" s="1" t="n">
        <v>45204</v>
      </c>
      <c r="D134" t="inlineStr">
        <is>
          <t>UPPSALA LÄN</t>
        </is>
      </c>
      <c r="E134" t="inlineStr">
        <is>
          <t>TIERP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50156-2019</t>
        </is>
      </c>
      <c r="B135" s="1" t="n">
        <v>43734</v>
      </c>
      <c r="C135" s="1" t="n">
        <v>45204</v>
      </c>
      <c r="D135" t="inlineStr">
        <is>
          <t>UPPSALA LÄN</t>
        </is>
      </c>
      <c r="E135" t="inlineStr">
        <is>
          <t>TIERP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50858-2019</t>
        </is>
      </c>
      <c r="B136" s="1" t="n">
        <v>43738</v>
      </c>
      <c r="C136" s="1" t="n">
        <v>45204</v>
      </c>
      <c r="D136" t="inlineStr">
        <is>
          <t>UPPSALA LÄN</t>
        </is>
      </c>
      <c r="E136" t="inlineStr">
        <is>
          <t>TIERP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51488-2019</t>
        </is>
      </c>
      <c r="B137" s="1" t="n">
        <v>43740</v>
      </c>
      <c r="C137" s="1" t="n">
        <v>45204</v>
      </c>
      <c r="D137" t="inlineStr">
        <is>
          <t>UPPSALA LÄN</t>
        </is>
      </c>
      <c r="E137" t="inlineStr">
        <is>
          <t>TIERP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51796-2019</t>
        </is>
      </c>
      <c r="B138" s="1" t="n">
        <v>43741</v>
      </c>
      <c r="C138" s="1" t="n">
        <v>45204</v>
      </c>
      <c r="D138" t="inlineStr">
        <is>
          <t>UPPSALA LÄN</t>
        </is>
      </c>
      <c r="E138" t="inlineStr">
        <is>
          <t>TIERP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52831-2019</t>
        </is>
      </c>
      <c r="B139" s="1" t="n">
        <v>43746</v>
      </c>
      <c r="C139" s="1" t="n">
        <v>45204</v>
      </c>
      <c r="D139" t="inlineStr">
        <is>
          <t>UPPSALA LÄN</t>
        </is>
      </c>
      <c r="E139" t="inlineStr">
        <is>
          <t>TIERP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52955-2019</t>
        </is>
      </c>
      <c r="B140" s="1" t="n">
        <v>43747</v>
      </c>
      <c r="C140" s="1" t="n">
        <v>45204</v>
      </c>
      <c r="D140" t="inlineStr">
        <is>
          <t>UPPSALA LÄN</t>
        </is>
      </c>
      <c r="E140" t="inlineStr">
        <is>
          <t>TIERP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56380-2019</t>
        </is>
      </c>
      <c r="B141" s="1" t="n">
        <v>43756</v>
      </c>
      <c r="C141" s="1" t="n">
        <v>45204</v>
      </c>
      <c r="D141" t="inlineStr">
        <is>
          <t>UPPSALA LÄN</t>
        </is>
      </c>
      <c r="E141" t="inlineStr">
        <is>
          <t>TIERP</t>
        </is>
      </c>
      <c r="F141" t="inlineStr">
        <is>
          <t>Bergvik skog väst AB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55944-2019</t>
        </is>
      </c>
      <c r="B142" s="1" t="n">
        <v>43761</v>
      </c>
      <c r="C142" s="1" t="n">
        <v>45204</v>
      </c>
      <c r="D142" t="inlineStr">
        <is>
          <t>UPPSALA LÄN</t>
        </is>
      </c>
      <c r="E142" t="inlineStr">
        <is>
          <t>TIERP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58276-2019</t>
        </is>
      </c>
      <c r="B143" s="1" t="n">
        <v>43770</v>
      </c>
      <c r="C143" s="1" t="n">
        <v>45204</v>
      </c>
      <c r="D143" t="inlineStr">
        <is>
          <t>UPPSALA LÄN</t>
        </is>
      </c>
      <c r="E143" t="inlineStr">
        <is>
          <t>TIERP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59227-2019</t>
        </is>
      </c>
      <c r="B144" s="1" t="n">
        <v>43770</v>
      </c>
      <c r="C144" s="1" t="n">
        <v>45204</v>
      </c>
      <c r="D144" t="inlineStr">
        <is>
          <t>UPPSALA LÄN</t>
        </is>
      </c>
      <c r="E144" t="inlineStr">
        <is>
          <t>TIERP</t>
        </is>
      </c>
      <c r="F144" t="inlineStr">
        <is>
          <t>Bergvik skog väst AB</t>
        </is>
      </c>
      <c r="G144" t="n">
        <v>8.4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59058-2019</t>
        </is>
      </c>
      <c r="B145" s="1" t="n">
        <v>43774</v>
      </c>
      <c r="C145" s="1" t="n">
        <v>45204</v>
      </c>
      <c r="D145" t="inlineStr">
        <is>
          <t>UPPSALA LÄN</t>
        </is>
      </c>
      <c r="E145" t="inlineStr">
        <is>
          <t>TIERP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60222-2019</t>
        </is>
      </c>
      <c r="B146" s="1" t="n">
        <v>43780</v>
      </c>
      <c r="C146" s="1" t="n">
        <v>45204</v>
      </c>
      <c r="D146" t="inlineStr">
        <is>
          <t>UPPSALA LÄN</t>
        </is>
      </c>
      <c r="E146" t="inlineStr">
        <is>
          <t>TIERP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60230-2019</t>
        </is>
      </c>
      <c r="B147" s="1" t="n">
        <v>43780</v>
      </c>
      <c r="C147" s="1" t="n">
        <v>45204</v>
      </c>
      <c r="D147" t="inlineStr">
        <is>
          <t>UPPSALA LÄN</t>
        </is>
      </c>
      <c r="E147" t="inlineStr">
        <is>
          <t>TIERP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61322-2019</t>
        </is>
      </c>
      <c r="B148" s="1" t="n">
        <v>43780</v>
      </c>
      <c r="C148" s="1" t="n">
        <v>45204</v>
      </c>
      <c r="D148" t="inlineStr">
        <is>
          <t>UPPSALA LÄN</t>
        </is>
      </c>
      <c r="E148" t="inlineStr">
        <is>
          <t>TIERP</t>
        </is>
      </c>
      <c r="F148" t="inlineStr">
        <is>
          <t>Bergvik skog väst AB</t>
        </is>
      </c>
      <c r="G148" t="n">
        <v>4.4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63872-2019</t>
        </is>
      </c>
      <c r="B149" s="1" t="n">
        <v>43796</v>
      </c>
      <c r="C149" s="1" t="n">
        <v>45204</v>
      </c>
      <c r="D149" t="inlineStr">
        <is>
          <t>UPPSALA LÄN</t>
        </is>
      </c>
      <c r="E149" t="inlineStr">
        <is>
          <t>TIERP</t>
        </is>
      </c>
      <c r="F149" t="inlineStr">
        <is>
          <t>Bergvik skog väst AB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64252-2019</t>
        </is>
      </c>
      <c r="B150" s="1" t="n">
        <v>43797</v>
      </c>
      <c r="C150" s="1" t="n">
        <v>45204</v>
      </c>
      <c r="D150" t="inlineStr">
        <is>
          <t>UPPSALA LÄN</t>
        </is>
      </c>
      <c r="E150" t="inlineStr">
        <is>
          <t>TIERP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64983-2019</t>
        </is>
      </c>
      <c r="B151" s="1" t="n">
        <v>43801</v>
      </c>
      <c r="C151" s="1" t="n">
        <v>45204</v>
      </c>
      <c r="D151" t="inlineStr">
        <is>
          <t>UPPSALA LÄN</t>
        </is>
      </c>
      <c r="E151" t="inlineStr">
        <is>
          <t>TIERP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64986-2019</t>
        </is>
      </c>
      <c r="B152" s="1" t="n">
        <v>43801</v>
      </c>
      <c r="C152" s="1" t="n">
        <v>45204</v>
      </c>
      <c r="D152" t="inlineStr">
        <is>
          <t>UPPSALA LÄN</t>
        </is>
      </c>
      <c r="E152" t="inlineStr">
        <is>
          <t>TIERP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65087-2019</t>
        </is>
      </c>
      <c r="B153" s="1" t="n">
        <v>43802</v>
      </c>
      <c r="C153" s="1" t="n">
        <v>45204</v>
      </c>
      <c r="D153" t="inlineStr">
        <is>
          <t>UPPSALA LÄN</t>
        </is>
      </c>
      <c r="E153" t="inlineStr">
        <is>
          <t>TIERP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67253-2019</t>
        </is>
      </c>
      <c r="B154" s="1" t="n">
        <v>43812</v>
      </c>
      <c r="C154" s="1" t="n">
        <v>45204</v>
      </c>
      <c r="D154" t="inlineStr">
        <is>
          <t>UPPSALA LÄN</t>
        </is>
      </c>
      <c r="E154" t="inlineStr">
        <is>
          <t>TIERP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69141-2019</t>
        </is>
      </c>
      <c r="B155" s="1" t="n">
        <v>43829</v>
      </c>
      <c r="C155" s="1" t="n">
        <v>45204</v>
      </c>
      <c r="D155" t="inlineStr">
        <is>
          <t>UPPSALA LÄN</t>
        </is>
      </c>
      <c r="E155" t="inlineStr">
        <is>
          <t>TIERP</t>
        </is>
      </c>
      <c r="F155" t="inlineStr">
        <is>
          <t>Bergvik skog väst AB</t>
        </is>
      </c>
      <c r="G155" t="n">
        <v>20.5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962-2020</t>
        </is>
      </c>
      <c r="B156" s="1" t="n">
        <v>43839</v>
      </c>
      <c r="C156" s="1" t="n">
        <v>45204</v>
      </c>
      <c r="D156" t="inlineStr">
        <is>
          <t>UPPSALA LÄN</t>
        </is>
      </c>
      <c r="E156" t="inlineStr">
        <is>
          <t>TIERP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1432-2020</t>
        </is>
      </c>
      <c r="B157" s="1" t="n">
        <v>43843</v>
      </c>
      <c r="C157" s="1" t="n">
        <v>45204</v>
      </c>
      <c r="D157" t="inlineStr">
        <is>
          <t>UPPSALA LÄN</t>
        </is>
      </c>
      <c r="E157" t="inlineStr">
        <is>
          <t>TIERP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3734-2020</t>
        </is>
      </c>
      <c r="B158" s="1" t="n">
        <v>43853</v>
      </c>
      <c r="C158" s="1" t="n">
        <v>45204</v>
      </c>
      <c r="D158" t="inlineStr">
        <is>
          <t>UPPSALA LÄN</t>
        </is>
      </c>
      <c r="E158" t="inlineStr">
        <is>
          <t>TIERP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4899-2020</t>
        </is>
      </c>
      <c r="B159" s="1" t="n">
        <v>43859</v>
      </c>
      <c r="C159" s="1" t="n">
        <v>45204</v>
      </c>
      <c r="D159" t="inlineStr">
        <is>
          <t>UPPSALA LÄN</t>
        </is>
      </c>
      <c r="E159" t="inlineStr">
        <is>
          <t>TIERP</t>
        </is>
      </c>
      <c r="F159" t="inlineStr">
        <is>
          <t>Bergvik skog väst AB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5048-2020</t>
        </is>
      </c>
      <c r="B160" s="1" t="n">
        <v>43859</v>
      </c>
      <c r="C160" s="1" t="n">
        <v>45204</v>
      </c>
      <c r="D160" t="inlineStr">
        <is>
          <t>UPPSALA LÄN</t>
        </is>
      </c>
      <c r="E160" t="inlineStr">
        <is>
          <t>TIERP</t>
        </is>
      </c>
      <c r="F160" t="inlineStr">
        <is>
          <t>Bergvik skog öst AB</t>
        </is>
      </c>
      <c r="G160" t="n">
        <v>6.3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8214-2020</t>
        </is>
      </c>
      <c r="B161" s="1" t="n">
        <v>43874</v>
      </c>
      <c r="C161" s="1" t="n">
        <v>45204</v>
      </c>
      <c r="D161" t="inlineStr">
        <is>
          <t>UPPSALA LÄN</t>
        </is>
      </c>
      <c r="E161" t="inlineStr">
        <is>
          <t>TIERP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8703-2020</t>
        </is>
      </c>
      <c r="B162" s="1" t="n">
        <v>43875</v>
      </c>
      <c r="C162" s="1" t="n">
        <v>45204</v>
      </c>
      <c r="D162" t="inlineStr">
        <is>
          <t>UPPSALA LÄN</t>
        </is>
      </c>
      <c r="E162" t="inlineStr">
        <is>
          <t>TIERP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8757-2020</t>
        </is>
      </c>
      <c r="B163" s="1" t="n">
        <v>43878</v>
      </c>
      <c r="C163" s="1" t="n">
        <v>45204</v>
      </c>
      <c r="D163" t="inlineStr">
        <is>
          <t>UPPSALA LÄN</t>
        </is>
      </c>
      <c r="E163" t="inlineStr">
        <is>
          <t>TIERP</t>
        </is>
      </c>
      <c r="G163" t="n">
        <v>4.7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9334-2020</t>
        </is>
      </c>
      <c r="B164" s="1" t="n">
        <v>43880</v>
      </c>
      <c r="C164" s="1" t="n">
        <v>45204</v>
      </c>
      <c r="D164" t="inlineStr">
        <is>
          <t>UPPSALA LÄN</t>
        </is>
      </c>
      <c r="E164" t="inlineStr">
        <is>
          <t>TIERP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10039-2020</t>
        </is>
      </c>
      <c r="B165" s="1" t="n">
        <v>43882</v>
      </c>
      <c r="C165" s="1" t="n">
        <v>45204</v>
      </c>
      <c r="D165" t="inlineStr">
        <is>
          <t>UPPSALA LÄN</t>
        </is>
      </c>
      <c r="E165" t="inlineStr">
        <is>
          <t>TIERP</t>
        </is>
      </c>
      <c r="F165" t="inlineStr">
        <is>
          <t>Bergvik skog väst AB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11433-2020</t>
        </is>
      </c>
      <c r="B166" s="1" t="n">
        <v>43893</v>
      </c>
      <c r="C166" s="1" t="n">
        <v>45204</v>
      </c>
      <c r="D166" t="inlineStr">
        <is>
          <t>UPPSALA LÄN</t>
        </is>
      </c>
      <c r="E166" t="inlineStr">
        <is>
          <t>TIERP</t>
        </is>
      </c>
      <c r="F166" t="inlineStr">
        <is>
          <t>Bergvik skog väst AB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12427-2020</t>
        </is>
      </c>
      <c r="B167" s="1" t="n">
        <v>43896</v>
      </c>
      <c r="C167" s="1" t="n">
        <v>45204</v>
      </c>
      <c r="D167" t="inlineStr">
        <is>
          <t>UPPSALA LÄN</t>
        </is>
      </c>
      <c r="E167" t="inlineStr">
        <is>
          <t>TIERP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12912-2020</t>
        </is>
      </c>
      <c r="B168" s="1" t="n">
        <v>43900</v>
      </c>
      <c r="C168" s="1" t="n">
        <v>45204</v>
      </c>
      <c r="D168" t="inlineStr">
        <is>
          <t>UPPSALA LÄN</t>
        </is>
      </c>
      <c r="E168" t="inlineStr">
        <is>
          <t>TIERP</t>
        </is>
      </c>
      <c r="F168" t="inlineStr">
        <is>
          <t>Bergvik skog väst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14627-2020</t>
        </is>
      </c>
      <c r="B169" s="1" t="n">
        <v>43901</v>
      </c>
      <c r="C169" s="1" t="n">
        <v>45204</v>
      </c>
      <c r="D169" t="inlineStr">
        <is>
          <t>UPPSALA LÄN</t>
        </is>
      </c>
      <c r="E169" t="inlineStr">
        <is>
          <t>TIERP</t>
        </is>
      </c>
      <c r="F169" t="inlineStr">
        <is>
          <t>Bergvik skog väst AB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14017-2020</t>
        </is>
      </c>
      <c r="B170" s="1" t="n">
        <v>43906</v>
      </c>
      <c r="C170" s="1" t="n">
        <v>45204</v>
      </c>
      <c r="D170" t="inlineStr">
        <is>
          <t>UPPSALA LÄN</t>
        </is>
      </c>
      <c r="E170" t="inlineStr">
        <is>
          <t>TIERP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15326-2020</t>
        </is>
      </c>
      <c r="B171" s="1" t="n">
        <v>43913</v>
      </c>
      <c r="C171" s="1" t="n">
        <v>45204</v>
      </c>
      <c r="D171" t="inlineStr">
        <is>
          <t>UPPSALA LÄN</t>
        </is>
      </c>
      <c r="E171" t="inlineStr">
        <is>
          <t>TIERP</t>
        </is>
      </c>
      <c r="F171" t="inlineStr">
        <is>
          <t>Bergvik skog väst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15233-2020</t>
        </is>
      </c>
      <c r="B172" s="1" t="n">
        <v>43913</v>
      </c>
      <c r="C172" s="1" t="n">
        <v>45204</v>
      </c>
      <c r="D172" t="inlineStr">
        <is>
          <t>UPPSALA LÄN</t>
        </is>
      </c>
      <c r="E172" t="inlineStr">
        <is>
          <t>TIERP</t>
        </is>
      </c>
      <c r="F172" t="inlineStr">
        <is>
          <t>Bergvik skog väst AB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19136-2020</t>
        </is>
      </c>
      <c r="B173" s="1" t="n">
        <v>43936</v>
      </c>
      <c r="C173" s="1" t="n">
        <v>45204</v>
      </c>
      <c r="D173" t="inlineStr">
        <is>
          <t>UPPSALA LÄN</t>
        </is>
      </c>
      <c r="E173" t="inlineStr">
        <is>
          <t>TIERP</t>
        </is>
      </c>
      <c r="F173" t="inlineStr">
        <is>
          <t>Bergvik skog väst AB</t>
        </is>
      </c>
      <c r="G173" t="n">
        <v>6.2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19332-2020</t>
        </is>
      </c>
      <c r="B174" s="1" t="n">
        <v>43938</v>
      </c>
      <c r="C174" s="1" t="n">
        <v>45204</v>
      </c>
      <c r="D174" t="inlineStr">
        <is>
          <t>UPPSALA LÄN</t>
        </is>
      </c>
      <c r="E174" t="inlineStr">
        <is>
          <t>TIERP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21730-2020</t>
        </is>
      </c>
      <c r="B175" s="1" t="n">
        <v>43957</v>
      </c>
      <c r="C175" s="1" t="n">
        <v>45204</v>
      </c>
      <c r="D175" t="inlineStr">
        <is>
          <t>UPPSALA LÄN</t>
        </is>
      </c>
      <c r="E175" t="inlineStr">
        <is>
          <t>TIERP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21814-2020</t>
        </is>
      </c>
      <c r="B176" s="1" t="n">
        <v>43958</v>
      </c>
      <c r="C176" s="1" t="n">
        <v>45204</v>
      </c>
      <c r="D176" t="inlineStr">
        <is>
          <t>UPPSALA LÄN</t>
        </is>
      </c>
      <c r="E176" t="inlineStr">
        <is>
          <t>TIERP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22763-2020</t>
        </is>
      </c>
      <c r="B177" s="1" t="n">
        <v>43963</v>
      </c>
      <c r="C177" s="1" t="n">
        <v>45204</v>
      </c>
      <c r="D177" t="inlineStr">
        <is>
          <t>UPPSALA LÄN</t>
        </is>
      </c>
      <c r="E177" t="inlineStr">
        <is>
          <t>TIERP</t>
        </is>
      </c>
      <c r="F177" t="inlineStr">
        <is>
          <t>Kommuner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22802-2020</t>
        </is>
      </c>
      <c r="B178" s="1" t="n">
        <v>43964</v>
      </c>
      <c r="C178" s="1" t="n">
        <v>45204</v>
      </c>
      <c r="D178" t="inlineStr">
        <is>
          <t>UPPSALA LÄN</t>
        </is>
      </c>
      <c r="E178" t="inlineStr">
        <is>
          <t>TIERP</t>
        </is>
      </c>
      <c r="F178" t="inlineStr">
        <is>
          <t>Bergvik skog öst AB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22961-2020</t>
        </is>
      </c>
      <c r="B179" s="1" t="n">
        <v>43965</v>
      </c>
      <c r="C179" s="1" t="n">
        <v>45204</v>
      </c>
      <c r="D179" t="inlineStr">
        <is>
          <t>UPPSALA LÄN</t>
        </is>
      </c>
      <c r="E179" t="inlineStr">
        <is>
          <t>TIERP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25641-2020</t>
        </is>
      </c>
      <c r="B180" s="1" t="n">
        <v>43983</v>
      </c>
      <c r="C180" s="1" t="n">
        <v>45204</v>
      </c>
      <c r="D180" t="inlineStr">
        <is>
          <t>UPPSALA LÄN</t>
        </is>
      </c>
      <c r="E180" t="inlineStr">
        <is>
          <t>TIERP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26095-2020</t>
        </is>
      </c>
      <c r="B181" s="1" t="n">
        <v>43985</v>
      </c>
      <c r="C181" s="1" t="n">
        <v>45204</v>
      </c>
      <c r="D181" t="inlineStr">
        <is>
          <t>UPPSALA LÄN</t>
        </is>
      </c>
      <c r="E181" t="inlineStr">
        <is>
          <t>TIERP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26090-2020</t>
        </is>
      </c>
      <c r="B182" s="1" t="n">
        <v>43985</v>
      </c>
      <c r="C182" s="1" t="n">
        <v>45204</v>
      </c>
      <c r="D182" t="inlineStr">
        <is>
          <t>UPPSALA LÄN</t>
        </is>
      </c>
      <c r="E182" t="inlineStr">
        <is>
          <t>TIERP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26101-2020</t>
        </is>
      </c>
      <c r="B183" s="1" t="n">
        <v>43985</v>
      </c>
      <c r="C183" s="1" t="n">
        <v>45204</v>
      </c>
      <c r="D183" t="inlineStr">
        <is>
          <t>UPPSALA LÄN</t>
        </is>
      </c>
      <c r="E183" t="inlineStr">
        <is>
          <t>TIERP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27462-2020</t>
        </is>
      </c>
      <c r="B184" s="1" t="n">
        <v>43993</v>
      </c>
      <c r="C184" s="1" t="n">
        <v>45204</v>
      </c>
      <c r="D184" t="inlineStr">
        <is>
          <t>UPPSALA LÄN</t>
        </is>
      </c>
      <c r="E184" t="inlineStr">
        <is>
          <t>TIERP</t>
        </is>
      </c>
      <c r="F184" t="inlineStr">
        <is>
          <t>Bergvik skog öst AB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29989-2020</t>
        </is>
      </c>
      <c r="B185" s="1" t="n">
        <v>44006</v>
      </c>
      <c r="C185" s="1" t="n">
        <v>45204</v>
      </c>
      <c r="D185" t="inlineStr">
        <is>
          <t>UPPSALA LÄN</t>
        </is>
      </c>
      <c r="E185" t="inlineStr">
        <is>
          <t>TIERP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30245-2020</t>
        </is>
      </c>
      <c r="B186" s="1" t="n">
        <v>44007</v>
      </c>
      <c r="C186" s="1" t="n">
        <v>45204</v>
      </c>
      <c r="D186" t="inlineStr">
        <is>
          <t>UPPSALA LÄN</t>
        </is>
      </c>
      <c r="E186" t="inlineStr">
        <is>
          <t>TIERP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30544-2020</t>
        </is>
      </c>
      <c r="B187" s="1" t="n">
        <v>44008</v>
      </c>
      <c r="C187" s="1" t="n">
        <v>45204</v>
      </c>
      <c r="D187" t="inlineStr">
        <is>
          <t>UPPSALA LÄN</t>
        </is>
      </c>
      <c r="E187" t="inlineStr">
        <is>
          <t>TIERP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31685-2020</t>
        </is>
      </c>
      <c r="B188" s="1" t="n">
        <v>44013</v>
      </c>
      <c r="C188" s="1" t="n">
        <v>45204</v>
      </c>
      <c r="D188" t="inlineStr">
        <is>
          <t>UPPSALA LÄN</t>
        </is>
      </c>
      <c r="E188" t="inlineStr">
        <is>
          <t>TIERP</t>
        </is>
      </c>
      <c r="F188" t="inlineStr">
        <is>
          <t>Bergvik skog väst AB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33076-2020</t>
        </is>
      </c>
      <c r="B189" s="1" t="n">
        <v>44021</v>
      </c>
      <c r="C189" s="1" t="n">
        <v>45204</v>
      </c>
      <c r="D189" t="inlineStr">
        <is>
          <t>UPPSALA LÄN</t>
        </is>
      </c>
      <c r="E189" t="inlineStr">
        <is>
          <t>TIERP</t>
        </is>
      </c>
      <c r="F189" t="inlineStr">
        <is>
          <t>Bergvik skog väst AB</t>
        </is>
      </c>
      <c r="G189" t="n">
        <v>16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33378-2020</t>
        </is>
      </c>
      <c r="B190" s="1" t="n">
        <v>44022</v>
      </c>
      <c r="C190" s="1" t="n">
        <v>45204</v>
      </c>
      <c r="D190" t="inlineStr">
        <is>
          <t>UPPSALA LÄN</t>
        </is>
      </c>
      <c r="E190" t="inlineStr">
        <is>
          <t>TIERP</t>
        </is>
      </c>
      <c r="G190" t="n">
        <v>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33873-2020</t>
        </is>
      </c>
      <c r="B191" s="1" t="n">
        <v>44025</v>
      </c>
      <c r="C191" s="1" t="n">
        <v>45204</v>
      </c>
      <c r="D191" t="inlineStr">
        <is>
          <t>UPPSALA LÄN</t>
        </is>
      </c>
      <c r="E191" t="inlineStr">
        <is>
          <t>TIERP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34494-2020</t>
        </is>
      </c>
      <c r="B192" s="1" t="n">
        <v>44029</v>
      </c>
      <c r="C192" s="1" t="n">
        <v>45204</v>
      </c>
      <c r="D192" t="inlineStr">
        <is>
          <t>UPPSALA LÄN</t>
        </is>
      </c>
      <c r="E192" t="inlineStr">
        <is>
          <t>TIERP</t>
        </is>
      </c>
      <c r="F192" t="inlineStr">
        <is>
          <t>Bergvik skog väst AB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35573-2020</t>
        </is>
      </c>
      <c r="B193" s="1" t="n">
        <v>44043</v>
      </c>
      <c r="C193" s="1" t="n">
        <v>45204</v>
      </c>
      <c r="D193" t="inlineStr">
        <is>
          <t>UPPSALA LÄN</t>
        </is>
      </c>
      <c r="E193" t="inlineStr">
        <is>
          <t>TIERP</t>
        </is>
      </c>
      <c r="F193" t="inlineStr">
        <is>
          <t>Bergvik skog öst AB</t>
        </is>
      </c>
      <c r="G193" t="n">
        <v>30.2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36412-2020</t>
        </is>
      </c>
      <c r="B194" s="1" t="n">
        <v>44049</v>
      </c>
      <c r="C194" s="1" t="n">
        <v>45204</v>
      </c>
      <c r="D194" t="inlineStr">
        <is>
          <t>UPPSALA LÄN</t>
        </is>
      </c>
      <c r="E194" t="inlineStr">
        <is>
          <t>TIERP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37691-2020</t>
        </is>
      </c>
      <c r="B195" s="1" t="n">
        <v>44056</v>
      </c>
      <c r="C195" s="1" t="n">
        <v>45204</v>
      </c>
      <c r="D195" t="inlineStr">
        <is>
          <t>UPPSALA LÄN</t>
        </is>
      </c>
      <c r="E195" t="inlineStr">
        <is>
          <t>TIERP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37680-2020</t>
        </is>
      </c>
      <c r="B196" s="1" t="n">
        <v>44056</v>
      </c>
      <c r="C196" s="1" t="n">
        <v>45204</v>
      </c>
      <c r="D196" t="inlineStr">
        <is>
          <t>UPPSALA LÄN</t>
        </is>
      </c>
      <c r="E196" t="inlineStr">
        <is>
          <t>TIERP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45513-2020</t>
        </is>
      </c>
      <c r="B197" s="1" t="n">
        <v>44085</v>
      </c>
      <c r="C197" s="1" t="n">
        <v>45204</v>
      </c>
      <c r="D197" t="inlineStr">
        <is>
          <t>UPPSALA LÄN</t>
        </is>
      </c>
      <c r="E197" t="inlineStr">
        <is>
          <t>TIERP</t>
        </is>
      </c>
      <c r="F197" t="inlineStr">
        <is>
          <t>Bergvik skog väst AB</t>
        </is>
      </c>
      <c r="G197" t="n">
        <v>6.2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45938-2020</t>
        </is>
      </c>
      <c r="B198" s="1" t="n">
        <v>44088</v>
      </c>
      <c r="C198" s="1" t="n">
        <v>45204</v>
      </c>
      <c r="D198" t="inlineStr">
        <is>
          <t>UPPSALA LÄN</t>
        </is>
      </c>
      <c r="E198" t="inlineStr">
        <is>
          <t>TIERP</t>
        </is>
      </c>
      <c r="F198" t="inlineStr">
        <is>
          <t>Bergvik skog väst AB</t>
        </is>
      </c>
      <c r="G198" t="n">
        <v>18.5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47234-2020</t>
        </is>
      </c>
      <c r="B199" s="1" t="n">
        <v>44097</v>
      </c>
      <c r="C199" s="1" t="n">
        <v>45204</v>
      </c>
      <c r="D199" t="inlineStr">
        <is>
          <t>UPPSALA LÄN</t>
        </is>
      </c>
      <c r="E199" t="inlineStr">
        <is>
          <t>TIERP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49718-2020</t>
        </is>
      </c>
      <c r="B200" s="1" t="n">
        <v>44106</v>
      </c>
      <c r="C200" s="1" t="n">
        <v>45204</v>
      </c>
      <c r="D200" t="inlineStr">
        <is>
          <t>UPPSALA LÄN</t>
        </is>
      </c>
      <c r="E200" t="inlineStr">
        <is>
          <t>TIERP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50735-2020</t>
        </is>
      </c>
      <c r="B201" s="1" t="n">
        <v>44111</v>
      </c>
      <c r="C201" s="1" t="n">
        <v>45204</v>
      </c>
      <c r="D201" t="inlineStr">
        <is>
          <t>UPPSALA LÄN</t>
        </is>
      </c>
      <c r="E201" t="inlineStr">
        <is>
          <t>TIERP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50677-2020</t>
        </is>
      </c>
      <c r="B202" s="1" t="n">
        <v>44111</v>
      </c>
      <c r="C202" s="1" t="n">
        <v>45204</v>
      </c>
      <c r="D202" t="inlineStr">
        <is>
          <t>UPPSALA LÄN</t>
        </is>
      </c>
      <c r="E202" t="inlineStr">
        <is>
          <t>TIERP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51808-2020</t>
        </is>
      </c>
      <c r="B203" s="1" t="n">
        <v>44116</v>
      </c>
      <c r="C203" s="1" t="n">
        <v>45204</v>
      </c>
      <c r="D203" t="inlineStr">
        <is>
          <t>UPPSALA LÄN</t>
        </is>
      </c>
      <c r="E203" t="inlineStr">
        <is>
          <t>TIERP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58242-2020</t>
        </is>
      </c>
      <c r="B204" s="1" t="n">
        <v>44144</v>
      </c>
      <c r="C204" s="1" t="n">
        <v>45204</v>
      </c>
      <c r="D204" t="inlineStr">
        <is>
          <t>UPPSALA LÄN</t>
        </is>
      </c>
      <c r="E204" t="inlineStr">
        <is>
          <t>TIERP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59625-2020</t>
        </is>
      </c>
      <c r="B205" s="1" t="n">
        <v>44150</v>
      </c>
      <c r="C205" s="1" t="n">
        <v>45204</v>
      </c>
      <c r="D205" t="inlineStr">
        <is>
          <t>UPPSALA LÄN</t>
        </is>
      </c>
      <c r="E205" t="inlineStr">
        <is>
          <t>TIERP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59865-2020</t>
        </is>
      </c>
      <c r="B206" s="1" t="n">
        <v>44151</v>
      </c>
      <c r="C206" s="1" t="n">
        <v>45204</v>
      </c>
      <c r="D206" t="inlineStr">
        <is>
          <t>UPPSALA LÄN</t>
        </is>
      </c>
      <c r="E206" t="inlineStr">
        <is>
          <t>TIERP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61013-2020</t>
        </is>
      </c>
      <c r="B207" s="1" t="n">
        <v>44154</v>
      </c>
      <c r="C207" s="1" t="n">
        <v>45204</v>
      </c>
      <c r="D207" t="inlineStr">
        <is>
          <t>UPPSALA LÄN</t>
        </is>
      </c>
      <c r="E207" t="inlineStr">
        <is>
          <t>TIERP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61034-2020</t>
        </is>
      </c>
      <c r="B208" s="1" t="n">
        <v>44154</v>
      </c>
      <c r="C208" s="1" t="n">
        <v>45204</v>
      </c>
      <c r="D208" t="inlineStr">
        <is>
          <t>UPPSALA LÄN</t>
        </is>
      </c>
      <c r="E208" t="inlineStr">
        <is>
          <t>TIERP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60769-2020</t>
        </is>
      </c>
      <c r="B209" s="1" t="n">
        <v>44154</v>
      </c>
      <c r="C209" s="1" t="n">
        <v>45204</v>
      </c>
      <c r="D209" t="inlineStr">
        <is>
          <t>UPPSALA LÄN</t>
        </is>
      </c>
      <c r="E209" t="inlineStr">
        <is>
          <t>TIERP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63504-2020</t>
        </is>
      </c>
      <c r="B210" s="1" t="n">
        <v>44165</v>
      </c>
      <c r="C210" s="1" t="n">
        <v>45204</v>
      </c>
      <c r="D210" t="inlineStr">
        <is>
          <t>UPPSALA LÄN</t>
        </is>
      </c>
      <c r="E210" t="inlineStr">
        <is>
          <t>TIERP</t>
        </is>
      </c>
      <c r="F210" t="inlineStr">
        <is>
          <t>Bergvik skog väst AB</t>
        </is>
      </c>
      <c r="G210" t="n">
        <v>50.3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249-2021</t>
        </is>
      </c>
      <c r="B211" s="1" t="n">
        <v>44200</v>
      </c>
      <c r="C211" s="1" t="n">
        <v>45204</v>
      </c>
      <c r="D211" t="inlineStr">
        <is>
          <t>UPPSALA LÄN</t>
        </is>
      </c>
      <c r="E211" t="inlineStr">
        <is>
          <t>TIERP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1227-2021</t>
        </is>
      </c>
      <c r="B212" s="1" t="n">
        <v>44208</v>
      </c>
      <c r="C212" s="1" t="n">
        <v>45204</v>
      </c>
      <c r="D212" t="inlineStr">
        <is>
          <t>UPPSALA LÄN</t>
        </is>
      </c>
      <c r="E212" t="inlineStr">
        <is>
          <t>TIERP</t>
        </is>
      </c>
      <c r="G212" t="n">
        <v>7.3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1233-2021</t>
        </is>
      </c>
      <c r="B213" s="1" t="n">
        <v>44208</v>
      </c>
      <c r="C213" s="1" t="n">
        <v>45204</v>
      </c>
      <c r="D213" t="inlineStr">
        <is>
          <t>UPPSALA LÄN</t>
        </is>
      </c>
      <c r="E213" t="inlineStr">
        <is>
          <t>TIERP</t>
        </is>
      </c>
      <c r="F213" t="inlineStr">
        <is>
          <t>Övriga Aktiebolag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2157-2021</t>
        </is>
      </c>
      <c r="B214" s="1" t="n">
        <v>44211</v>
      </c>
      <c r="C214" s="1" t="n">
        <v>45204</v>
      </c>
      <c r="D214" t="inlineStr">
        <is>
          <t>UPPSALA LÄN</t>
        </is>
      </c>
      <c r="E214" t="inlineStr">
        <is>
          <t>TIERP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2559-2021</t>
        </is>
      </c>
      <c r="B215" s="1" t="n">
        <v>44214</v>
      </c>
      <c r="C215" s="1" t="n">
        <v>45204</v>
      </c>
      <c r="D215" t="inlineStr">
        <is>
          <t>UPPSALA LÄN</t>
        </is>
      </c>
      <c r="E215" t="inlineStr">
        <is>
          <t>TIERP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2810-2021</t>
        </is>
      </c>
      <c r="B216" s="1" t="n">
        <v>44215</v>
      </c>
      <c r="C216" s="1" t="n">
        <v>45204</v>
      </c>
      <c r="D216" t="inlineStr">
        <is>
          <t>UPPSALA LÄN</t>
        </is>
      </c>
      <c r="E216" t="inlineStr">
        <is>
          <t>TIERP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3443-2021</t>
        </is>
      </c>
      <c r="B217" s="1" t="n">
        <v>44218</v>
      </c>
      <c r="C217" s="1" t="n">
        <v>45204</v>
      </c>
      <c r="D217" t="inlineStr">
        <is>
          <t>UPPSALA LÄN</t>
        </is>
      </c>
      <c r="E217" t="inlineStr">
        <is>
          <t>TIERP</t>
        </is>
      </c>
      <c r="G217" t="n">
        <v>6.9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5857-2021</t>
        </is>
      </c>
      <c r="B218" s="1" t="n">
        <v>44231</v>
      </c>
      <c r="C218" s="1" t="n">
        <v>45204</v>
      </c>
      <c r="D218" t="inlineStr">
        <is>
          <t>UPPSALA LÄN</t>
        </is>
      </c>
      <c r="E218" t="inlineStr">
        <is>
          <t>TIERP</t>
        </is>
      </c>
      <c r="F218" t="inlineStr">
        <is>
          <t>Bergvik skog väst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7036-2021</t>
        </is>
      </c>
      <c r="B219" s="1" t="n">
        <v>44237</v>
      </c>
      <c r="C219" s="1" t="n">
        <v>45204</v>
      </c>
      <c r="D219" t="inlineStr">
        <is>
          <t>UPPSALA LÄN</t>
        </is>
      </c>
      <c r="E219" t="inlineStr">
        <is>
          <t>TIERP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11937-2021</t>
        </is>
      </c>
      <c r="B220" s="1" t="n">
        <v>44266</v>
      </c>
      <c r="C220" s="1" t="n">
        <v>45204</v>
      </c>
      <c r="D220" t="inlineStr">
        <is>
          <t>UPPSALA LÄN</t>
        </is>
      </c>
      <c r="E220" t="inlineStr">
        <is>
          <t>TIERP</t>
        </is>
      </c>
      <c r="F220" t="inlineStr">
        <is>
          <t>Bergvik skog öst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12591-2021</t>
        </is>
      </c>
      <c r="B221" s="1" t="n">
        <v>44270</v>
      </c>
      <c r="C221" s="1" t="n">
        <v>45204</v>
      </c>
      <c r="D221" t="inlineStr">
        <is>
          <t>UPPSALA LÄN</t>
        </is>
      </c>
      <c r="E221" t="inlineStr">
        <is>
          <t>TIERP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14934-2021</t>
        </is>
      </c>
      <c r="B222" s="1" t="n">
        <v>44281</v>
      </c>
      <c r="C222" s="1" t="n">
        <v>45204</v>
      </c>
      <c r="D222" t="inlineStr">
        <is>
          <t>UPPSALA LÄN</t>
        </is>
      </c>
      <c r="E222" t="inlineStr">
        <is>
          <t>TIERP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15677-2021</t>
        </is>
      </c>
      <c r="B223" s="1" t="n">
        <v>44286</v>
      </c>
      <c r="C223" s="1" t="n">
        <v>45204</v>
      </c>
      <c r="D223" t="inlineStr">
        <is>
          <t>UPPSALA LÄN</t>
        </is>
      </c>
      <c r="E223" t="inlineStr">
        <is>
          <t>TIERP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15728-2021</t>
        </is>
      </c>
      <c r="B224" s="1" t="n">
        <v>44286</v>
      </c>
      <c r="C224" s="1" t="n">
        <v>45204</v>
      </c>
      <c r="D224" t="inlineStr">
        <is>
          <t>UPPSALA LÄN</t>
        </is>
      </c>
      <c r="E224" t="inlineStr">
        <is>
          <t>TIERP</t>
        </is>
      </c>
      <c r="F224" t="inlineStr">
        <is>
          <t>Bergvik skog öst AB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16106-2021</t>
        </is>
      </c>
      <c r="B225" s="1" t="n">
        <v>44290</v>
      </c>
      <c r="C225" s="1" t="n">
        <v>45204</v>
      </c>
      <c r="D225" t="inlineStr">
        <is>
          <t>UPPSALA LÄN</t>
        </is>
      </c>
      <c r="E225" t="inlineStr">
        <is>
          <t>TIERP</t>
        </is>
      </c>
      <c r="F225" t="inlineStr">
        <is>
          <t>Bergvik skog väst AB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16124-2021</t>
        </is>
      </c>
      <c r="B226" s="1" t="n">
        <v>44291</v>
      </c>
      <c r="C226" s="1" t="n">
        <v>45204</v>
      </c>
      <c r="D226" t="inlineStr">
        <is>
          <t>UPPSALA LÄN</t>
        </is>
      </c>
      <c r="E226" t="inlineStr">
        <is>
          <t>TIERP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18996-2021</t>
        </is>
      </c>
      <c r="B227" s="1" t="n">
        <v>44308</v>
      </c>
      <c r="C227" s="1" t="n">
        <v>45204</v>
      </c>
      <c r="D227" t="inlineStr">
        <is>
          <t>UPPSALA LÄN</t>
        </is>
      </c>
      <c r="E227" t="inlineStr">
        <is>
          <t>TIERP</t>
        </is>
      </c>
      <c r="F227" t="inlineStr">
        <is>
          <t>Bergvik skog väst AB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19222-2021</t>
        </is>
      </c>
      <c r="B228" s="1" t="n">
        <v>44309</v>
      </c>
      <c r="C228" s="1" t="n">
        <v>45204</v>
      </c>
      <c r="D228" t="inlineStr">
        <is>
          <t>UPPSALA LÄN</t>
        </is>
      </c>
      <c r="E228" t="inlineStr">
        <is>
          <t>TIERP</t>
        </is>
      </c>
      <c r="F228" t="inlineStr">
        <is>
          <t>Bergvik skog väst AB</t>
        </is>
      </c>
      <c r="G228" t="n">
        <v>11.1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21967-2021</t>
        </is>
      </c>
      <c r="B229" s="1" t="n">
        <v>44323</v>
      </c>
      <c r="C229" s="1" t="n">
        <v>45204</v>
      </c>
      <c r="D229" t="inlineStr">
        <is>
          <t>UPPSALA LÄN</t>
        </is>
      </c>
      <c r="E229" t="inlineStr">
        <is>
          <t>TIERP</t>
        </is>
      </c>
      <c r="F229" t="inlineStr">
        <is>
          <t>Bergvik skog väst AB</t>
        </is>
      </c>
      <c r="G229" t="n">
        <v>5.3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23324-2021</t>
        </is>
      </c>
      <c r="B230" s="1" t="n">
        <v>44333</v>
      </c>
      <c r="C230" s="1" t="n">
        <v>45204</v>
      </c>
      <c r="D230" t="inlineStr">
        <is>
          <t>UPPSALA LÄN</t>
        </is>
      </c>
      <c r="E230" t="inlineStr">
        <is>
          <t>TIERP</t>
        </is>
      </c>
      <c r="F230" t="inlineStr">
        <is>
          <t>Bergvik skog väst AB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23380-2021</t>
        </is>
      </c>
      <c r="B231" s="1" t="n">
        <v>44333</v>
      </c>
      <c r="C231" s="1" t="n">
        <v>45204</v>
      </c>
      <c r="D231" t="inlineStr">
        <is>
          <t>UPPSALA LÄN</t>
        </is>
      </c>
      <c r="E231" t="inlineStr">
        <is>
          <t>TIERP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23828-2021</t>
        </is>
      </c>
      <c r="B232" s="1" t="n">
        <v>44335</v>
      </c>
      <c r="C232" s="1" t="n">
        <v>45204</v>
      </c>
      <c r="D232" t="inlineStr">
        <is>
          <t>UPPSALA LÄN</t>
        </is>
      </c>
      <c r="E232" t="inlineStr">
        <is>
          <t>TIERP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23835-2021</t>
        </is>
      </c>
      <c r="B233" s="1" t="n">
        <v>44335</v>
      </c>
      <c r="C233" s="1" t="n">
        <v>45204</v>
      </c>
      <c r="D233" t="inlineStr">
        <is>
          <t>UPPSALA LÄN</t>
        </is>
      </c>
      <c r="E233" t="inlineStr">
        <is>
          <t>TIERP</t>
        </is>
      </c>
      <c r="F233" t="inlineStr">
        <is>
          <t>Bergvik skog väst AB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24276-2021</t>
        </is>
      </c>
      <c r="B234" s="1" t="n">
        <v>44337</v>
      </c>
      <c r="C234" s="1" t="n">
        <v>45204</v>
      </c>
      <c r="D234" t="inlineStr">
        <is>
          <t>UPPSALA LÄN</t>
        </is>
      </c>
      <c r="E234" t="inlineStr">
        <is>
          <t>TIERP</t>
        </is>
      </c>
      <c r="F234" t="inlineStr">
        <is>
          <t>Bergvik skog väst AB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24431-2021</t>
        </is>
      </c>
      <c r="B235" s="1" t="n">
        <v>44337</v>
      </c>
      <c r="C235" s="1" t="n">
        <v>45204</v>
      </c>
      <c r="D235" t="inlineStr">
        <is>
          <t>UPPSALA LÄN</t>
        </is>
      </c>
      <c r="E235" t="inlineStr">
        <is>
          <t>TIERP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24278-2021</t>
        </is>
      </c>
      <c r="B236" s="1" t="n">
        <v>44337</v>
      </c>
      <c r="C236" s="1" t="n">
        <v>45204</v>
      </c>
      <c r="D236" t="inlineStr">
        <is>
          <t>UPPSALA LÄN</t>
        </is>
      </c>
      <c r="E236" t="inlineStr">
        <is>
          <t>TIERP</t>
        </is>
      </c>
      <c r="F236" t="inlineStr">
        <is>
          <t>Bergvik skog väst AB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26301-2021</t>
        </is>
      </c>
      <c r="B237" s="1" t="n">
        <v>44347</v>
      </c>
      <c r="C237" s="1" t="n">
        <v>45204</v>
      </c>
      <c r="D237" t="inlineStr">
        <is>
          <t>UPPSALA LÄN</t>
        </is>
      </c>
      <c r="E237" t="inlineStr">
        <is>
          <t>TIERP</t>
        </is>
      </c>
      <c r="F237" t="inlineStr">
        <is>
          <t>Bergvik skog väst AB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30742-2021</t>
        </is>
      </c>
      <c r="B238" s="1" t="n">
        <v>44365</v>
      </c>
      <c r="C238" s="1" t="n">
        <v>45204</v>
      </c>
      <c r="D238" t="inlineStr">
        <is>
          <t>UPPSALA LÄN</t>
        </is>
      </c>
      <c r="E238" t="inlineStr">
        <is>
          <t>TIERP</t>
        </is>
      </c>
      <c r="F238" t="inlineStr">
        <is>
          <t>Bergvik skog väst AB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31099-2021</t>
        </is>
      </c>
      <c r="B239" s="1" t="n">
        <v>44368</v>
      </c>
      <c r="C239" s="1" t="n">
        <v>45204</v>
      </c>
      <c r="D239" t="inlineStr">
        <is>
          <t>UPPSALA LÄN</t>
        </is>
      </c>
      <c r="E239" t="inlineStr">
        <is>
          <t>TIERP</t>
        </is>
      </c>
      <c r="F239" t="inlineStr">
        <is>
          <t>Bergvik skog öst AB</t>
        </is>
      </c>
      <c r="G239" t="n">
        <v>12.6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32207-2021</t>
        </is>
      </c>
      <c r="B240" s="1" t="n">
        <v>44371</v>
      </c>
      <c r="C240" s="1" t="n">
        <v>45204</v>
      </c>
      <c r="D240" t="inlineStr">
        <is>
          <t>UPPSALA LÄN</t>
        </is>
      </c>
      <c r="E240" t="inlineStr">
        <is>
          <t>TIERP</t>
        </is>
      </c>
      <c r="F240" t="inlineStr">
        <is>
          <t>Bergvik skog väst AB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34648-2021</t>
        </is>
      </c>
      <c r="B241" s="1" t="n">
        <v>44382</v>
      </c>
      <c r="C241" s="1" t="n">
        <v>45204</v>
      </c>
      <c r="D241" t="inlineStr">
        <is>
          <t>UPPSALA LÄN</t>
        </is>
      </c>
      <c r="E241" t="inlineStr">
        <is>
          <t>TIERP</t>
        </is>
      </c>
      <c r="F241" t="inlineStr">
        <is>
          <t>Bergvik skog väst AB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36069-2021</t>
        </is>
      </c>
      <c r="B242" s="1" t="n">
        <v>44389</v>
      </c>
      <c r="C242" s="1" t="n">
        <v>45204</v>
      </c>
      <c r="D242" t="inlineStr">
        <is>
          <t>UPPSALA LÄN</t>
        </is>
      </c>
      <c r="E242" t="inlineStr">
        <is>
          <t>TIERP</t>
        </is>
      </c>
      <c r="F242" t="inlineStr">
        <is>
          <t>Övriga Aktiebolag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36150-2021</t>
        </is>
      </c>
      <c r="B243" s="1" t="n">
        <v>44389</v>
      </c>
      <c r="C243" s="1" t="n">
        <v>45204</v>
      </c>
      <c r="D243" t="inlineStr">
        <is>
          <t>UPPSALA LÄN</t>
        </is>
      </c>
      <c r="E243" t="inlineStr">
        <is>
          <t>TIERP</t>
        </is>
      </c>
      <c r="F243" t="inlineStr">
        <is>
          <t>Bergvik skog öst AB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39838-2021</t>
        </is>
      </c>
      <c r="B244" s="1" t="n">
        <v>44417</v>
      </c>
      <c r="C244" s="1" t="n">
        <v>45204</v>
      </c>
      <c r="D244" t="inlineStr">
        <is>
          <t>UPPSALA LÄN</t>
        </is>
      </c>
      <c r="E244" t="inlineStr">
        <is>
          <t>TIERP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40804-2021</t>
        </is>
      </c>
      <c r="B245" s="1" t="n">
        <v>44421</v>
      </c>
      <c r="C245" s="1" t="n">
        <v>45204</v>
      </c>
      <c r="D245" t="inlineStr">
        <is>
          <t>UPPSALA LÄN</t>
        </is>
      </c>
      <c r="E245" t="inlineStr">
        <is>
          <t>TIERP</t>
        </is>
      </c>
      <c r="F245" t="inlineStr">
        <is>
          <t>Kyrkan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40793-2021</t>
        </is>
      </c>
      <c r="B246" s="1" t="n">
        <v>44421</v>
      </c>
      <c r="C246" s="1" t="n">
        <v>45204</v>
      </c>
      <c r="D246" t="inlineStr">
        <is>
          <t>UPPSALA LÄN</t>
        </is>
      </c>
      <c r="E246" t="inlineStr">
        <is>
          <t>TIERP</t>
        </is>
      </c>
      <c r="F246" t="inlineStr">
        <is>
          <t>Kyrkan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42262-2021</t>
        </is>
      </c>
      <c r="B247" s="1" t="n">
        <v>44427</v>
      </c>
      <c r="C247" s="1" t="n">
        <v>45204</v>
      </c>
      <c r="D247" t="inlineStr">
        <is>
          <t>UPPSALA LÄN</t>
        </is>
      </c>
      <c r="E247" t="inlineStr">
        <is>
          <t>TIERP</t>
        </is>
      </c>
      <c r="F247" t="inlineStr">
        <is>
          <t>Bergvik skog väst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43020-2021</t>
        </is>
      </c>
      <c r="B248" s="1" t="n">
        <v>44431</v>
      </c>
      <c r="C248" s="1" t="n">
        <v>45204</v>
      </c>
      <c r="D248" t="inlineStr">
        <is>
          <t>UPPSALA LÄN</t>
        </is>
      </c>
      <c r="E248" t="inlineStr">
        <is>
          <t>TIERP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44009-2021</t>
        </is>
      </c>
      <c r="B249" s="1" t="n">
        <v>44434</v>
      </c>
      <c r="C249" s="1" t="n">
        <v>45204</v>
      </c>
      <c r="D249" t="inlineStr">
        <is>
          <t>UPPSALA LÄN</t>
        </is>
      </c>
      <c r="E249" t="inlineStr">
        <is>
          <t>TIERP</t>
        </is>
      </c>
      <c r="F249" t="inlineStr">
        <is>
          <t>Bergvik skog väst AB</t>
        </is>
      </c>
      <c r="G249" t="n">
        <v>5.8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44690-2021</t>
        </is>
      </c>
      <c r="B250" s="1" t="n">
        <v>44438</v>
      </c>
      <c r="C250" s="1" t="n">
        <v>45204</v>
      </c>
      <c r="D250" t="inlineStr">
        <is>
          <t>UPPSALA LÄN</t>
        </is>
      </c>
      <c r="E250" t="inlineStr">
        <is>
          <t>TIERP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45579-2021</t>
        </is>
      </c>
      <c r="B251" s="1" t="n">
        <v>44440</v>
      </c>
      <c r="C251" s="1" t="n">
        <v>45204</v>
      </c>
      <c r="D251" t="inlineStr">
        <is>
          <t>UPPSALA LÄN</t>
        </is>
      </c>
      <c r="E251" t="inlineStr">
        <is>
          <t>TIERP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45993-2021</t>
        </is>
      </c>
      <c r="B252" s="1" t="n">
        <v>44441</v>
      </c>
      <c r="C252" s="1" t="n">
        <v>45204</v>
      </c>
      <c r="D252" t="inlineStr">
        <is>
          <t>UPPSALA LÄN</t>
        </is>
      </c>
      <c r="E252" t="inlineStr">
        <is>
          <t>TIERP</t>
        </is>
      </c>
      <c r="F252" t="inlineStr">
        <is>
          <t>Bergvik skog väst AB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46976-2021</t>
        </is>
      </c>
      <c r="B253" s="1" t="n">
        <v>44446</v>
      </c>
      <c r="C253" s="1" t="n">
        <v>45204</v>
      </c>
      <c r="D253" t="inlineStr">
        <is>
          <t>UPPSALA LÄN</t>
        </is>
      </c>
      <c r="E253" t="inlineStr">
        <is>
          <t>TIERP</t>
        </is>
      </c>
      <c r="F253" t="inlineStr">
        <is>
          <t>Bergvik skog väst AB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48536-2021</t>
        </is>
      </c>
      <c r="B254" s="1" t="n">
        <v>44452</v>
      </c>
      <c r="C254" s="1" t="n">
        <v>45204</v>
      </c>
      <c r="D254" t="inlineStr">
        <is>
          <t>UPPSALA LÄN</t>
        </is>
      </c>
      <c r="E254" t="inlineStr">
        <is>
          <t>TIERP</t>
        </is>
      </c>
      <c r="F254" t="inlineStr">
        <is>
          <t>Bergvik skog väst AB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48880-2021</t>
        </is>
      </c>
      <c r="B255" s="1" t="n">
        <v>44452</v>
      </c>
      <c r="C255" s="1" t="n">
        <v>45204</v>
      </c>
      <c r="D255" t="inlineStr">
        <is>
          <t>UPPSALA LÄN</t>
        </is>
      </c>
      <c r="E255" t="inlineStr">
        <is>
          <t>TIERP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48455-2021</t>
        </is>
      </c>
      <c r="B256" s="1" t="n">
        <v>44452</v>
      </c>
      <c r="C256" s="1" t="n">
        <v>45204</v>
      </c>
      <c r="D256" t="inlineStr">
        <is>
          <t>UPPSALA LÄN</t>
        </is>
      </c>
      <c r="E256" t="inlineStr">
        <is>
          <t>TIERP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48485-2021</t>
        </is>
      </c>
      <c r="B257" s="1" t="n">
        <v>44452</v>
      </c>
      <c r="C257" s="1" t="n">
        <v>45204</v>
      </c>
      <c r="D257" t="inlineStr">
        <is>
          <t>UPPSALA LÄN</t>
        </is>
      </c>
      <c r="E257" t="inlineStr">
        <is>
          <t>TIERP</t>
        </is>
      </c>
      <c r="F257" t="inlineStr">
        <is>
          <t>Bergvik skog väst AB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48970-2021</t>
        </is>
      </c>
      <c r="B258" s="1" t="n">
        <v>44453</v>
      </c>
      <c r="C258" s="1" t="n">
        <v>45204</v>
      </c>
      <c r="D258" t="inlineStr">
        <is>
          <t>UPPSALA LÄN</t>
        </is>
      </c>
      <c r="E258" t="inlineStr">
        <is>
          <t>TIERP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48982-2021</t>
        </is>
      </c>
      <c r="B259" s="1" t="n">
        <v>44453</v>
      </c>
      <c r="C259" s="1" t="n">
        <v>45204</v>
      </c>
      <c r="D259" t="inlineStr">
        <is>
          <t>UPPSALA LÄN</t>
        </is>
      </c>
      <c r="E259" t="inlineStr">
        <is>
          <t>TIERP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49053-2021</t>
        </is>
      </c>
      <c r="B260" s="1" t="n">
        <v>44453</v>
      </c>
      <c r="C260" s="1" t="n">
        <v>45204</v>
      </c>
      <c r="D260" t="inlineStr">
        <is>
          <t>UPPSALA LÄN</t>
        </is>
      </c>
      <c r="E260" t="inlineStr">
        <is>
          <t>TIERP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50429-2021</t>
        </is>
      </c>
      <c r="B261" s="1" t="n">
        <v>44459</v>
      </c>
      <c r="C261" s="1" t="n">
        <v>45204</v>
      </c>
      <c r="D261" t="inlineStr">
        <is>
          <t>UPPSALA LÄN</t>
        </is>
      </c>
      <c r="E261" t="inlineStr">
        <is>
          <t>TIERP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50442-2021</t>
        </is>
      </c>
      <c r="B262" s="1" t="n">
        <v>44459</v>
      </c>
      <c r="C262" s="1" t="n">
        <v>45204</v>
      </c>
      <c r="D262" t="inlineStr">
        <is>
          <t>UPPSALA LÄN</t>
        </is>
      </c>
      <c r="E262" t="inlineStr">
        <is>
          <t>TIERP</t>
        </is>
      </c>
      <c r="F262" t="inlineStr">
        <is>
          <t>Bergvik skog öst AB</t>
        </is>
      </c>
      <c r="G262" t="n">
        <v>5.8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52025-2021</t>
        </is>
      </c>
      <c r="B263" s="1" t="n">
        <v>44463</v>
      </c>
      <c r="C263" s="1" t="n">
        <v>45204</v>
      </c>
      <c r="D263" t="inlineStr">
        <is>
          <t>UPPSALA LÄN</t>
        </is>
      </c>
      <c r="E263" t="inlineStr">
        <is>
          <t>TIERP</t>
        </is>
      </c>
      <c r="F263" t="inlineStr">
        <is>
          <t>Bergvik skog öst AB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53666-2021</t>
        </is>
      </c>
      <c r="B264" s="1" t="n">
        <v>44469</v>
      </c>
      <c r="C264" s="1" t="n">
        <v>45204</v>
      </c>
      <c r="D264" t="inlineStr">
        <is>
          <t>UPPSALA LÄN</t>
        </is>
      </c>
      <c r="E264" t="inlineStr">
        <is>
          <t>TIERP</t>
        </is>
      </c>
      <c r="F264" t="inlineStr">
        <is>
          <t>Bergvik skog öst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56498-2021</t>
        </is>
      </c>
      <c r="B265" s="1" t="n">
        <v>44480</v>
      </c>
      <c r="C265" s="1" t="n">
        <v>45204</v>
      </c>
      <c r="D265" t="inlineStr">
        <is>
          <t>UPPSALA LÄN</t>
        </is>
      </c>
      <c r="E265" t="inlineStr">
        <is>
          <t>TIERP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56740-2021</t>
        </is>
      </c>
      <c r="B266" s="1" t="n">
        <v>44481</v>
      </c>
      <c r="C266" s="1" t="n">
        <v>45204</v>
      </c>
      <c r="D266" t="inlineStr">
        <is>
          <t>UPPSALA LÄN</t>
        </is>
      </c>
      <c r="E266" t="inlineStr">
        <is>
          <t>TIERP</t>
        </is>
      </c>
      <c r="F266" t="inlineStr">
        <is>
          <t>Bergvik skog öst AB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57028-2021</t>
        </is>
      </c>
      <c r="B267" s="1" t="n">
        <v>44482</v>
      </c>
      <c r="C267" s="1" t="n">
        <v>45204</v>
      </c>
      <c r="D267" t="inlineStr">
        <is>
          <t>UPPSALA LÄN</t>
        </is>
      </c>
      <c r="E267" t="inlineStr">
        <is>
          <t>TIERP</t>
        </is>
      </c>
      <c r="F267" t="inlineStr">
        <is>
          <t>Bergvik skog väst AB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59378-2021</t>
        </is>
      </c>
      <c r="B268" s="1" t="n">
        <v>44491</v>
      </c>
      <c r="C268" s="1" t="n">
        <v>45204</v>
      </c>
      <c r="D268" t="inlineStr">
        <is>
          <t>UPPSALA LÄN</t>
        </is>
      </c>
      <c r="E268" t="inlineStr">
        <is>
          <t>TIERP</t>
        </is>
      </c>
      <c r="F268" t="inlineStr">
        <is>
          <t>Bergvik skog öst AB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60429-2021</t>
        </is>
      </c>
      <c r="B269" s="1" t="n">
        <v>44496</v>
      </c>
      <c r="C269" s="1" t="n">
        <v>45204</v>
      </c>
      <c r="D269" t="inlineStr">
        <is>
          <t>UPPSALA LÄN</t>
        </is>
      </c>
      <c r="E269" t="inlineStr">
        <is>
          <t>TIERP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60441-2021</t>
        </is>
      </c>
      <c r="B270" s="1" t="n">
        <v>44496</v>
      </c>
      <c r="C270" s="1" t="n">
        <v>45204</v>
      </c>
      <c r="D270" t="inlineStr">
        <is>
          <t>UPPSALA LÄN</t>
        </is>
      </c>
      <c r="E270" t="inlineStr">
        <is>
          <t>TIERP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65255-2021</t>
        </is>
      </c>
      <c r="B271" s="1" t="n">
        <v>44515</v>
      </c>
      <c r="C271" s="1" t="n">
        <v>45204</v>
      </c>
      <c r="D271" t="inlineStr">
        <is>
          <t>UPPSALA LÄN</t>
        </is>
      </c>
      <c r="E271" t="inlineStr">
        <is>
          <t>TIERP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68410-2021</t>
        </is>
      </c>
      <c r="B272" s="1" t="n">
        <v>44529</v>
      </c>
      <c r="C272" s="1" t="n">
        <v>45204</v>
      </c>
      <c r="D272" t="inlineStr">
        <is>
          <t>UPPSALA LÄN</t>
        </is>
      </c>
      <c r="E272" t="inlineStr">
        <is>
          <t>TIERP</t>
        </is>
      </c>
      <c r="F272" t="inlineStr">
        <is>
          <t>Bergvik skog öst AB</t>
        </is>
      </c>
      <c r="G272" t="n">
        <v>35.5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72914-2021</t>
        </is>
      </c>
      <c r="B273" s="1" t="n">
        <v>44547</v>
      </c>
      <c r="C273" s="1" t="n">
        <v>45204</v>
      </c>
      <c r="D273" t="inlineStr">
        <is>
          <t>UPPSALA LÄN</t>
        </is>
      </c>
      <c r="E273" t="inlineStr">
        <is>
          <t>TIERP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72975-2021</t>
        </is>
      </c>
      <c r="B274" s="1" t="n">
        <v>44548</v>
      </c>
      <c r="C274" s="1" t="n">
        <v>45204</v>
      </c>
      <c r="D274" t="inlineStr">
        <is>
          <t>UPPSALA LÄN</t>
        </is>
      </c>
      <c r="E274" t="inlineStr">
        <is>
          <t>TIERP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74473-2021</t>
        </is>
      </c>
      <c r="B275" s="1" t="n">
        <v>44560</v>
      </c>
      <c r="C275" s="1" t="n">
        <v>45204</v>
      </c>
      <c r="D275" t="inlineStr">
        <is>
          <t>UPPSALA LÄN</t>
        </is>
      </c>
      <c r="E275" t="inlineStr">
        <is>
          <t>TIERP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871-2022</t>
        </is>
      </c>
      <c r="B276" s="1" t="n">
        <v>44571</v>
      </c>
      <c r="C276" s="1" t="n">
        <v>45204</v>
      </c>
      <c r="D276" t="inlineStr">
        <is>
          <t>UPPSALA LÄN</t>
        </is>
      </c>
      <c r="E276" t="inlineStr">
        <is>
          <t>TIERP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2248-2022</t>
        </is>
      </c>
      <c r="B277" s="1" t="n">
        <v>44578</v>
      </c>
      <c r="C277" s="1" t="n">
        <v>45204</v>
      </c>
      <c r="D277" t="inlineStr">
        <is>
          <t>UPPSALA LÄN</t>
        </is>
      </c>
      <c r="E277" t="inlineStr">
        <is>
          <t>TIERP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2534-2022</t>
        </is>
      </c>
      <c r="B278" s="1" t="n">
        <v>44579</v>
      </c>
      <c r="C278" s="1" t="n">
        <v>45204</v>
      </c>
      <c r="D278" t="inlineStr">
        <is>
          <t>UPPSALA LÄN</t>
        </is>
      </c>
      <c r="E278" t="inlineStr">
        <is>
          <t>TIERP</t>
        </is>
      </c>
      <c r="G278" t="n">
        <v>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2559-2022</t>
        </is>
      </c>
      <c r="B279" s="1" t="n">
        <v>44580</v>
      </c>
      <c r="C279" s="1" t="n">
        <v>45204</v>
      </c>
      <c r="D279" t="inlineStr">
        <is>
          <t>UPPSALA LÄN</t>
        </is>
      </c>
      <c r="E279" t="inlineStr">
        <is>
          <t>TIERP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2771-2022</t>
        </is>
      </c>
      <c r="B280" s="1" t="n">
        <v>44581</v>
      </c>
      <c r="C280" s="1" t="n">
        <v>45204</v>
      </c>
      <c r="D280" t="inlineStr">
        <is>
          <t>UPPSALA LÄN</t>
        </is>
      </c>
      <c r="E280" t="inlineStr">
        <is>
          <t>TIERP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2795-2022</t>
        </is>
      </c>
      <c r="B281" s="1" t="n">
        <v>44581</v>
      </c>
      <c r="C281" s="1" t="n">
        <v>45204</v>
      </c>
      <c r="D281" t="inlineStr">
        <is>
          <t>UPPSALA LÄN</t>
        </is>
      </c>
      <c r="E281" t="inlineStr">
        <is>
          <t>TIERP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2814-2022</t>
        </is>
      </c>
      <c r="B282" s="1" t="n">
        <v>44581</v>
      </c>
      <c r="C282" s="1" t="n">
        <v>45204</v>
      </c>
      <c r="D282" t="inlineStr">
        <is>
          <t>UPPSALA LÄN</t>
        </is>
      </c>
      <c r="E282" t="inlineStr">
        <is>
          <t>TIERP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4083-2022</t>
        </is>
      </c>
      <c r="B283" s="1" t="n">
        <v>44588</v>
      </c>
      <c r="C283" s="1" t="n">
        <v>45204</v>
      </c>
      <c r="D283" t="inlineStr">
        <is>
          <t>UPPSALA LÄN</t>
        </is>
      </c>
      <c r="E283" t="inlineStr">
        <is>
          <t>TIERP</t>
        </is>
      </c>
      <c r="G283" t="n">
        <v>26.1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7068-2022</t>
        </is>
      </c>
      <c r="B284" s="1" t="n">
        <v>44603</v>
      </c>
      <c r="C284" s="1" t="n">
        <v>45204</v>
      </c>
      <c r="D284" t="inlineStr">
        <is>
          <t>UPPSALA LÄN</t>
        </is>
      </c>
      <c r="E284" t="inlineStr">
        <is>
          <t>TIERP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9288-2022</t>
        </is>
      </c>
      <c r="B285" s="1" t="n">
        <v>44616</v>
      </c>
      <c r="C285" s="1" t="n">
        <v>45204</v>
      </c>
      <c r="D285" t="inlineStr">
        <is>
          <t>UPPSALA LÄN</t>
        </is>
      </c>
      <c r="E285" t="inlineStr">
        <is>
          <t>TIERP</t>
        </is>
      </c>
      <c r="G285" t="n">
        <v>7.9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9564-2022</t>
        </is>
      </c>
      <c r="B286" s="1" t="n">
        <v>44617</v>
      </c>
      <c r="C286" s="1" t="n">
        <v>45204</v>
      </c>
      <c r="D286" t="inlineStr">
        <is>
          <t>UPPSALA LÄN</t>
        </is>
      </c>
      <c r="E286" t="inlineStr">
        <is>
          <t>TIERP</t>
        </is>
      </c>
      <c r="G286" t="n">
        <v>11.9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13237-2022</t>
        </is>
      </c>
      <c r="B287" s="1" t="n">
        <v>44644</v>
      </c>
      <c r="C287" s="1" t="n">
        <v>45204</v>
      </c>
      <c r="D287" t="inlineStr">
        <is>
          <t>UPPSALA LÄN</t>
        </is>
      </c>
      <c r="E287" t="inlineStr">
        <is>
          <t>TIERP</t>
        </is>
      </c>
      <c r="G287" t="n">
        <v>7.8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14860-2022</t>
        </is>
      </c>
      <c r="B288" s="1" t="n">
        <v>44656</v>
      </c>
      <c r="C288" s="1" t="n">
        <v>45204</v>
      </c>
      <c r="D288" t="inlineStr">
        <is>
          <t>UPPSALA LÄN</t>
        </is>
      </c>
      <c r="E288" t="inlineStr">
        <is>
          <t>TIERP</t>
        </is>
      </c>
      <c r="F288" t="inlineStr">
        <is>
          <t>Bergvik skog öst AB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16253-2022</t>
        </is>
      </c>
      <c r="B289" s="1" t="n">
        <v>44670</v>
      </c>
      <c r="C289" s="1" t="n">
        <v>45204</v>
      </c>
      <c r="D289" t="inlineStr">
        <is>
          <t>UPPSALA LÄN</t>
        </is>
      </c>
      <c r="E289" t="inlineStr">
        <is>
          <t>TIERP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17074-2022</t>
        </is>
      </c>
      <c r="B290" s="1" t="n">
        <v>44677</v>
      </c>
      <c r="C290" s="1" t="n">
        <v>45204</v>
      </c>
      <c r="D290" t="inlineStr">
        <is>
          <t>UPPSALA LÄN</t>
        </is>
      </c>
      <c r="E290" t="inlineStr">
        <is>
          <t>TIERP</t>
        </is>
      </c>
      <c r="G290" t="n">
        <v>3.6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17158-2022</t>
        </is>
      </c>
      <c r="B291" s="1" t="n">
        <v>44677</v>
      </c>
      <c r="C291" s="1" t="n">
        <v>45204</v>
      </c>
      <c r="D291" t="inlineStr">
        <is>
          <t>UPPSALA LÄN</t>
        </is>
      </c>
      <c r="E291" t="inlineStr">
        <is>
          <t>TIERP</t>
        </is>
      </c>
      <c r="F291" t="inlineStr">
        <is>
          <t>Övriga Aktiebolag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18781-2022</t>
        </is>
      </c>
      <c r="B292" s="1" t="n">
        <v>44689</v>
      </c>
      <c r="C292" s="1" t="n">
        <v>45204</v>
      </c>
      <c r="D292" t="inlineStr">
        <is>
          <t>UPPSALA LÄN</t>
        </is>
      </c>
      <c r="E292" t="inlineStr">
        <is>
          <t>TIERP</t>
        </is>
      </c>
      <c r="F292" t="inlineStr">
        <is>
          <t>Kyrkan</t>
        </is>
      </c>
      <c r="G292" t="n">
        <v>8.4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19840-2022</t>
        </is>
      </c>
      <c r="B293" s="1" t="n">
        <v>44696</v>
      </c>
      <c r="C293" s="1" t="n">
        <v>45204</v>
      </c>
      <c r="D293" t="inlineStr">
        <is>
          <t>UPPSALA LÄN</t>
        </is>
      </c>
      <c r="E293" t="inlineStr">
        <is>
          <t>TIERP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20587-2022</t>
        </is>
      </c>
      <c r="B294" s="1" t="n">
        <v>44700</v>
      </c>
      <c r="C294" s="1" t="n">
        <v>45204</v>
      </c>
      <c r="D294" t="inlineStr">
        <is>
          <t>UPPSALA LÄN</t>
        </is>
      </c>
      <c r="E294" t="inlineStr">
        <is>
          <t>TIERP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20997-2022</t>
        </is>
      </c>
      <c r="B295" s="1" t="n">
        <v>44701</v>
      </c>
      <c r="C295" s="1" t="n">
        <v>45204</v>
      </c>
      <c r="D295" t="inlineStr">
        <is>
          <t>UPPSALA LÄN</t>
        </is>
      </c>
      <c r="E295" t="inlineStr">
        <is>
          <t>TIERP</t>
        </is>
      </c>
      <c r="F295" t="inlineStr">
        <is>
          <t>Bergvik skog väst AB</t>
        </is>
      </c>
      <c r="G295" t="n">
        <v>40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21017-2022</t>
        </is>
      </c>
      <c r="B296" s="1" t="n">
        <v>44704</v>
      </c>
      <c r="C296" s="1" t="n">
        <v>45204</v>
      </c>
      <c r="D296" t="inlineStr">
        <is>
          <t>UPPSALA LÄN</t>
        </is>
      </c>
      <c r="E296" t="inlineStr">
        <is>
          <t>TIERP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21132-2022</t>
        </is>
      </c>
      <c r="B297" s="1" t="n">
        <v>44704</v>
      </c>
      <c r="C297" s="1" t="n">
        <v>45204</v>
      </c>
      <c r="D297" t="inlineStr">
        <is>
          <t>UPPSALA LÄN</t>
        </is>
      </c>
      <c r="E297" t="inlineStr">
        <is>
          <t>TIERP</t>
        </is>
      </c>
      <c r="G297" t="n">
        <v>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21032-2022</t>
        </is>
      </c>
      <c r="B298" s="1" t="n">
        <v>44704</v>
      </c>
      <c r="C298" s="1" t="n">
        <v>45204</v>
      </c>
      <c r="D298" t="inlineStr">
        <is>
          <t>UPPSALA LÄN</t>
        </is>
      </c>
      <c r="E298" t="inlineStr">
        <is>
          <t>TIERP</t>
        </is>
      </c>
      <c r="F298" t="inlineStr">
        <is>
          <t>Bergvik skog öst AB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21332-2022</t>
        </is>
      </c>
      <c r="B299" s="1" t="n">
        <v>44705</v>
      </c>
      <c r="C299" s="1" t="n">
        <v>45204</v>
      </c>
      <c r="D299" t="inlineStr">
        <is>
          <t>UPPSALA LÄN</t>
        </is>
      </c>
      <c r="E299" t="inlineStr">
        <is>
          <t>TIERP</t>
        </is>
      </c>
      <c r="F299" t="inlineStr">
        <is>
          <t>Övriga Aktiebolag</t>
        </is>
      </c>
      <c r="G299" t="n">
        <v>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21776-2022</t>
        </is>
      </c>
      <c r="B300" s="1" t="n">
        <v>44708</v>
      </c>
      <c r="C300" s="1" t="n">
        <v>45204</v>
      </c>
      <c r="D300" t="inlineStr">
        <is>
          <t>UPPSALA LÄN</t>
        </is>
      </c>
      <c r="E300" t="inlineStr">
        <is>
          <t>TIERP</t>
        </is>
      </c>
      <c r="F300" t="inlineStr">
        <is>
          <t>Bergvik skog väst AB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21775-2022</t>
        </is>
      </c>
      <c r="B301" s="1" t="n">
        <v>44708</v>
      </c>
      <c r="C301" s="1" t="n">
        <v>45204</v>
      </c>
      <c r="D301" t="inlineStr">
        <is>
          <t>UPPSALA LÄN</t>
        </is>
      </c>
      <c r="E301" t="inlineStr">
        <is>
          <t>TIERP</t>
        </is>
      </c>
      <c r="F301" t="inlineStr">
        <is>
          <t>Bergvik skog väst AB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22592-2022</t>
        </is>
      </c>
      <c r="B302" s="1" t="n">
        <v>44713</v>
      </c>
      <c r="C302" s="1" t="n">
        <v>45204</v>
      </c>
      <c r="D302" t="inlineStr">
        <is>
          <t>UPPSALA LÄN</t>
        </is>
      </c>
      <c r="E302" t="inlineStr">
        <is>
          <t>TIERP</t>
        </is>
      </c>
      <c r="F302" t="inlineStr">
        <is>
          <t>Bergvik skog väst AB</t>
        </is>
      </c>
      <c r="G302" t="n">
        <v>9.800000000000001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22663-2022</t>
        </is>
      </c>
      <c r="B303" s="1" t="n">
        <v>44713</v>
      </c>
      <c r="C303" s="1" t="n">
        <v>45204</v>
      </c>
      <c r="D303" t="inlineStr">
        <is>
          <t>UPPSALA LÄN</t>
        </is>
      </c>
      <c r="E303" t="inlineStr">
        <is>
          <t>TIERP</t>
        </is>
      </c>
      <c r="F303" t="inlineStr">
        <is>
          <t>Bergvik skog väst AB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23959-2022</t>
        </is>
      </c>
      <c r="B304" s="1" t="n">
        <v>44722</v>
      </c>
      <c r="C304" s="1" t="n">
        <v>45204</v>
      </c>
      <c r="D304" t="inlineStr">
        <is>
          <t>UPPSALA LÄN</t>
        </is>
      </c>
      <c r="E304" t="inlineStr">
        <is>
          <t>TIERP</t>
        </is>
      </c>
      <c r="F304" t="inlineStr">
        <is>
          <t>Bergvik skog öst AB</t>
        </is>
      </c>
      <c r="G304" t="n">
        <v>8.1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24264-2022</t>
        </is>
      </c>
      <c r="B305" s="1" t="n">
        <v>44725</v>
      </c>
      <c r="C305" s="1" t="n">
        <v>45204</v>
      </c>
      <c r="D305" t="inlineStr">
        <is>
          <t>UPPSALA LÄN</t>
        </is>
      </c>
      <c r="E305" t="inlineStr">
        <is>
          <t>TIERP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  <c r="U305">
        <f>HYPERLINK("https://klasma.github.io/Logging_TIERP/knärot/A 24264-2022.png", "A 24264-2022")</f>
        <v/>
      </c>
      <c r="V305">
        <f>HYPERLINK("https://klasma.github.io/Logging_TIERP/klagomål/A 24264-2022.docx", "A 24264-2022")</f>
        <v/>
      </c>
      <c r="W305">
        <f>HYPERLINK("https://klasma.github.io/Logging_TIERP/klagomålsmail/A 24264-2022.docx", "A 24264-2022")</f>
        <v/>
      </c>
      <c r="X305">
        <f>HYPERLINK("https://klasma.github.io/Logging_TIERP/tillsyn/A 24264-2022.docx", "A 24264-2022")</f>
        <v/>
      </c>
      <c r="Y305">
        <f>HYPERLINK("https://klasma.github.io/Logging_TIERP/tillsynsmail/A 24264-2022.docx", "A 24264-2022")</f>
        <v/>
      </c>
    </row>
    <row r="306" ht="15" customHeight="1">
      <c r="A306" t="inlineStr">
        <is>
          <t>A 24341-2022</t>
        </is>
      </c>
      <c r="B306" s="1" t="n">
        <v>44726</v>
      </c>
      <c r="C306" s="1" t="n">
        <v>45204</v>
      </c>
      <c r="D306" t="inlineStr">
        <is>
          <t>UPPSALA LÄN</t>
        </is>
      </c>
      <c r="E306" t="inlineStr">
        <is>
          <t>TIERP</t>
        </is>
      </c>
      <c r="F306" t="inlineStr">
        <is>
          <t>Bergvik skog väst AB</t>
        </is>
      </c>
      <c r="G306" t="n">
        <v>8.4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24869-2022</t>
        </is>
      </c>
      <c r="B307" s="1" t="n">
        <v>44728</v>
      </c>
      <c r="C307" s="1" t="n">
        <v>45204</v>
      </c>
      <c r="D307" t="inlineStr">
        <is>
          <t>UPPSALA LÄN</t>
        </is>
      </c>
      <c r="E307" t="inlineStr">
        <is>
          <t>TIERP</t>
        </is>
      </c>
      <c r="G307" t="n">
        <v>5.6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25476-2022</t>
        </is>
      </c>
      <c r="B308" s="1" t="n">
        <v>44732</v>
      </c>
      <c r="C308" s="1" t="n">
        <v>45204</v>
      </c>
      <c r="D308" t="inlineStr">
        <is>
          <t>UPPSALA LÄN</t>
        </is>
      </c>
      <c r="E308" t="inlineStr">
        <is>
          <t>TIERP</t>
        </is>
      </c>
      <c r="F308" t="inlineStr">
        <is>
          <t>Bergvik skog öst AB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25958-2022</t>
        </is>
      </c>
      <c r="B309" s="1" t="n">
        <v>44734</v>
      </c>
      <c r="C309" s="1" t="n">
        <v>45204</v>
      </c>
      <c r="D309" t="inlineStr">
        <is>
          <t>UPPSALA LÄN</t>
        </is>
      </c>
      <c r="E309" t="inlineStr">
        <is>
          <t>TIERP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26111-2022</t>
        </is>
      </c>
      <c r="B310" s="1" t="n">
        <v>44734</v>
      </c>
      <c r="C310" s="1" t="n">
        <v>45204</v>
      </c>
      <c r="D310" t="inlineStr">
        <is>
          <t>UPPSALA LÄN</t>
        </is>
      </c>
      <c r="E310" t="inlineStr">
        <is>
          <t>TIERP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26161-2022</t>
        </is>
      </c>
      <c r="B311" s="1" t="n">
        <v>44735</v>
      </c>
      <c r="C311" s="1" t="n">
        <v>45204</v>
      </c>
      <c r="D311" t="inlineStr">
        <is>
          <t>UPPSALA LÄN</t>
        </is>
      </c>
      <c r="E311" t="inlineStr">
        <is>
          <t>TIERP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26656-2022</t>
        </is>
      </c>
      <c r="B312" s="1" t="n">
        <v>44739</v>
      </c>
      <c r="C312" s="1" t="n">
        <v>45204</v>
      </c>
      <c r="D312" t="inlineStr">
        <is>
          <t>UPPSALA LÄN</t>
        </is>
      </c>
      <c r="E312" t="inlineStr">
        <is>
          <t>TIERP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26537-2022</t>
        </is>
      </c>
      <c r="B313" s="1" t="n">
        <v>44739</v>
      </c>
      <c r="C313" s="1" t="n">
        <v>45204</v>
      </c>
      <c r="D313" t="inlineStr">
        <is>
          <t>UPPSALA LÄN</t>
        </is>
      </c>
      <c r="E313" t="inlineStr">
        <is>
          <t>TIERP</t>
        </is>
      </c>
      <c r="G313" t="n">
        <v>9.4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27533-2022</t>
        </is>
      </c>
      <c r="B314" s="1" t="n">
        <v>44742</v>
      </c>
      <c r="C314" s="1" t="n">
        <v>45204</v>
      </c>
      <c r="D314" t="inlineStr">
        <is>
          <t>UPPSALA LÄN</t>
        </is>
      </c>
      <c r="E314" t="inlineStr">
        <is>
          <t>TIERP</t>
        </is>
      </c>
      <c r="F314" t="inlineStr">
        <is>
          <t>Bergvik skog öst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27838-2022</t>
        </is>
      </c>
      <c r="B315" s="1" t="n">
        <v>44743</v>
      </c>
      <c r="C315" s="1" t="n">
        <v>45204</v>
      </c>
      <c r="D315" t="inlineStr">
        <is>
          <t>UPPSALA LÄN</t>
        </is>
      </c>
      <c r="E315" t="inlineStr">
        <is>
          <t>TIERP</t>
        </is>
      </c>
      <c r="G315" t="n">
        <v>15.2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27860-2022</t>
        </is>
      </c>
      <c r="B316" s="1" t="n">
        <v>44743</v>
      </c>
      <c r="C316" s="1" t="n">
        <v>45204</v>
      </c>
      <c r="D316" t="inlineStr">
        <is>
          <t>UPPSALA LÄN</t>
        </is>
      </c>
      <c r="E316" t="inlineStr">
        <is>
          <t>TIERP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28346-2022</t>
        </is>
      </c>
      <c r="B317" s="1" t="n">
        <v>44747</v>
      </c>
      <c r="C317" s="1" t="n">
        <v>45204</v>
      </c>
      <c r="D317" t="inlineStr">
        <is>
          <t>UPPSALA LÄN</t>
        </is>
      </c>
      <c r="E317" t="inlineStr">
        <is>
          <t>TIERP</t>
        </is>
      </c>
      <c r="F317" t="inlineStr">
        <is>
          <t>Bergvik skog väst AB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28565-2022</t>
        </is>
      </c>
      <c r="B318" s="1" t="n">
        <v>44748</v>
      </c>
      <c r="C318" s="1" t="n">
        <v>45204</v>
      </c>
      <c r="D318" t="inlineStr">
        <is>
          <t>UPPSALA LÄN</t>
        </is>
      </c>
      <c r="E318" t="inlineStr">
        <is>
          <t>TIERP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29103-2022</t>
        </is>
      </c>
      <c r="B319" s="1" t="n">
        <v>44750</v>
      </c>
      <c r="C319" s="1" t="n">
        <v>45204</v>
      </c>
      <c r="D319" t="inlineStr">
        <is>
          <t>UPPSALA LÄN</t>
        </is>
      </c>
      <c r="E319" t="inlineStr">
        <is>
          <t>TIERP</t>
        </is>
      </c>
      <c r="F319" t="inlineStr">
        <is>
          <t>Bergvik skog väst AB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29156-2022</t>
        </is>
      </c>
      <c r="B320" s="1" t="n">
        <v>44750</v>
      </c>
      <c r="C320" s="1" t="n">
        <v>45204</v>
      </c>
      <c r="D320" t="inlineStr">
        <is>
          <t>UPPSALA LÄN</t>
        </is>
      </c>
      <c r="E320" t="inlineStr">
        <is>
          <t>TIERP</t>
        </is>
      </c>
      <c r="F320" t="inlineStr">
        <is>
          <t>Övriga Aktiebolag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29737-2022</t>
        </is>
      </c>
      <c r="B321" s="1" t="n">
        <v>44755</v>
      </c>
      <c r="C321" s="1" t="n">
        <v>45204</v>
      </c>
      <c r="D321" t="inlineStr">
        <is>
          <t>UPPSALA LÄN</t>
        </is>
      </c>
      <c r="E321" t="inlineStr">
        <is>
          <t>TIERP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29899-2022</t>
        </is>
      </c>
      <c r="B322" s="1" t="n">
        <v>44756</v>
      </c>
      <c r="C322" s="1" t="n">
        <v>45204</v>
      </c>
      <c r="D322" t="inlineStr">
        <is>
          <t>UPPSALA LÄN</t>
        </is>
      </c>
      <c r="E322" t="inlineStr">
        <is>
          <t>TIERP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31094-2022</t>
        </is>
      </c>
      <c r="B323" s="1" t="n">
        <v>44769</v>
      </c>
      <c r="C323" s="1" t="n">
        <v>45204</v>
      </c>
      <c r="D323" t="inlineStr">
        <is>
          <t>UPPSALA LÄN</t>
        </is>
      </c>
      <c r="E323" t="inlineStr">
        <is>
          <t>TIERP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33286-2022</t>
        </is>
      </c>
      <c r="B324" s="1" t="n">
        <v>44788</v>
      </c>
      <c r="C324" s="1" t="n">
        <v>45204</v>
      </c>
      <c r="D324" t="inlineStr">
        <is>
          <t>UPPSALA LÄN</t>
        </is>
      </c>
      <c r="E324" t="inlineStr">
        <is>
          <t>TIERP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34460-2022</t>
        </is>
      </c>
      <c r="B325" s="1" t="n">
        <v>44792</v>
      </c>
      <c r="C325" s="1" t="n">
        <v>45204</v>
      </c>
      <c r="D325" t="inlineStr">
        <is>
          <t>UPPSALA LÄN</t>
        </is>
      </c>
      <c r="E325" t="inlineStr">
        <is>
          <t>TIERP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36549-2022</t>
        </is>
      </c>
      <c r="B326" s="1" t="n">
        <v>44804</v>
      </c>
      <c r="C326" s="1" t="n">
        <v>45204</v>
      </c>
      <c r="D326" t="inlineStr">
        <is>
          <t>UPPSALA LÄN</t>
        </is>
      </c>
      <c r="E326" t="inlineStr">
        <is>
          <t>TIERP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36561-2022</t>
        </is>
      </c>
      <c r="B327" s="1" t="n">
        <v>44804</v>
      </c>
      <c r="C327" s="1" t="n">
        <v>45204</v>
      </c>
      <c r="D327" t="inlineStr">
        <is>
          <t>UPPSALA LÄN</t>
        </is>
      </c>
      <c r="E327" t="inlineStr">
        <is>
          <t>TIERP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41971-2022</t>
        </is>
      </c>
      <c r="B328" s="1" t="n">
        <v>44827</v>
      </c>
      <c r="C328" s="1" t="n">
        <v>45204</v>
      </c>
      <c r="D328" t="inlineStr">
        <is>
          <t>UPPSALA LÄN</t>
        </is>
      </c>
      <c r="E328" t="inlineStr">
        <is>
          <t>TIERP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43680-2022</t>
        </is>
      </c>
      <c r="B329" s="1" t="n">
        <v>44837</v>
      </c>
      <c r="C329" s="1" t="n">
        <v>45204</v>
      </c>
      <c r="D329" t="inlineStr">
        <is>
          <t>UPPSALA LÄN</t>
        </is>
      </c>
      <c r="E329" t="inlineStr">
        <is>
          <t>TIERP</t>
        </is>
      </c>
      <c r="G329" t="n">
        <v>4.2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46681-2022</t>
        </is>
      </c>
      <c r="B330" s="1" t="n">
        <v>44843</v>
      </c>
      <c r="C330" s="1" t="n">
        <v>45204</v>
      </c>
      <c r="D330" t="inlineStr">
        <is>
          <t>UPPSALA LÄN</t>
        </is>
      </c>
      <c r="E330" t="inlineStr">
        <is>
          <t>TIERP</t>
        </is>
      </c>
      <c r="G330" t="n">
        <v>5.9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46275-2022</t>
        </is>
      </c>
      <c r="B331" s="1" t="n">
        <v>44847</v>
      </c>
      <c r="C331" s="1" t="n">
        <v>45204</v>
      </c>
      <c r="D331" t="inlineStr">
        <is>
          <t>UPPSALA LÄN</t>
        </is>
      </c>
      <c r="E331" t="inlineStr">
        <is>
          <t>TIERP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48483-2022</t>
        </is>
      </c>
      <c r="B332" s="1" t="n">
        <v>44858</v>
      </c>
      <c r="C332" s="1" t="n">
        <v>45204</v>
      </c>
      <c r="D332" t="inlineStr">
        <is>
          <t>UPPSALA LÄN</t>
        </is>
      </c>
      <c r="E332" t="inlineStr">
        <is>
          <t>TIERP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48750-2022</t>
        </is>
      </c>
      <c r="B333" s="1" t="n">
        <v>44859</v>
      </c>
      <c r="C333" s="1" t="n">
        <v>45204</v>
      </c>
      <c r="D333" t="inlineStr">
        <is>
          <t>UPPSALA LÄN</t>
        </is>
      </c>
      <c r="E333" t="inlineStr">
        <is>
          <t>TIERP</t>
        </is>
      </c>
      <c r="F333" t="inlineStr">
        <is>
          <t>Bergvik skog öst AB</t>
        </is>
      </c>
      <c r="G333" t="n">
        <v>30.2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48575-2022</t>
        </is>
      </c>
      <c r="B334" s="1" t="n">
        <v>44859</v>
      </c>
      <c r="C334" s="1" t="n">
        <v>45204</v>
      </c>
      <c r="D334" t="inlineStr">
        <is>
          <t>UPPSALA LÄN</t>
        </is>
      </c>
      <c r="E334" t="inlineStr">
        <is>
          <t>TIERP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49933-2022</t>
        </is>
      </c>
      <c r="B335" s="1" t="n">
        <v>44865</v>
      </c>
      <c r="C335" s="1" t="n">
        <v>45204</v>
      </c>
      <c r="D335" t="inlineStr">
        <is>
          <t>UPPSALA LÄN</t>
        </is>
      </c>
      <c r="E335" t="inlineStr">
        <is>
          <t>TIERP</t>
        </is>
      </c>
      <c r="G335" t="n">
        <v>11.3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49946-2022</t>
        </is>
      </c>
      <c r="B336" s="1" t="n">
        <v>44865</v>
      </c>
      <c r="C336" s="1" t="n">
        <v>45204</v>
      </c>
      <c r="D336" t="inlineStr">
        <is>
          <t>UPPSALA LÄN</t>
        </is>
      </c>
      <c r="E336" t="inlineStr">
        <is>
          <t>TIERP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50040-2022</t>
        </is>
      </c>
      <c r="B337" s="1" t="n">
        <v>44865</v>
      </c>
      <c r="C337" s="1" t="n">
        <v>45204</v>
      </c>
      <c r="D337" t="inlineStr">
        <is>
          <t>UPPSALA LÄN</t>
        </is>
      </c>
      <c r="E337" t="inlineStr">
        <is>
          <t>TIERP</t>
        </is>
      </c>
      <c r="F337" t="inlineStr">
        <is>
          <t>Bergvik skog väst AB</t>
        </is>
      </c>
      <c r="G337" t="n">
        <v>3.5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52388-2022</t>
        </is>
      </c>
      <c r="B338" s="1" t="n">
        <v>44874</v>
      </c>
      <c r="C338" s="1" t="n">
        <v>45204</v>
      </c>
      <c r="D338" t="inlineStr">
        <is>
          <t>UPPSALA LÄN</t>
        </is>
      </c>
      <c r="E338" t="inlineStr">
        <is>
          <t>TIERP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53819-2022</t>
        </is>
      </c>
      <c r="B339" s="1" t="n">
        <v>44880</v>
      </c>
      <c r="C339" s="1" t="n">
        <v>45204</v>
      </c>
      <c r="D339" t="inlineStr">
        <is>
          <t>UPPSALA LÄN</t>
        </is>
      </c>
      <c r="E339" t="inlineStr">
        <is>
          <t>TIERP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54764-2022</t>
        </is>
      </c>
      <c r="B340" s="1" t="n">
        <v>44883</v>
      </c>
      <c r="C340" s="1" t="n">
        <v>45204</v>
      </c>
      <c r="D340" t="inlineStr">
        <is>
          <t>UPPSALA LÄN</t>
        </is>
      </c>
      <c r="E340" t="inlineStr">
        <is>
          <t>TIERP</t>
        </is>
      </c>
      <c r="G340" t="n">
        <v>8.699999999999999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56558-2022</t>
        </is>
      </c>
      <c r="B341" s="1" t="n">
        <v>44887</v>
      </c>
      <c r="C341" s="1" t="n">
        <v>45204</v>
      </c>
      <c r="D341" t="inlineStr">
        <is>
          <t>UPPSALA LÄN</t>
        </is>
      </c>
      <c r="E341" t="inlineStr">
        <is>
          <t>TIERP</t>
        </is>
      </c>
      <c r="F341" t="inlineStr">
        <is>
          <t>Bergvik skog väst AB</t>
        </is>
      </c>
      <c r="G341" t="n">
        <v>20.3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55423-2022</t>
        </is>
      </c>
      <c r="B342" s="1" t="n">
        <v>44887</v>
      </c>
      <c r="C342" s="1" t="n">
        <v>45204</v>
      </c>
      <c r="D342" t="inlineStr">
        <is>
          <t>UPPSALA LÄN</t>
        </is>
      </c>
      <c r="E342" t="inlineStr">
        <is>
          <t>TIERP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55508-2022</t>
        </is>
      </c>
      <c r="B343" s="1" t="n">
        <v>44887</v>
      </c>
      <c r="C343" s="1" t="n">
        <v>45204</v>
      </c>
      <c r="D343" t="inlineStr">
        <is>
          <t>UPPSALA LÄN</t>
        </is>
      </c>
      <c r="E343" t="inlineStr">
        <is>
          <t>TIERP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55566-2022</t>
        </is>
      </c>
      <c r="B344" s="1" t="n">
        <v>44888</v>
      </c>
      <c r="C344" s="1" t="n">
        <v>45204</v>
      </c>
      <c r="D344" t="inlineStr">
        <is>
          <t>UPPSALA LÄN</t>
        </is>
      </c>
      <c r="E344" t="inlineStr">
        <is>
          <t>TIERP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56350-2022</t>
        </is>
      </c>
      <c r="B345" s="1" t="n">
        <v>44890</v>
      </c>
      <c r="C345" s="1" t="n">
        <v>45204</v>
      </c>
      <c r="D345" t="inlineStr">
        <is>
          <t>UPPSALA LÄN</t>
        </is>
      </c>
      <c r="E345" t="inlineStr">
        <is>
          <t>TIERP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56947-2022</t>
        </is>
      </c>
      <c r="B346" s="1" t="n">
        <v>44894</v>
      </c>
      <c r="C346" s="1" t="n">
        <v>45204</v>
      </c>
      <c r="D346" t="inlineStr">
        <is>
          <t>UPPSALA LÄN</t>
        </is>
      </c>
      <c r="E346" t="inlineStr">
        <is>
          <t>TIERP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56972-2022</t>
        </is>
      </c>
      <c r="B347" s="1" t="n">
        <v>44894</v>
      </c>
      <c r="C347" s="1" t="n">
        <v>45204</v>
      </c>
      <c r="D347" t="inlineStr">
        <is>
          <t>UPPSALA LÄN</t>
        </is>
      </c>
      <c r="E347" t="inlineStr">
        <is>
          <t>TIERP</t>
        </is>
      </c>
      <c r="G347" t="n">
        <v>11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58957-2022</t>
        </is>
      </c>
      <c r="B348" s="1" t="n">
        <v>44903</v>
      </c>
      <c r="C348" s="1" t="n">
        <v>45204</v>
      </c>
      <c r="D348" t="inlineStr">
        <is>
          <t>UPPSALA LÄN</t>
        </is>
      </c>
      <c r="E348" t="inlineStr">
        <is>
          <t>TIERP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59589-2022</t>
        </is>
      </c>
      <c r="B349" s="1" t="n">
        <v>44907</v>
      </c>
      <c r="C349" s="1" t="n">
        <v>45204</v>
      </c>
      <c r="D349" t="inlineStr">
        <is>
          <t>UPPSALA LÄN</t>
        </is>
      </c>
      <c r="E349" t="inlineStr">
        <is>
          <t>TIERP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59731-2022</t>
        </is>
      </c>
      <c r="B350" s="1" t="n">
        <v>44908</v>
      </c>
      <c r="C350" s="1" t="n">
        <v>45204</v>
      </c>
      <c r="D350" t="inlineStr">
        <is>
          <t>UPPSALA LÄN</t>
        </is>
      </c>
      <c r="E350" t="inlineStr">
        <is>
          <t>TIERP</t>
        </is>
      </c>
      <c r="F350" t="inlineStr">
        <is>
          <t>Kyrkan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60154-2022</t>
        </is>
      </c>
      <c r="B351" s="1" t="n">
        <v>44909</v>
      </c>
      <c r="C351" s="1" t="n">
        <v>45204</v>
      </c>
      <c r="D351" t="inlineStr">
        <is>
          <t>UPPSALA LÄN</t>
        </is>
      </c>
      <c r="E351" t="inlineStr">
        <is>
          <t>TIERP</t>
        </is>
      </c>
      <c r="G351" t="n">
        <v>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60505-2022</t>
        </is>
      </c>
      <c r="B352" s="1" t="n">
        <v>44911</v>
      </c>
      <c r="C352" s="1" t="n">
        <v>45204</v>
      </c>
      <c r="D352" t="inlineStr">
        <is>
          <t>UPPSALA LÄN</t>
        </is>
      </c>
      <c r="E352" t="inlineStr">
        <is>
          <t>TIERP</t>
        </is>
      </c>
      <c r="F352" t="inlineStr">
        <is>
          <t>Bergvik skog öst AB</t>
        </is>
      </c>
      <c r="G352" t="n">
        <v>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61717-2022</t>
        </is>
      </c>
      <c r="B353" s="1" t="n">
        <v>44917</v>
      </c>
      <c r="C353" s="1" t="n">
        <v>45204</v>
      </c>
      <c r="D353" t="inlineStr">
        <is>
          <t>UPPSALA LÄN</t>
        </is>
      </c>
      <c r="E353" t="inlineStr">
        <is>
          <t>TIERP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62138-2022</t>
        </is>
      </c>
      <c r="B354" s="1" t="n">
        <v>44922</v>
      </c>
      <c r="C354" s="1" t="n">
        <v>45204</v>
      </c>
      <c r="D354" t="inlineStr">
        <is>
          <t>UPPSALA LÄN</t>
        </is>
      </c>
      <c r="E354" t="inlineStr">
        <is>
          <t>TIERP</t>
        </is>
      </c>
      <c r="F354" t="inlineStr">
        <is>
          <t>Bergvik skog öst AB</t>
        </is>
      </c>
      <c r="G354" t="n">
        <v>16.9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437-2023</t>
        </is>
      </c>
      <c r="B355" s="1" t="n">
        <v>44924</v>
      </c>
      <c r="C355" s="1" t="n">
        <v>45204</v>
      </c>
      <c r="D355" t="inlineStr">
        <is>
          <t>UPPSALA LÄN</t>
        </is>
      </c>
      <c r="E355" t="inlineStr">
        <is>
          <t>TIERP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439-2023</t>
        </is>
      </c>
      <c r="B356" s="1" t="n">
        <v>44924</v>
      </c>
      <c r="C356" s="1" t="n">
        <v>45204</v>
      </c>
      <c r="D356" t="inlineStr">
        <is>
          <t>UPPSALA LÄN</t>
        </is>
      </c>
      <c r="E356" t="inlineStr">
        <is>
          <t>TIERP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319-2023</t>
        </is>
      </c>
      <c r="B357" s="1" t="n">
        <v>44929</v>
      </c>
      <c r="C357" s="1" t="n">
        <v>45204</v>
      </c>
      <c r="D357" t="inlineStr">
        <is>
          <t>UPPSALA LÄN</t>
        </is>
      </c>
      <c r="E357" t="inlineStr">
        <is>
          <t>TIERP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1384-2023</t>
        </is>
      </c>
      <c r="B358" s="1" t="n">
        <v>44936</v>
      </c>
      <c r="C358" s="1" t="n">
        <v>45204</v>
      </c>
      <c r="D358" t="inlineStr">
        <is>
          <t>UPPSALA LÄN</t>
        </is>
      </c>
      <c r="E358" t="inlineStr">
        <is>
          <t>TIERP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2899-2023</t>
        </is>
      </c>
      <c r="B359" s="1" t="n">
        <v>44945</v>
      </c>
      <c r="C359" s="1" t="n">
        <v>45204</v>
      </c>
      <c r="D359" t="inlineStr">
        <is>
          <t>UPPSALA LÄN</t>
        </is>
      </c>
      <c r="E359" t="inlineStr">
        <is>
          <t>TIERP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2902-2023</t>
        </is>
      </c>
      <c r="B360" s="1" t="n">
        <v>44945</v>
      </c>
      <c r="C360" s="1" t="n">
        <v>45204</v>
      </c>
      <c r="D360" t="inlineStr">
        <is>
          <t>UPPSALA LÄN</t>
        </is>
      </c>
      <c r="E360" t="inlineStr">
        <is>
          <t>TIERP</t>
        </is>
      </c>
      <c r="G360" t="n">
        <v>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2901-2023</t>
        </is>
      </c>
      <c r="B361" s="1" t="n">
        <v>44945</v>
      </c>
      <c r="C361" s="1" t="n">
        <v>45204</v>
      </c>
      <c r="D361" t="inlineStr">
        <is>
          <t>UPPSALA LÄN</t>
        </is>
      </c>
      <c r="E361" t="inlineStr">
        <is>
          <t>TIERP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4329-2023</t>
        </is>
      </c>
      <c r="B362" s="1" t="n">
        <v>44953</v>
      </c>
      <c r="C362" s="1" t="n">
        <v>45204</v>
      </c>
      <c r="D362" t="inlineStr">
        <is>
          <t>UPPSALA LÄN</t>
        </is>
      </c>
      <c r="E362" t="inlineStr">
        <is>
          <t>TIERP</t>
        </is>
      </c>
      <c r="G362" t="n">
        <v>4.9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4511-2023</t>
        </is>
      </c>
      <c r="B363" s="1" t="n">
        <v>44956</v>
      </c>
      <c r="C363" s="1" t="n">
        <v>45204</v>
      </c>
      <c r="D363" t="inlineStr">
        <is>
          <t>UPPSALA LÄN</t>
        </is>
      </c>
      <c r="E363" t="inlineStr">
        <is>
          <t>TIERP</t>
        </is>
      </c>
      <c r="G363" t="n">
        <v>7.8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5396-2023</t>
        </is>
      </c>
      <c r="B364" s="1" t="n">
        <v>44957</v>
      </c>
      <c r="C364" s="1" t="n">
        <v>45204</v>
      </c>
      <c r="D364" t="inlineStr">
        <is>
          <t>UPPSALA LÄN</t>
        </is>
      </c>
      <c r="E364" t="inlineStr">
        <is>
          <t>TIERP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5993-2023</t>
        </is>
      </c>
      <c r="B365" s="1" t="n">
        <v>44964</v>
      </c>
      <c r="C365" s="1" t="n">
        <v>45204</v>
      </c>
      <c r="D365" t="inlineStr">
        <is>
          <t>UPPSALA LÄN</t>
        </is>
      </c>
      <c r="E365" t="inlineStr">
        <is>
          <t>TIERP</t>
        </is>
      </c>
      <c r="F365" t="inlineStr">
        <is>
          <t>Bergvik skog öst AB</t>
        </is>
      </c>
      <c r="G365" t="n">
        <v>4.1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6049-2023</t>
        </is>
      </c>
      <c r="B366" s="1" t="n">
        <v>44964</v>
      </c>
      <c r="C366" s="1" t="n">
        <v>45204</v>
      </c>
      <c r="D366" t="inlineStr">
        <is>
          <t>UPPSALA LÄN</t>
        </is>
      </c>
      <c r="E366" t="inlineStr">
        <is>
          <t>TIERP</t>
        </is>
      </c>
      <c r="F366" t="inlineStr">
        <is>
          <t>Bergvik skog öst AB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5994-2023</t>
        </is>
      </c>
      <c r="B367" s="1" t="n">
        <v>44964</v>
      </c>
      <c r="C367" s="1" t="n">
        <v>45204</v>
      </c>
      <c r="D367" t="inlineStr">
        <is>
          <t>UPPSALA LÄN</t>
        </is>
      </c>
      <c r="E367" t="inlineStr">
        <is>
          <t>TIERP</t>
        </is>
      </c>
      <c r="F367" t="inlineStr">
        <is>
          <t>Bergvik skog öst AB</t>
        </is>
      </c>
      <c r="G367" t="n">
        <v>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5963-2023</t>
        </is>
      </c>
      <c r="B368" s="1" t="n">
        <v>44964</v>
      </c>
      <c r="C368" s="1" t="n">
        <v>45204</v>
      </c>
      <c r="D368" t="inlineStr">
        <is>
          <t>UPPSALA LÄN</t>
        </is>
      </c>
      <c r="E368" t="inlineStr">
        <is>
          <t>TIERP</t>
        </is>
      </c>
      <c r="F368" t="inlineStr">
        <is>
          <t>Bergvik skog öst AB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5987-2023</t>
        </is>
      </c>
      <c r="B369" s="1" t="n">
        <v>44964</v>
      </c>
      <c r="C369" s="1" t="n">
        <v>45204</v>
      </c>
      <c r="D369" t="inlineStr">
        <is>
          <t>UPPSALA LÄN</t>
        </is>
      </c>
      <c r="E369" t="inlineStr">
        <is>
          <t>TIERP</t>
        </is>
      </c>
      <c r="F369" t="inlineStr">
        <is>
          <t>Bergvik skog öst AB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5997-2023</t>
        </is>
      </c>
      <c r="B370" s="1" t="n">
        <v>44964</v>
      </c>
      <c r="C370" s="1" t="n">
        <v>45204</v>
      </c>
      <c r="D370" t="inlineStr">
        <is>
          <t>UPPSALA LÄN</t>
        </is>
      </c>
      <c r="E370" t="inlineStr">
        <is>
          <t>TIERP</t>
        </is>
      </c>
      <c r="F370" t="inlineStr">
        <is>
          <t>Bergvik skog öst AB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6048-2023</t>
        </is>
      </c>
      <c r="B371" s="1" t="n">
        <v>44964</v>
      </c>
      <c r="C371" s="1" t="n">
        <v>45204</v>
      </c>
      <c r="D371" t="inlineStr">
        <is>
          <t>UPPSALA LÄN</t>
        </is>
      </c>
      <c r="E371" t="inlineStr">
        <is>
          <t>TIERP</t>
        </is>
      </c>
      <c r="F371" t="inlineStr">
        <is>
          <t>Bergvik skog öst AB</t>
        </is>
      </c>
      <c r="G371" t="n">
        <v>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5967-2023</t>
        </is>
      </c>
      <c r="B372" s="1" t="n">
        <v>44964</v>
      </c>
      <c r="C372" s="1" t="n">
        <v>45204</v>
      </c>
      <c r="D372" t="inlineStr">
        <is>
          <t>UPPSALA LÄN</t>
        </is>
      </c>
      <c r="E372" t="inlineStr">
        <is>
          <t>TIERP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5995-2023</t>
        </is>
      </c>
      <c r="B373" s="1" t="n">
        <v>44964</v>
      </c>
      <c r="C373" s="1" t="n">
        <v>45204</v>
      </c>
      <c r="D373" t="inlineStr">
        <is>
          <t>UPPSALA LÄN</t>
        </is>
      </c>
      <c r="E373" t="inlineStr">
        <is>
          <t>TIERP</t>
        </is>
      </c>
      <c r="F373" t="inlineStr">
        <is>
          <t>Bergvik skog öst AB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6497-2023</t>
        </is>
      </c>
      <c r="B374" s="1" t="n">
        <v>44966</v>
      </c>
      <c r="C374" s="1" t="n">
        <v>45204</v>
      </c>
      <c r="D374" t="inlineStr">
        <is>
          <t>UPPSALA LÄN</t>
        </is>
      </c>
      <c r="E374" t="inlineStr">
        <is>
          <t>TIERP</t>
        </is>
      </c>
      <c r="F374" t="inlineStr">
        <is>
          <t>Bergvik skog öst AB</t>
        </is>
      </c>
      <c r="G374" t="n">
        <v>12.9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7359-2023</t>
        </is>
      </c>
      <c r="B375" s="1" t="n">
        <v>44966</v>
      </c>
      <c r="C375" s="1" t="n">
        <v>45204</v>
      </c>
      <c r="D375" t="inlineStr">
        <is>
          <t>UPPSALA LÄN</t>
        </is>
      </c>
      <c r="E375" t="inlineStr">
        <is>
          <t>TIERP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7352-2023</t>
        </is>
      </c>
      <c r="B376" s="1" t="n">
        <v>44966</v>
      </c>
      <c r="C376" s="1" t="n">
        <v>45204</v>
      </c>
      <c r="D376" t="inlineStr">
        <is>
          <t>UPPSALA LÄN</t>
        </is>
      </c>
      <c r="E376" t="inlineStr">
        <is>
          <t>TIERP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7392-2023</t>
        </is>
      </c>
      <c r="B377" s="1" t="n">
        <v>44971</v>
      </c>
      <c r="C377" s="1" t="n">
        <v>45204</v>
      </c>
      <c r="D377" t="inlineStr">
        <is>
          <t>UPPSALA LÄN</t>
        </is>
      </c>
      <c r="E377" t="inlineStr">
        <is>
          <t>TIERP</t>
        </is>
      </c>
      <c r="F377" t="inlineStr">
        <is>
          <t>Bergvik skog öst AB</t>
        </is>
      </c>
      <c r="G377" t="n">
        <v>7.9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7370-2023</t>
        </is>
      </c>
      <c r="B378" s="1" t="n">
        <v>44971</v>
      </c>
      <c r="C378" s="1" t="n">
        <v>45204</v>
      </c>
      <c r="D378" t="inlineStr">
        <is>
          <t>UPPSALA LÄN</t>
        </is>
      </c>
      <c r="E378" t="inlineStr">
        <is>
          <t>TIERP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8914-2023</t>
        </is>
      </c>
      <c r="B379" s="1" t="n">
        <v>44973</v>
      </c>
      <c r="C379" s="1" t="n">
        <v>45204</v>
      </c>
      <c r="D379" t="inlineStr">
        <is>
          <t>UPPSALA LÄN</t>
        </is>
      </c>
      <c r="E379" t="inlineStr">
        <is>
          <t>TIERP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9238-2023</t>
        </is>
      </c>
      <c r="B380" s="1" t="n">
        <v>44980</v>
      </c>
      <c r="C380" s="1" t="n">
        <v>45204</v>
      </c>
      <c r="D380" t="inlineStr">
        <is>
          <t>UPPSALA LÄN</t>
        </is>
      </c>
      <c r="E380" t="inlineStr">
        <is>
          <t>TIERP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9230-2023</t>
        </is>
      </c>
      <c r="B381" s="1" t="n">
        <v>44980</v>
      </c>
      <c r="C381" s="1" t="n">
        <v>45204</v>
      </c>
      <c r="D381" t="inlineStr">
        <is>
          <t>UPPSALA LÄN</t>
        </is>
      </c>
      <c r="E381" t="inlineStr">
        <is>
          <t>TIERP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9664-2023</t>
        </is>
      </c>
      <c r="B382" s="1" t="n">
        <v>44984</v>
      </c>
      <c r="C382" s="1" t="n">
        <v>45204</v>
      </c>
      <c r="D382" t="inlineStr">
        <is>
          <t>UPPSALA LÄN</t>
        </is>
      </c>
      <c r="E382" t="inlineStr">
        <is>
          <t>TIERP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9839-2023</t>
        </is>
      </c>
      <c r="B383" s="1" t="n">
        <v>44984</v>
      </c>
      <c r="C383" s="1" t="n">
        <v>45204</v>
      </c>
      <c r="D383" t="inlineStr">
        <is>
          <t>UPPSALA LÄN</t>
        </is>
      </c>
      <c r="E383" t="inlineStr">
        <is>
          <t>TIERP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10594-2023</t>
        </is>
      </c>
      <c r="B384" s="1" t="n">
        <v>44988</v>
      </c>
      <c r="C384" s="1" t="n">
        <v>45204</v>
      </c>
      <c r="D384" t="inlineStr">
        <is>
          <t>UPPSALA LÄN</t>
        </is>
      </c>
      <c r="E384" t="inlineStr">
        <is>
          <t>TIERP</t>
        </is>
      </c>
      <c r="F384" t="inlineStr">
        <is>
          <t>Bergvik skog öst AB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10940-2023</t>
        </is>
      </c>
      <c r="B385" s="1" t="n">
        <v>44991</v>
      </c>
      <c r="C385" s="1" t="n">
        <v>45204</v>
      </c>
      <c r="D385" t="inlineStr">
        <is>
          <t>UPPSALA LÄN</t>
        </is>
      </c>
      <c r="E385" t="inlineStr">
        <is>
          <t>TIERP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11574-2023</t>
        </is>
      </c>
      <c r="B386" s="1" t="n">
        <v>44994</v>
      </c>
      <c r="C386" s="1" t="n">
        <v>45204</v>
      </c>
      <c r="D386" t="inlineStr">
        <is>
          <t>UPPSALA LÄN</t>
        </is>
      </c>
      <c r="E386" t="inlineStr">
        <is>
          <t>TIERP</t>
        </is>
      </c>
      <c r="F386" t="inlineStr">
        <is>
          <t>Bergvik skog öst AB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13304-2023</t>
        </is>
      </c>
      <c r="B387" s="1" t="n">
        <v>45005</v>
      </c>
      <c r="C387" s="1" t="n">
        <v>45204</v>
      </c>
      <c r="D387" t="inlineStr">
        <is>
          <t>UPPSALA LÄN</t>
        </is>
      </c>
      <c r="E387" t="inlineStr">
        <is>
          <t>TIERP</t>
        </is>
      </c>
      <c r="F387" t="inlineStr">
        <is>
          <t>Kyrkan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13447-2023</t>
        </is>
      </c>
      <c r="B388" s="1" t="n">
        <v>45005</v>
      </c>
      <c r="C388" s="1" t="n">
        <v>45204</v>
      </c>
      <c r="D388" t="inlineStr">
        <is>
          <t>UPPSALA LÄN</t>
        </is>
      </c>
      <c r="E388" t="inlineStr">
        <is>
          <t>TIERP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14553-2023</t>
        </is>
      </c>
      <c r="B389" s="1" t="n">
        <v>45013</v>
      </c>
      <c r="C389" s="1" t="n">
        <v>45204</v>
      </c>
      <c r="D389" t="inlineStr">
        <is>
          <t>UPPSALA LÄN</t>
        </is>
      </c>
      <c r="E389" t="inlineStr">
        <is>
          <t>TIERP</t>
        </is>
      </c>
      <c r="G389" t="n">
        <v>3.7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14541-2023</t>
        </is>
      </c>
      <c r="B390" s="1" t="n">
        <v>45013</v>
      </c>
      <c r="C390" s="1" t="n">
        <v>45204</v>
      </c>
      <c r="D390" t="inlineStr">
        <is>
          <t>UPPSALA LÄN</t>
        </is>
      </c>
      <c r="E390" t="inlineStr">
        <is>
          <t>TIERP</t>
        </is>
      </c>
      <c r="F390" t="inlineStr">
        <is>
          <t>Bergvik skog öst AB</t>
        </is>
      </c>
      <c r="G390" t="n">
        <v>10.7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15851-2023</t>
        </is>
      </c>
      <c r="B391" s="1" t="n">
        <v>45022</v>
      </c>
      <c r="C391" s="1" t="n">
        <v>45204</v>
      </c>
      <c r="D391" t="inlineStr">
        <is>
          <t>UPPSALA LÄN</t>
        </is>
      </c>
      <c r="E391" t="inlineStr">
        <is>
          <t>TIERP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16054-2023</t>
        </is>
      </c>
      <c r="B392" s="1" t="n">
        <v>45027</v>
      </c>
      <c r="C392" s="1" t="n">
        <v>45204</v>
      </c>
      <c r="D392" t="inlineStr">
        <is>
          <t>UPPSALA LÄN</t>
        </is>
      </c>
      <c r="E392" t="inlineStr">
        <is>
          <t>TIERP</t>
        </is>
      </c>
      <c r="F392" t="inlineStr">
        <is>
          <t>Kyrkan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16058-2023</t>
        </is>
      </c>
      <c r="B393" s="1" t="n">
        <v>45027</v>
      </c>
      <c r="C393" s="1" t="n">
        <v>45204</v>
      </c>
      <c r="D393" t="inlineStr">
        <is>
          <t>UPPSALA LÄN</t>
        </is>
      </c>
      <c r="E393" t="inlineStr">
        <is>
          <t>TIERP</t>
        </is>
      </c>
      <c r="F393" t="inlineStr">
        <is>
          <t>Kyrkan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16295-2023</t>
        </is>
      </c>
      <c r="B394" s="1" t="n">
        <v>45028</v>
      </c>
      <c r="C394" s="1" t="n">
        <v>45204</v>
      </c>
      <c r="D394" t="inlineStr">
        <is>
          <t>UPPSALA LÄN</t>
        </is>
      </c>
      <c r="E394" t="inlineStr">
        <is>
          <t>TIERP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16631-2023</t>
        </is>
      </c>
      <c r="B395" s="1" t="n">
        <v>45030</v>
      </c>
      <c r="C395" s="1" t="n">
        <v>45204</v>
      </c>
      <c r="D395" t="inlineStr">
        <is>
          <t>UPPSALA LÄN</t>
        </is>
      </c>
      <c r="E395" t="inlineStr">
        <is>
          <t>TIERP</t>
        </is>
      </c>
      <c r="F395" t="inlineStr">
        <is>
          <t>Bergvik skog väst AB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16791-2023</t>
        </is>
      </c>
      <c r="B396" s="1" t="n">
        <v>45033</v>
      </c>
      <c r="C396" s="1" t="n">
        <v>45204</v>
      </c>
      <c r="D396" t="inlineStr">
        <is>
          <t>UPPSALA LÄN</t>
        </is>
      </c>
      <c r="E396" t="inlineStr">
        <is>
          <t>TIERP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17979-2023</t>
        </is>
      </c>
      <c r="B397" s="1" t="n">
        <v>45040</v>
      </c>
      <c r="C397" s="1" t="n">
        <v>45204</v>
      </c>
      <c r="D397" t="inlineStr">
        <is>
          <t>UPPSALA LÄN</t>
        </is>
      </c>
      <c r="E397" t="inlineStr">
        <is>
          <t>TIERP</t>
        </is>
      </c>
      <c r="F397" t="inlineStr">
        <is>
          <t>Bergvik skog öst AB</t>
        </is>
      </c>
      <c r="G397" t="n">
        <v>11.4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17958-2023</t>
        </is>
      </c>
      <c r="B398" s="1" t="n">
        <v>45040</v>
      </c>
      <c r="C398" s="1" t="n">
        <v>45204</v>
      </c>
      <c r="D398" t="inlineStr">
        <is>
          <t>UPPSALA LÄN</t>
        </is>
      </c>
      <c r="E398" t="inlineStr">
        <is>
          <t>TIERP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18190-2023</t>
        </is>
      </c>
      <c r="B399" s="1" t="n">
        <v>45041</v>
      </c>
      <c r="C399" s="1" t="n">
        <v>45204</v>
      </c>
      <c r="D399" t="inlineStr">
        <is>
          <t>UPPSALA LÄN</t>
        </is>
      </c>
      <c r="E399" t="inlineStr">
        <is>
          <t>TIERP</t>
        </is>
      </c>
      <c r="F399" t="inlineStr">
        <is>
          <t>Kyrkan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18641-2023</t>
        </is>
      </c>
      <c r="B400" s="1" t="n">
        <v>45043</v>
      </c>
      <c r="C400" s="1" t="n">
        <v>45204</v>
      </c>
      <c r="D400" t="inlineStr">
        <is>
          <t>UPPSALA LÄN</t>
        </is>
      </c>
      <c r="E400" t="inlineStr">
        <is>
          <t>TIERP</t>
        </is>
      </c>
      <c r="F400" t="inlineStr">
        <is>
          <t>Bergvik skog öst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19175-2023</t>
        </is>
      </c>
      <c r="B401" s="1" t="n">
        <v>45046</v>
      </c>
      <c r="C401" s="1" t="n">
        <v>45204</v>
      </c>
      <c r="D401" t="inlineStr">
        <is>
          <t>UPPSALA LÄN</t>
        </is>
      </c>
      <c r="E401" t="inlineStr">
        <is>
          <t>TIERP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19174-2023</t>
        </is>
      </c>
      <c r="B402" s="1" t="n">
        <v>45046</v>
      </c>
      <c r="C402" s="1" t="n">
        <v>45204</v>
      </c>
      <c r="D402" t="inlineStr">
        <is>
          <t>UPPSALA LÄN</t>
        </is>
      </c>
      <c r="E402" t="inlineStr">
        <is>
          <t>TIERP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19172-2023</t>
        </is>
      </c>
      <c r="B403" s="1" t="n">
        <v>45046</v>
      </c>
      <c r="C403" s="1" t="n">
        <v>45204</v>
      </c>
      <c r="D403" t="inlineStr">
        <is>
          <t>UPPSALA LÄN</t>
        </is>
      </c>
      <c r="E403" t="inlineStr">
        <is>
          <t>TIERP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19283-2023</t>
        </is>
      </c>
      <c r="B404" s="1" t="n">
        <v>45049</v>
      </c>
      <c r="C404" s="1" t="n">
        <v>45204</v>
      </c>
      <c r="D404" t="inlineStr">
        <is>
          <t>UPPSALA LÄN</t>
        </is>
      </c>
      <c r="E404" t="inlineStr">
        <is>
          <t>TIERP</t>
        </is>
      </c>
      <c r="G404" t="n">
        <v>7.5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20508-2023</t>
        </is>
      </c>
      <c r="B405" s="1" t="n">
        <v>45057</v>
      </c>
      <c r="C405" s="1" t="n">
        <v>45204</v>
      </c>
      <c r="D405" t="inlineStr">
        <is>
          <t>UPPSALA LÄN</t>
        </is>
      </c>
      <c r="E405" t="inlineStr">
        <is>
          <t>TIERP</t>
        </is>
      </c>
      <c r="F405" t="inlineStr">
        <is>
          <t>Bergvik skog öst AB</t>
        </is>
      </c>
      <c r="G405" t="n">
        <v>7.5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20495-2023</t>
        </is>
      </c>
      <c r="B406" s="1" t="n">
        <v>45057</v>
      </c>
      <c r="C406" s="1" t="n">
        <v>45204</v>
      </c>
      <c r="D406" t="inlineStr">
        <is>
          <t>UPPSALA LÄN</t>
        </is>
      </c>
      <c r="E406" t="inlineStr">
        <is>
          <t>TIERP</t>
        </is>
      </c>
      <c r="G406" t="n">
        <v>4.9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21053-2023</t>
        </is>
      </c>
      <c r="B407" s="1" t="n">
        <v>45061</v>
      </c>
      <c r="C407" s="1" t="n">
        <v>45204</v>
      </c>
      <c r="D407" t="inlineStr">
        <is>
          <t>UPPSALA LÄN</t>
        </is>
      </c>
      <c r="E407" t="inlineStr">
        <is>
          <t>TIERP</t>
        </is>
      </c>
      <c r="F407" t="inlineStr">
        <is>
          <t>Bergvik skog öst AB</t>
        </is>
      </c>
      <c r="G407" t="n">
        <v>13.4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21038-2023</t>
        </is>
      </c>
      <c r="B408" s="1" t="n">
        <v>45061</v>
      </c>
      <c r="C408" s="1" t="n">
        <v>45204</v>
      </c>
      <c r="D408" t="inlineStr">
        <is>
          <t>UPPSALA LÄN</t>
        </is>
      </c>
      <c r="E408" t="inlineStr">
        <is>
          <t>TIERP</t>
        </is>
      </c>
      <c r="F408" t="inlineStr">
        <is>
          <t>Bergvik skog öst AB</t>
        </is>
      </c>
      <c r="G408" t="n">
        <v>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21051-2023</t>
        </is>
      </c>
      <c r="B409" s="1" t="n">
        <v>45061</v>
      </c>
      <c r="C409" s="1" t="n">
        <v>45204</v>
      </c>
      <c r="D409" t="inlineStr">
        <is>
          <t>UPPSALA LÄN</t>
        </is>
      </c>
      <c r="E409" t="inlineStr">
        <is>
          <t>TIERP</t>
        </is>
      </c>
      <c r="F409" t="inlineStr">
        <is>
          <t>Bergvik skog öst AB</t>
        </is>
      </c>
      <c r="G409" t="n">
        <v>40.2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21170-2023</t>
        </is>
      </c>
      <c r="B410" s="1" t="n">
        <v>45062</v>
      </c>
      <c r="C410" s="1" t="n">
        <v>45204</v>
      </c>
      <c r="D410" t="inlineStr">
        <is>
          <t>UPPSALA LÄN</t>
        </is>
      </c>
      <c r="E410" t="inlineStr">
        <is>
          <t>TIERP</t>
        </is>
      </c>
      <c r="F410" t="inlineStr">
        <is>
          <t>Bergvik skog öst AB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21547-2023</t>
        </is>
      </c>
      <c r="B411" s="1" t="n">
        <v>45063</v>
      </c>
      <c r="C411" s="1" t="n">
        <v>45204</v>
      </c>
      <c r="D411" t="inlineStr">
        <is>
          <t>UPPSALA LÄN</t>
        </is>
      </c>
      <c r="E411" t="inlineStr">
        <is>
          <t>TIERP</t>
        </is>
      </c>
      <c r="G411" t="n">
        <v>4.9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21550-2023</t>
        </is>
      </c>
      <c r="B412" s="1" t="n">
        <v>45063</v>
      </c>
      <c r="C412" s="1" t="n">
        <v>45204</v>
      </c>
      <c r="D412" t="inlineStr">
        <is>
          <t>UPPSALA LÄN</t>
        </is>
      </c>
      <c r="E412" t="inlineStr">
        <is>
          <t>TIERP</t>
        </is>
      </c>
      <c r="F412" t="inlineStr">
        <is>
          <t>Bergvik skog väst AB</t>
        </is>
      </c>
      <c r="G412" t="n">
        <v>6.9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22901-2023</t>
        </is>
      </c>
      <c r="B413" s="1" t="n">
        <v>45072</v>
      </c>
      <c r="C413" s="1" t="n">
        <v>45204</v>
      </c>
      <c r="D413" t="inlineStr">
        <is>
          <t>UPPSALA LÄN</t>
        </is>
      </c>
      <c r="E413" t="inlineStr">
        <is>
          <t>TIERP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23154-2023</t>
        </is>
      </c>
      <c r="B414" s="1" t="n">
        <v>45075</v>
      </c>
      <c r="C414" s="1" t="n">
        <v>45204</v>
      </c>
      <c r="D414" t="inlineStr">
        <is>
          <t>UPPSALA LÄN</t>
        </is>
      </c>
      <c r="E414" t="inlineStr">
        <is>
          <t>TIERP</t>
        </is>
      </c>
      <c r="F414" t="inlineStr">
        <is>
          <t>Kyrkan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25408-2023</t>
        </is>
      </c>
      <c r="B415" s="1" t="n">
        <v>45080</v>
      </c>
      <c r="C415" s="1" t="n">
        <v>45204</v>
      </c>
      <c r="D415" t="inlineStr">
        <is>
          <t>UPPSALA LÄN</t>
        </is>
      </c>
      <c r="E415" t="inlineStr">
        <is>
          <t>TIERP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24609-2023</t>
        </is>
      </c>
      <c r="B416" s="1" t="n">
        <v>45084</v>
      </c>
      <c r="C416" s="1" t="n">
        <v>45204</v>
      </c>
      <c r="D416" t="inlineStr">
        <is>
          <t>UPPSALA LÄN</t>
        </is>
      </c>
      <c r="E416" t="inlineStr">
        <is>
          <t>TIERP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26546-2023</t>
        </is>
      </c>
      <c r="B417" s="1" t="n">
        <v>45092</v>
      </c>
      <c r="C417" s="1" t="n">
        <v>45204</v>
      </c>
      <c r="D417" t="inlineStr">
        <is>
          <t>UPPSALA LÄN</t>
        </is>
      </c>
      <c r="E417" t="inlineStr">
        <is>
          <t>TIERP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26380-2023</t>
        </is>
      </c>
      <c r="B418" s="1" t="n">
        <v>45092</v>
      </c>
      <c r="C418" s="1" t="n">
        <v>45204</v>
      </c>
      <c r="D418" t="inlineStr">
        <is>
          <t>UPPSALA LÄN</t>
        </is>
      </c>
      <c r="E418" t="inlineStr">
        <is>
          <t>TIERP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26541-2023</t>
        </is>
      </c>
      <c r="B419" s="1" t="n">
        <v>45092</v>
      </c>
      <c r="C419" s="1" t="n">
        <v>45204</v>
      </c>
      <c r="D419" t="inlineStr">
        <is>
          <t>UPPSALA LÄN</t>
        </is>
      </c>
      <c r="E419" t="inlineStr">
        <is>
          <t>TIERP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27856-2023</t>
        </is>
      </c>
      <c r="B420" s="1" t="n">
        <v>45098</v>
      </c>
      <c r="C420" s="1" t="n">
        <v>45204</v>
      </c>
      <c r="D420" t="inlineStr">
        <is>
          <t>UPPSALA LÄN</t>
        </is>
      </c>
      <c r="E420" t="inlineStr">
        <is>
          <t>TIERP</t>
        </is>
      </c>
      <c r="F420" t="inlineStr">
        <is>
          <t>Bergvik skog öst AB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28252-2023</t>
        </is>
      </c>
      <c r="B421" s="1" t="n">
        <v>45099</v>
      </c>
      <c r="C421" s="1" t="n">
        <v>45204</v>
      </c>
      <c r="D421" t="inlineStr">
        <is>
          <t>UPPSALA LÄN</t>
        </is>
      </c>
      <c r="E421" t="inlineStr">
        <is>
          <t>TIERP</t>
        </is>
      </c>
      <c r="F421" t="inlineStr">
        <is>
          <t>Bergvik skog väst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29113-2023</t>
        </is>
      </c>
      <c r="B422" s="1" t="n">
        <v>45105</v>
      </c>
      <c r="C422" s="1" t="n">
        <v>45204</v>
      </c>
      <c r="D422" t="inlineStr">
        <is>
          <t>UPPSALA LÄN</t>
        </is>
      </c>
      <c r="E422" t="inlineStr">
        <is>
          <t>TIERP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29480-2023</t>
        </is>
      </c>
      <c r="B423" s="1" t="n">
        <v>45106</v>
      </c>
      <c r="C423" s="1" t="n">
        <v>45204</v>
      </c>
      <c r="D423" t="inlineStr">
        <is>
          <t>UPPSALA LÄN</t>
        </is>
      </c>
      <c r="E423" t="inlineStr">
        <is>
          <t>TIERP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30363-2023</t>
        </is>
      </c>
      <c r="B424" s="1" t="n">
        <v>45111</v>
      </c>
      <c r="C424" s="1" t="n">
        <v>45204</v>
      </c>
      <c r="D424" t="inlineStr">
        <is>
          <t>UPPSALA LÄN</t>
        </is>
      </c>
      <c r="E424" t="inlineStr">
        <is>
          <t>TIERP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33677-2023</t>
        </is>
      </c>
      <c r="B425" s="1" t="n">
        <v>45119</v>
      </c>
      <c r="C425" s="1" t="n">
        <v>45204</v>
      </c>
      <c r="D425" t="inlineStr">
        <is>
          <t>UPPSALA LÄN</t>
        </is>
      </c>
      <c r="E425" t="inlineStr">
        <is>
          <t>TIERP</t>
        </is>
      </c>
      <c r="F425" t="inlineStr">
        <is>
          <t>Bergvik skog väst AB</t>
        </is>
      </c>
      <c r="G425" t="n">
        <v>57.7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33307-2023</t>
        </is>
      </c>
      <c r="B426" s="1" t="n">
        <v>45127</v>
      </c>
      <c r="C426" s="1" t="n">
        <v>45204</v>
      </c>
      <c r="D426" t="inlineStr">
        <is>
          <t>UPPSALA LÄN</t>
        </is>
      </c>
      <c r="E426" t="inlineStr">
        <is>
          <t>TIERP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33451-2023</t>
        </is>
      </c>
      <c r="B427" s="1" t="n">
        <v>45130</v>
      </c>
      <c r="C427" s="1" t="n">
        <v>45204</v>
      </c>
      <c r="D427" t="inlineStr">
        <is>
          <t>UPPSALA LÄN</t>
        </is>
      </c>
      <c r="E427" t="inlineStr">
        <is>
          <t>TIERP</t>
        </is>
      </c>
      <c r="G427" t="n">
        <v>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33797-2023</t>
        </is>
      </c>
      <c r="B428" s="1" t="n">
        <v>45133</v>
      </c>
      <c r="C428" s="1" t="n">
        <v>45204</v>
      </c>
      <c r="D428" t="inlineStr">
        <is>
          <t>UPPSALA LÄN</t>
        </is>
      </c>
      <c r="E428" t="inlineStr">
        <is>
          <t>TIERP</t>
        </is>
      </c>
      <c r="F428" t="inlineStr">
        <is>
          <t>Bergvik skog öst AB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34027-2023</t>
        </is>
      </c>
      <c r="B429" s="1" t="n">
        <v>45135</v>
      </c>
      <c r="C429" s="1" t="n">
        <v>45204</v>
      </c>
      <c r="D429" t="inlineStr">
        <is>
          <t>UPPSALA LÄN</t>
        </is>
      </c>
      <c r="E429" t="inlineStr">
        <is>
          <t>TIERP</t>
        </is>
      </c>
      <c r="F429" t="inlineStr">
        <is>
          <t>Bergvik skog öst AB</t>
        </is>
      </c>
      <c r="G429" t="n">
        <v>18.1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34082-2023</t>
        </is>
      </c>
      <c r="B430" s="1" t="n">
        <v>45135</v>
      </c>
      <c r="C430" s="1" t="n">
        <v>45204</v>
      </c>
      <c r="D430" t="inlineStr">
        <is>
          <t>UPPSALA LÄN</t>
        </is>
      </c>
      <c r="E430" t="inlineStr">
        <is>
          <t>TIERP</t>
        </is>
      </c>
      <c r="F430" t="inlineStr">
        <is>
          <t>Bergvik skog öst AB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34198-2023</t>
        </is>
      </c>
      <c r="B431" s="1" t="n">
        <v>45138</v>
      </c>
      <c r="C431" s="1" t="n">
        <v>45204</v>
      </c>
      <c r="D431" t="inlineStr">
        <is>
          <t>UPPSALA LÄN</t>
        </is>
      </c>
      <c r="E431" t="inlineStr">
        <is>
          <t>TIERP</t>
        </is>
      </c>
      <c r="F431" t="inlineStr">
        <is>
          <t>Bergvik skog öst AB</t>
        </is>
      </c>
      <c r="G431" t="n">
        <v>11.5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34979-2023</t>
        </is>
      </c>
      <c r="B432" s="1" t="n">
        <v>45142</v>
      </c>
      <c r="C432" s="1" t="n">
        <v>45204</v>
      </c>
      <c r="D432" t="inlineStr">
        <is>
          <t>UPPSALA LÄN</t>
        </is>
      </c>
      <c r="E432" t="inlineStr">
        <is>
          <t>TIERP</t>
        </is>
      </c>
      <c r="F432" t="inlineStr">
        <is>
          <t>Bergvik skog öst AB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35375-2023</t>
        </is>
      </c>
      <c r="B433" s="1" t="n">
        <v>45146</v>
      </c>
      <c r="C433" s="1" t="n">
        <v>45204</v>
      </c>
      <c r="D433" t="inlineStr">
        <is>
          <t>UPPSALA LÄN</t>
        </is>
      </c>
      <c r="E433" t="inlineStr">
        <is>
          <t>TIERP</t>
        </is>
      </c>
      <c r="F433" t="inlineStr">
        <is>
          <t>Bergvik skog öst AB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35926-2023</t>
        </is>
      </c>
      <c r="B434" s="1" t="n">
        <v>45148</v>
      </c>
      <c r="C434" s="1" t="n">
        <v>45204</v>
      </c>
      <c r="D434" t="inlineStr">
        <is>
          <t>UPPSALA LÄN</t>
        </is>
      </c>
      <c r="E434" t="inlineStr">
        <is>
          <t>TIERP</t>
        </is>
      </c>
      <c r="F434" t="inlineStr">
        <is>
          <t>Bergvik skog öst AB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36544-2023</t>
        </is>
      </c>
      <c r="B435" s="1" t="n">
        <v>45153</v>
      </c>
      <c r="C435" s="1" t="n">
        <v>45204</v>
      </c>
      <c r="D435" t="inlineStr">
        <is>
          <t>UPPSALA LÄN</t>
        </is>
      </c>
      <c r="E435" t="inlineStr">
        <is>
          <t>TIERP</t>
        </is>
      </c>
      <c r="F435" t="inlineStr">
        <is>
          <t>Bergvik skog öst AB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38105-2023</t>
        </is>
      </c>
      <c r="B436" s="1" t="n">
        <v>45161</v>
      </c>
      <c r="C436" s="1" t="n">
        <v>45204</v>
      </c>
      <c r="D436" t="inlineStr">
        <is>
          <t>UPPSALA LÄN</t>
        </is>
      </c>
      <c r="E436" t="inlineStr">
        <is>
          <t>TIERP</t>
        </is>
      </c>
      <c r="F436" t="inlineStr">
        <is>
          <t>Bergvik skog öst AB</t>
        </is>
      </c>
      <c r="G436" t="n">
        <v>15.1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38524-2023</t>
        </is>
      </c>
      <c r="B437" s="1" t="n">
        <v>45162</v>
      </c>
      <c r="C437" s="1" t="n">
        <v>45204</v>
      </c>
      <c r="D437" t="inlineStr">
        <is>
          <t>UPPSALA LÄN</t>
        </is>
      </c>
      <c r="E437" t="inlineStr">
        <is>
          <t>TIERP</t>
        </is>
      </c>
      <c r="F437" t="inlineStr">
        <is>
          <t>Bergvik skog väst AB</t>
        </is>
      </c>
      <c r="G437" t="n">
        <v>7.7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39928-2023</t>
        </is>
      </c>
      <c r="B438" s="1" t="n">
        <v>45167</v>
      </c>
      <c r="C438" s="1" t="n">
        <v>45204</v>
      </c>
      <c r="D438" t="inlineStr">
        <is>
          <t>UPPSALA LÄN</t>
        </is>
      </c>
      <c r="E438" t="inlineStr">
        <is>
          <t>TIERP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39927-2023</t>
        </is>
      </c>
      <c r="B439" s="1" t="n">
        <v>45168</v>
      </c>
      <c r="C439" s="1" t="n">
        <v>45204</v>
      </c>
      <c r="D439" t="inlineStr">
        <is>
          <t>UPPSALA LÄN</t>
        </is>
      </c>
      <c r="E439" t="inlineStr">
        <is>
          <t>TIERP</t>
        </is>
      </c>
      <c r="F439" t="inlineStr">
        <is>
          <t>Bergvik skog öst AB</t>
        </is>
      </c>
      <c r="G439" t="n">
        <v>5.5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41182-2023</t>
        </is>
      </c>
      <c r="B440" s="1" t="n">
        <v>45174</v>
      </c>
      <c r="C440" s="1" t="n">
        <v>45204</v>
      </c>
      <c r="D440" t="inlineStr">
        <is>
          <t>UPPSALA LÄN</t>
        </is>
      </c>
      <c r="E440" t="inlineStr">
        <is>
          <t>TIERP</t>
        </is>
      </c>
      <c r="F440" t="inlineStr">
        <is>
          <t>Bergvik skog öst AB</t>
        </is>
      </c>
      <c r="G440" t="n">
        <v>14.8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42642-2023</t>
        </is>
      </c>
      <c r="B441" s="1" t="n">
        <v>45181</v>
      </c>
      <c r="C441" s="1" t="n">
        <v>45204</v>
      </c>
      <c r="D441" t="inlineStr">
        <is>
          <t>UPPSALA LÄN</t>
        </is>
      </c>
      <c r="E441" t="inlineStr">
        <is>
          <t>TIERP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43722-2023</t>
        </is>
      </c>
      <c r="B442" s="1" t="n">
        <v>45187</v>
      </c>
      <c r="C442" s="1" t="n">
        <v>45204</v>
      </c>
      <c r="D442" t="inlineStr">
        <is>
          <t>UPPSALA LÄN</t>
        </is>
      </c>
      <c r="E442" t="inlineStr">
        <is>
          <t>TIERP</t>
        </is>
      </c>
      <c r="F442" t="inlineStr">
        <is>
          <t>Bergvik skog öst AB</t>
        </is>
      </c>
      <c r="G442" t="n">
        <v>26.7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44438-2023</t>
        </is>
      </c>
      <c r="B443" s="1" t="n">
        <v>45189</v>
      </c>
      <c r="C443" s="1" t="n">
        <v>45204</v>
      </c>
      <c r="D443" t="inlineStr">
        <is>
          <t>UPPSALA LÄN</t>
        </is>
      </c>
      <c r="E443" t="inlineStr">
        <is>
          <t>TIERP</t>
        </is>
      </c>
      <c r="F443" t="inlineStr">
        <is>
          <t>Bergvik skog öst AB</t>
        </is>
      </c>
      <c r="G443" t="n">
        <v>6.9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44430-2023</t>
        </is>
      </c>
      <c r="B444" s="1" t="n">
        <v>45189</v>
      </c>
      <c r="C444" s="1" t="n">
        <v>45204</v>
      </c>
      <c r="D444" t="inlineStr">
        <is>
          <t>UPPSALA LÄN</t>
        </is>
      </c>
      <c r="E444" t="inlineStr">
        <is>
          <t>TIERP</t>
        </is>
      </c>
      <c r="F444" t="inlineStr">
        <is>
          <t>Bergvik skog öst AB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44762-2023</t>
        </is>
      </c>
      <c r="B445" s="1" t="n">
        <v>45190</v>
      </c>
      <c r="C445" s="1" t="n">
        <v>45204</v>
      </c>
      <c r="D445" t="inlineStr">
        <is>
          <t>UPPSALA LÄN</t>
        </is>
      </c>
      <c r="E445" t="inlineStr">
        <is>
          <t>TIERP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45080-2023</t>
        </is>
      </c>
      <c r="B446" s="1" t="n">
        <v>45191</v>
      </c>
      <c r="C446" s="1" t="n">
        <v>45204</v>
      </c>
      <c r="D446" t="inlineStr">
        <is>
          <t>UPPSALA LÄN</t>
        </is>
      </c>
      <c r="E446" t="inlineStr">
        <is>
          <t>TIERP</t>
        </is>
      </c>
      <c r="F446" t="inlineStr">
        <is>
          <t>Bergvik skog öst AB</t>
        </is>
      </c>
      <c r="G446" t="n">
        <v>4.5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46522-2023</t>
        </is>
      </c>
      <c r="B447" s="1" t="n">
        <v>45197</v>
      </c>
      <c r="C447" s="1" t="n">
        <v>45204</v>
      </c>
      <c r="D447" t="inlineStr">
        <is>
          <t>UPPSALA LÄN</t>
        </is>
      </c>
      <c r="E447" t="inlineStr">
        <is>
          <t>TIERP</t>
        </is>
      </c>
      <c r="G447" t="n">
        <v>16.1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>
      <c r="A448" t="inlineStr">
        <is>
          <t>A 47034-2023</t>
        </is>
      </c>
      <c r="B448" s="1" t="n">
        <v>45201</v>
      </c>
      <c r="C448" s="1" t="n">
        <v>45204</v>
      </c>
      <c r="D448" t="inlineStr">
        <is>
          <t>UPPSALA LÄN</t>
        </is>
      </c>
      <c r="E448" t="inlineStr">
        <is>
          <t>TIERP</t>
        </is>
      </c>
      <c r="F448" t="inlineStr">
        <is>
          <t>Bergvik skog öst AB</t>
        </is>
      </c>
      <c r="G448" t="n">
        <v>4.2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2023-10-05T07:14:00Z</dcterms:created>
  <dcterms:modified xmlns:dcterms="http://purl.org/dc/terms/" xmlns:xsi="http://www.w3.org/2001/XMLSchema-instance" xsi:type="dcterms:W3CDTF">2023-10-05T07:14:00Z</dcterms:modified>
</cp:coreProperties>
</file>