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45172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40297-2022.xlsx")</f>
        <v/>
      </c>
      <c r="T2">
        <f>HYPERLINK("https://klasma.github.io/Logging_UMEA/kartor/A 40297-2022.png")</f>
        <v/>
      </c>
      <c r="V2">
        <f>HYPERLINK("https://klasma.github.io/Logging_UMEA/klagomål/A 40297-2022.docx")</f>
        <v/>
      </c>
      <c r="W2">
        <f>HYPERLINK("https://klasma.github.io/Logging_UMEA/klagomålsmail/A 40297-2022.docx")</f>
        <v/>
      </c>
      <c r="X2">
        <f>HYPERLINK("https://klasma.github.io/Logging_UMEA/tillsyn/A 40297-2022.docx")</f>
        <v/>
      </c>
      <c r="Y2">
        <f>HYPERLINK("https://klasma.github.io/Logging_UMEA/tillsynsmail/A 40297-2022.docx")</f>
        <v/>
      </c>
    </row>
    <row r="3" ht="15" customHeight="1">
      <c r="A3" t="inlineStr">
        <is>
          <t>A 31252-2019</t>
        </is>
      </c>
      <c r="B3" s="1" t="n">
        <v>43640</v>
      </c>
      <c r="C3" s="1" t="n">
        <v>45172</v>
      </c>
      <c r="D3" t="inlineStr">
        <is>
          <t>VÄSTERBOTTENS LÄN</t>
        </is>
      </c>
      <c r="E3" t="inlineStr">
        <is>
          <t>UMEÅ</t>
        </is>
      </c>
      <c r="G3" t="n">
        <v>9</v>
      </c>
      <c r="H3" t="n">
        <v>0</v>
      </c>
      <c r="I3" t="n">
        <v>3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10</v>
      </c>
      <c r="R3" s="2" t="inlineStr">
        <is>
          <t>Gammelgransskål
Garnlav
Granticka
Gränsticka
Svartvit taggsvamp
Ullticka
Veckticka
Dropptaggsvamp
Stuplav
Vågbandad barkbock</t>
        </is>
      </c>
      <c r="S3">
        <f>HYPERLINK("https://klasma.github.io/Logging_UMEA/artfynd/A 31252-2019.xlsx")</f>
        <v/>
      </c>
      <c r="T3">
        <f>HYPERLINK("https://klasma.github.io/Logging_UMEA/kartor/A 31252-2019.png")</f>
        <v/>
      </c>
      <c r="V3">
        <f>HYPERLINK("https://klasma.github.io/Logging_UMEA/klagomål/A 31252-2019.docx")</f>
        <v/>
      </c>
      <c r="W3">
        <f>HYPERLINK("https://klasma.github.io/Logging_UMEA/klagomålsmail/A 31252-2019.docx")</f>
        <v/>
      </c>
      <c r="X3">
        <f>HYPERLINK("https://klasma.github.io/Logging_UMEA/tillsyn/A 31252-2019.docx")</f>
        <v/>
      </c>
      <c r="Y3">
        <f>HYPERLINK("https://klasma.github.io/Logging_UMEA/tillsynsmail/A 31252-2019.docx")</f>
        <v/>
      </c>
    </row>
    <row r="4" ht="15" customHeight="1">
      <c r="A4" t="inlineStr">
        <is>
          <t>A 35039-2022</t>
        </is>
      </c>
      <c r="B4" s="1" t="n">
        <v>44797</v>
      </c>
      <c r="C4" s="1" t="n">
        <v>45172</v>
      </c>
      <c r="D4" t="inlineStr">
        <is>
          <t>VÄSTERBOTTENS LÄN</t>
        </is>
      </c>
      <c r="E4" t="inlineStr">
        <is>
          <t>UMEÅ</t>
        </is>
      </c>
      <c r="F4" t="inlineStr">
        <is>
          <t>Kyrkan</t>
        </is>
      </c>
      <c r="G4" t="n">
        <v>12.3</v>
      </c>
      <c r="H4" t="n">
        <v>3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Garnlav
Granticka
Spillkråka
Tallticka
Talltita
Tretåig hackspett
Ullticka
Vedticka
Vågbandad barkbock</t>
        </is>
      </c>
      <c r="S4">
        <f>HYPERLINK("https://klasma.github.io/Logging_UMEA/artfynd/A 35039-2022.xlsx")</f>
        <v/>
      </c>
      <c r="T4">
        <f>HYPERLINK("https://klasma.github.io/Logging_UMEA/kartor/A 35039-2022.png")</f>
        <v/>
      </c>
      <c r="V4">
        <f>HYPERLINK("https://klasma.github.io/Logging_UMEA/klagomål/A 35039-2022.docx")</f>
        <v/>
      </c>
      <c r="W4">
        <f>HYPERLINK("https://klasma.github.io/Logging_UMEA/klagomålsmail/A 35039-2022.docx")</f>
        <v/>
      </c>
      <c r="X4">
        <f>HYPERLINK("https://klasma.github.io/Logging_UMEA/tillsyn/A 35039-2022.docx")</f>
        <v/>
      </c>
      <c r="Y4">
        <f>HYPERLINK("https://klasma.github.io/Logging_UMEA/tillsynsmail/A 35039-2022.docx")</f>
        <v/>
      </c>
    </row>
    <row r="5" ht="15" customHeight="1">
      <c r="A5" t="inlineStr">
        <is>
          <t>A 51198-2022</t>
        </is>
      </c>
      <c r="B5" s="1" t="n">
        <v>44868</v>
      </c>
      <c r="C5" s="1" t="n">
        <v>45172</v>
      </c>
      <c r="D5" t="inlineStr">
        <is>
          <t>VÄSTERBOTTENS LÄN</t>
        </is>
      </c>
      <c r="E5" t="inlineStr">
        <is>
          <t>UMEÅ</t>
        </is>
      </c>
      <c r="G5" t="n">
        <v>3.3</v>
      </c>
      <c r="H5" t="n">
        <v>0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Blå taggsvamp
Garnlav
Motaggsvamp
Orange taggsvamp
Skrovlig taggsvamp
Violettgrå tagellav
Dropptaggsvamp
Skarp dropptaggsvamp
Zontaggsvamp</t>
        </is>
      </c>
      <c r="S5">
        <f>HYPERLINK("https://klasma.github.io/Logging_UMEA/artfynd/A 51198-2022.xlsx")</f>
        <v/>
      </c>
      <c r="T5">
        <f>HYPERLINK("https://klasma.github.io/Logging_UMEA/kartor/A 51198-2022.png")</f>
        <v/>
      </c>
      <c r="V5">
        <f>HYPERLINK("https://klasma.github.io/Logging_UMEA/klagomål/A 51198-2022.docx")</f>
        <v/>
      </c>
      <c r="W5">
        <f>HYPERLINK("https://klasma.github.io/Logging_UMEA/klagomålsmail/A 51198-2022.docx")</f>
        <v/>
      </c>
      <c r="X5">
        <f>HYPERLINK("https://klasma.github.io/Logging_UMEA/tillsyn/A 51198-2022.docx")</f>
        <v/>
      </c>
      <c r="Y5">
        <f>HYPERLINK("https://klasma.github.io/Logging_UMEA/tillsynsmail/A 51198-2022.docx")</f>
        <v/>
      </c>
    </row>
    <row r="6" ht="15" customHeight="1">
      <c r="A6" t="inlineStr">
        <is>
          <t>A 8708-2023</t>
        </is>
      </c>
      <c r="B6" s="1" t="n">
        <v>44973</v>
      </c>
      <c r="C6" s="1" t="n">
        <v>45172</v>
      </c>
      <c r="D6" t="inlineStr">
        <is>
          <t>VÄSTERBOTTENS LÄN</t>
        </is>
      </c>
      <c r="E6" t="inlineStr">
        <is>
          <t>UMEÅ</t>
        </is>
      </c>
      <c r="G6" t="n">
        <v>8.4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Aspgelélav
Garnlav
Granticka
Gränsticka
Lunglav
Nordtagging
Violettgrå tagellav
Skinnlav
Vedticka</t>
        </is>
      </c>
      <c r="S6">
        <f>HYPERLINK("https://klasma.github.io/Logging_UMEA/artfynd/A 8708-2023.xlsx")</f>
        <v/>
      </c>
      <c r="T6">
        <f>HYPERLINK("https://klasma.github.io/Logging_UMEA/kartor/A 8708-2023.png")</f>
        <v/>
      </c>
      <c r="V6">
        <f>HYPERLINK("https://klasma.github.io/Logging_UMEA/klagomål/A 8708-2023.docx")</f>
        <v/>
      </c>
      <c r="W6">
        <f>HYPERLINK("https://klasma.github.io/Logging_UMEA/klagomålsmail/A 8708-2023.docx")</f>
        <v/>
      </c>
      <c r="X6">
        <f>HYPERLINK("https://klasma.github.io/Logging_UMEA/tillsyn/A 8708-2023.docx")</f>
        <v/>
      </c>
      <c r="Y6">
        <f>HYPERLINK("https://klasma.github.io/Logging_UMEA/tillsynsmail/A 8708-2023.docx")</f>
        <v/>
      </c>
    </row>
    <row r="7" ht="15" customHeight="1">
      <c r="A7" t="inlineStr">
        <is>
          <t>A 41407-2022</t>
        </is>
      </c>
      <c r="B7" s="1" t="n">
        <v>44826</v>
      </c>
      <c r="C7" s="1" t="n">
        <v>45172</v>
      </c>
      <c r="D7" t="inlineStr">
        <is>
          <t>VÄSTERBOTTENS LÄN</t>
        </is>
      </c>
      <c r="E7" t="inlineStr">
        <is>
          <t>UMEÅ</t>
        </is>
      </c>
      <c r="G7" t="n">
        <v>5.6</v>
      </c>
      <c r="H7" t="n">
        <v>2</v>
      </c>
      <c r="I7" t="n">
        <v>1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8</v>
      </c>
      <c r="R7" s="2" t="inlineStr">
        <is>
          <t>Garnlav
Leptoporus mollis
Rosenticka
Spillkråka
Stjärntagging
Tretåig hackspett
Ullticka
Vedticka</t>
        </is>
      </c>
      <c r="S7">
        <f>HYPERLINK("https://klasma.github.io/Logging_UMEA/artfynd/A 41407-2022.xlsx")</f>
        <v/>
      </c>
      <c r="T7">
        <f>HYPERLINK("https://klasma.github.io/Logging_UMEA/kartor/A 41407-2022.png")</f>
        <v/>
      </c>
      <c r="V7">
        <f>HYPERLINK("https://klasma.github.io/Logging_UMEA/klagomål/A 41407-2022.docx")</f>
        <v/>
      </c>
      <c r="W7">
        <f>HYPERLINK("https://klasma.github.io/Logging_UMEA/klagomålsmail/A 41407-2022.docx")</f>
        <v/>
      </c>
      <c r="X7">
        <f>HYPERLINK("https://klasma.github.io/Logging_UMEA/tillsyn/A 41407-2022.docx")</f>
        <v/>
      </c>
      <c r="Y7">
        <f>HYPERLINK("https://klasma.github.io/Logging_UMEA/tillsynsmail/A 41407-2022.docx")</f>
        <v/>
      </c>
    </row>
    <row r="8" ht="15" customHeight="1">
      <c r="A8" t="inlineStr">
        <is>
          <t>A 15738-2023</t>
        </is>
      </c>
      <c r="B8" s="1" t="n">
        <v>45020</v>
      </c>
      <c r="C8" s="1" t="n">
        <v>45172</v>
      </c>
      <c r="D8" t="inlineStr">
        <is>
          <t>VÄSTERBOTTENS LÄN</t>
        </is>
      </c>
      <c r="E8" t="inlineStr">
        <is>
          <t>UMEÅ</t>
        </is>
      </c>
      <c r="F8" t="inlineStr">
        <is>
          <t>Kommuner</t>
        </is>
      </c>
      <c r="G8" t="n">
        <v>2.9</v>
      </c>
      <c r="H8" t="n">
        <v>0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8</v>
      </c>
      <c r="R8" s="2" t="inlineStr">
        <is>
          <t>Goliatmusseron
Blå taggsvamp
Orange taggsvamp
Svart taggsvamp
Svartvit taggsvamp
Dropptaggsvamp
Skarp dropptaggsvamp
Zontaggsvamp</t>
        </is>
      </c>
      <c r="S8">
        <f>HYPERLINK("https://klasma.github.io/Logging_UMEA/artfynd/A 15738-2023.xlsx")</f>
        <v/>
      </c>
      <c r="T8">
        <f>HYPERLINK("https://klasma.github.io/Logging_UMEA/kartor/A 15738-2023.png")</f>
        <v/>
      </c>
      <c r="V8">
        <f>HYPERLINK("https://klasma.github.io/Logging_UMEA/klagomål/A 15738-2023.docx")</f>
        <v/>
      </c>
      <c r="W8">
        <f>HYPERLINK("https://klasma.github.io/Logging_UMEA/klagomålsmail/A 15738-2023.docx")</f>
        <v/>
      </c>
      <c r="X8">
        <f>HYPERLINK("https://klasma.github.io/Logging_UMEA/tillsyn/A 15738-2023.docx")</f>
        <v/>
      </c>
      <c r="Y8">
        <f>HYPERLINK("https://klasma.github.io/Logging_UMEA/tillsynsmail/A 15738-2023.docx")</f>
        <v/>
      </c>
    </row>
    <row r="9" ht="15" customHeight="1">
      <c r="A9" t="inlineStr">
        <is>
          <t>A 31314-2019</t>
        </is>
      </c>
      <c r="B9" s="1" t="n">
        <v>43641</v>
      </c>
      <c r="C9" s="1" t="n">
        <v>45172</v>
      </c>
      <c r="D9" t="inlineStr">
        <is>
          <t>VÄSTERBOTTENS LÄN</t>
        </is>
      </c>
      <c r="E9" t="inlineStr">
        <is>
          <t>UMEÅ</t>
        </is>
      </c>
      <c r="G9" t="n">
        <v>2.3</v>
      </c>
      <c r="H9" t="n">
        <v>0</v>
      </c>
      <c r="I9" t="n">
        <v>1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7</v>
      </c>
      <c r="R9" s="2" t="inlineStr">
        <is>
          <t>Blanksvart spiklav
Gammelgransskål
Garnlav
Ullticka
Vaddporing
Vedskivlav
Dropptaggsvamp</t>
        </is>
      </c>
      <c r="S9">
        <f>HYPERLINK("https://klasma.github.io/Logging_UMEA/artfynd/A 31314-2019.xlsx")</f>
        <v/>
      </c>
      <c r="T9">
        <f>HYPERLINK("https://klasma.github.io/Logging_UMEA/kartor/A 31314-2019.png")</f>
        <v/>
      </c>
      <c r="V9">
        <f>HYPERLINK("https://klasma.github.io/Logging_UMEA/klagomål/A 31314-2019.docx")</f>
        <v/>
      </c>
      <c r="W9">
        <f>HYPERLINK("https://klasma.github.io/Logging_UMEA/klagomålsmail/A 31314-2019.docx")</f>
        <v/>
      </c>
      <c r="X9">
        <f>HYPERLINK("https://klasma.github.io/Logging_UMEA/tillsyn/A 31314-2019.docx")</f>
        <v/>
      </c>
      <c r="Y9">
        <f>HYPERLINK("https://klasma.github.io/Logging_UMEA/tillsynsmail/A 31314-2019.docx")</f>
        <v/>
      </c>
    </row>
    <row r="10" ht="15" customHeight="1">
      <c r="A10" t="inlineStr">
        <is>
          <t>A 52153-2020</t>
        </is>
      </c>
      <c r="B10" s="1" t="n">
        <v>44117</v>
      </c>
      <c r="C10" s="1" t="n">
        <v>45172</v>
      </c>
      <c r="D10" t="inlineStr">
        <is>
          <t>VÄSTERBOTTENS LÄN</t>
        </is>
      </c>
      <c r="E10" t="inlineStr">
        <is>
          <t>UMEÅ</t>
        </is>
      </c>
      <c r="F10" t="inlineStr">
        <is>
          <t>Sveaskog</t>
        </is>
      </c>
      <c r="G10" t="n">
        <v>6.4</v>
      </c>
      <c r="H10" t="n">
        <v>3</v>
      </c>
      <c r="I10" t="n">
        <v>0</v>
      </c>
      <c r="J10" t="n">
        <v>6</v>
      </c>
      <c r="K10" t="n">
        <v>1</v>
      </c>
      <c r="L10" t="n">
        <v>0</v>
      </c>
      <c r="M10" t="n">
        <v>0</v>
      </c>
      <c r="N10" t="n">
        <v>0</v>
      </c>
      <c r="O10" t="n">
        <v>7</v>
      </c>
      <c r="P10" t="n">
        <v>1</v>
      </c>
      <c r="Q10" t="n">
        <v>7</v>
      </c>
      <c r="R10" s="2" t="inlineStr">
        <is>
          <t>Knärot
Garnlav
Granticka
Nordfladdermus
Tretåig hackspett
Ullticka
Vaddporing</t>
        </is>
      </c>
      <c r="S10">
        <f>HYPERLINK("https://klasma.github.io/Logging_UMEA/artfynd/A 52153-2020.xlsx")</f>
        <v/>
      </c>
      <c r="T10">
        <f>HYPERLINK("https://klasma.github.io/Logging_UMEA/kartor/A 52153-2020.png")</f>
        <v/>
      </c>
      <c r="U10">
        <f>HYPERLINK("https://klasma.github.io/Logging_UMEA/knärot/A 52153-2020.png")</f>
        <v/>
      </c>
      <c r="V10">
        <f>HYPERLINK("https://klasma.github.io/Logging_UMEA/klagomål/A 52153-2020.docx")</f>
        <v/>
      </c>
      <c r="W10">
        <f>HYPERLINK("https://klasma.github.io/Logging_UMEA/klagomålsmail/A 52153-2020.docx")</f>
        <v/>
      </c>
      <c r="X10">
        <f>HYPERLINK("https://klasma.github.io/Logging_UMEA/tillsyn/A 52153-2020.docx")</f>
        <v/>
      </c>
      <c r="Y10">
        <f>HYPERLINK("https://klasma.github.io/Logging_UMEA/tillsynsmail/A 52153-2020.docx")</f>
        <v/>
      </c>
    </row>
    <row r="11" ht="15" customHeight="1">
      <c r="A11" t="inlineStr">
        <is>
          <t>A 9245-2022</t>
        </is>
      </c>
      <c r="B11" s="1" t="n">
        <v>44616</v>
      </c>
      <c r="C11" s="1" t="n">
        <v>45172</v>
      </c>
      <c r="D11" t="inlineStr">
        <is>
          <t>VÄSTERBOTTENS LÄN</t>
        </is>
      </c>
      <c r="E11" t="inlineStr">
        <is>
          <t>UMEÅ</t>
        </is>
      </c>
      <c r="G11" t="n">
        <v>2.8</v>
      </c>
      <c r="H11" t="n">
        <v>1</v>
      </c>
      <c r="I11" t="n">
        <v>2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7</v>
      </c>
      <c r="R11" s="2" t="inlineStr">
        <is>
          <t>Gropticka
Harticka
Järpe
Ullticka
Violettgrå tagellav
Mörk husmossa
Vedticka</t>
        </is>
      </c>
      <c r="S11">
        <f>HYPERLINK("https://klasma.github.io/Logging_UMEA/artfynd/A 9245-2022.xlsx")</f>
        <v/>
      </c>
      <c r="T11">
        <f>HYPERLINK("https://klasma.github.io/Logging_UMEA/kartor/A 9245-2022.png")</f>
        <v/>
      </c>
      <c r="V11">
        <f>HYPERLINK("https://klasma.github.io/Logging_UMEA/klagomål/A 9245-2022.docx")</f>
        <v/>
      </c>
      <c r="W11">
        <f>HYPERLINK("https://klasma.github.io/Logging_UMEA/klagomålsmail/A 9245-2022.docx")</f>
        <v/>
      </c>
      <c r="X11">
        <f>HYPERLINK("https://klasma.github.io/Logging_UMEA/tillsyn/A 9245-2022.docx")</f>
        <v/>
      </c>
      <c r="Y11">
        <f>HYPERLINK("https://klasma.github.io/Logging_UMEA/tillsynsmail/A 9245-2022.docx")</f>
        <v/>
      </c>
    </row>
    <row r="12" ht="15" customHeight="1">
      <c r="A12" t="inlineStr">
        <is>
          <t>A 17522-2022</t>
        </is>
      </c>
      <c r="B12" s="1" t="n">
        <v>44679</v>
      </c>
      <c r="C12" s="1" t="n">
        <v>45172</v>
      </c>
      <c r="D12" t="inlineStr">
        <is>
          <t>VÄSTERBOTTENS LÄN</t>
        </is>
      </c>
      <c r="E12" t="inlineStr">
        <is>
          <t>UMEÅ</t>
        </is>
      </c>
      <c r="F12" t="inlineStr">
        <is>
          <t>Kyrkan</t>
        </is>
      </c>
      <c r="G12" t="n">
        <v>3.1</v>
      </c>
      <c r="H12" t="n">
        <v>0</v>
      </c>
      <c r="I12" t="n">
        <v>3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7</v>
      </c>
      <c r="R12" s="2" t="inlineStr">
        <is>
          <t>Smalfotad taggsvamp
Blå taggsvamp
Orange taggsvamp
Skrovlig taggsvamp
Dropptaggsvamp
Nästlav
Skarp dropptaggsvamp</t>
        </is>
      </c>
      <c r="S12">
        <f>HYPERLINK("https://klasma.github.io/Logging_UMEA/artfynd/A 17522-2022.xlsx")</f>
        <v/>
      </c>
      <c r="T12">
        <f>HYPERLINK("https://klasma.github.io/Logging_UMEA/kartor/A 17522-2022.png")</f>
        <v/>
      </c>
      <c r="V12">
        <f>HYPERLINK("https://klasma.github.io/Logging_UMEA/klagomål/A 17522-2022.docx")</f>
        <v/>
      </c>
      <c r="W12">
        <f>HYPERLINK("https://klasma.github.io/Logging_UMEA/klagomålsmail/A 17522-2022.docx")</f>
        <v/>
      </c>
      <c r="X12">
        <f>HYPERLINK("https://klasma.github.io/Logging_UMEA/tillsyn/A 17522-2022.docx")</f>
        <v/>
      </c>
      <c r="Y12">
        <f>HYPERLINK("https://klasma.github.io/Logging_UMEA/tillsynsmail/A 17522-2022.docx")</f>
        <v/>
      </c>
    </row>
    <row r="13" ht="15" customHeight="1">
      <c r="A13" t="inlineStr">
        <is>
          <t>A 30187-2023</t>
        </is>
      </c>
      <c r="B13" s="1" t="n">
        <v>45110</v>
      </c>
      <c r="C13" s="1" t="n">
        <v>45172</v>
      </c>
      <c r="D13" t="inlineStr">
        <is>
          <t>VÄSTERBOTTENS LÄN</t>
        </is>
      </c>
      <c r="E13" t="inlineStr">
        <is>
          <t>UMEÅ</t>
        </is>
      </c>
      <c r="G13" t="n">
        <v>12.5</v>
      </c>
      <c r="H13" t="n">
        <v>2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Garnlav
Spillkråka
Tretåig hackspett
Ullticka
Bronshjon
Stuplav
Vedticka</t>
        </is>
      </c>
      <c r="S13">
        <f>HYPERLINK("https://klasma.github.io/Logging_UMEA/artfynd/A 30187-2023.xlsx")</f>
        <v/>
      </c>
      <c r="T13">
        <f>HYPERLINK("https://klasma.github.io/Logging_UMEA/kartor/A 30187-2023.png")</f>
        <v/>
      </c>
      <c r="V13">
        <f>HYPERLINK("https://klasma.github.io/Logging_UMEA/klagomål/A 30187-2023.docx")</f>
        <v/>
      </c>
      <c r="W13">
        <f>HYPERLINK("https://klasma.github.io/Logging_UMEA/klagomålsmail/A 30187-2023.docx")</f>
        <v/>
      </c>
      <c r="X13">
        <f>HYPERLINK("https://klasma.github.io/Logging_UMEA/tillsyn/A 30187-2023.docx")</f>
        <v/>
      </c>
      <c r="Y13">
        <f>HYPERLINK("https://klasma.github.io/Logging_UMEA/tillsynsmail/A 30187-2023.docx")</f>
        <v/>
      </c>
    </row>
    <row r="14" ht="15" customHeight="1">
      <c r="A14" t="inlineStr">
        <is>
          <t>A 3019-2020</t>
        </is>
      </c>
      <c r="B14" s="1" t="n">
        <v>43851</v>
      </c>
      <c r="C14" s="1" t="n">
        <v>45172</v>
      </c>
      <c r="D14" t="inlineStr">
        <is>
          <t>VÄSTERBOTTENS LÄN</t>
        </is>
      </c>
      <c r="E14" t="inlineStr">
        <is>
          <t>UMEÅ</t>
        </is>
      </c>
      <c r="F14" t="inlineStr">
        <is>
          <t>Kommuner</t>
        </is>
      </c>
      <c r="G14" t="n">
        <v>41.7</v>
      </c>
      <c r="H14" t="n">
        <v>4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Grönsångare
Kråka
Nordfladdermus
Rödvingetrast
Svartvit taggsvamp
Grön jordtunga</t>
        </is>
      </c>
      <c r="S14">
        <f>HYPERLINK("https://klasma.github.io/Logging_UMEA/artfynd/A 3019-2020.xlsx")</f>
        <v/>
      </c>
      <c r="T14">
        <f>HYPERLINK("https://klasma.github.io/Logging_UMEA/kartor/A 3019-2020.png")</f>
        <v/>
      </c>
      <c r="V14">
        <f>HYPERLINK("https://klasma.github.io/Logging_UMEA/klagomål/A 3019-2020.docx")</f>
        <v/>
      </c>
      <c r="W14">
        <f>HYPERLINK("https://klasma.github.io/Logging_UMEA/klagomålsmail/A 3019-2020.docx")</f>
        <v/>
      </c>
      <c r="X14">
        <f>HYPERLINK("https://klasma.github.io/Logging_UMEA/tillsyn/A 3019-2020.docx")</f>
        <v/>
      </c>
      <c r="Y14">
        <f>HYPERLINK("https://klasma.github.io/Logging_UMEA/tillsynsmail/A 3019-2020.docx")</f>
        <v/>
      </c>
    </row>
    <row r="15" ht="15" customHeight="1">
      <c r="A15" t="inlineStr">
        <is>
          <t>A 12237-2020</t>
        </is>
      </c>
      <c r="B15" s="1" t="n">
        <v>43895</v>
      </c>
      <c r="C15" s="1" t="n">
        <v>45172</v>
      </c>
      <c r="D15" t="inlineStr">
        <is>
          <t>VÄSTERBOTTENS LÄN</t>
        </is>
      </c>
      <c r="E15" t="inlineStr">
        <is>
          <t>UMEÅ</t>
        </is>
      </c>
      <c r="F15" t="inlineStr">
        <is>
          <t>Holmen skog AB</t>
        </is>
      </c>
      <c r="G15" t="n">
        <v>3.2</v>
      </c>
      <c r="H15" t="n">
        <v>1</v>
      </c>
      <c r="I15" t="n">
        <v>2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Granticka
Spillkråka
Ullticka
Stuplav
Vedticka</t>
        </is>
      </c>
      <c r="S15">
        <f>HYPERLINK("https://klasma.github.io/Logging_UMEA/artfynd/A 12237-2020.xlsx")</f>
        <v/>
      </c>
      <c r="T15">
        <f>HYPERLINK("https://klasma.github.io/Logging_UMEA/kartor/A 12237-2020.png")</f>
        <v/>
      </c>
      <c r="V15">
        <f>HYPERLINK("https://klasma.github.io/Logging_UMEA/klagomål/A 12237-2020.docx")</f>
        <v/>
      </c>
      <c r="W15">
        <f>HYPERLINK("https://klasma.github.io/Logging_UMEA/klagomålsmail/A 12237-2020.docx")</f>
        <v/>
      </c>
      <c r="X15">
        <f>HYPERLINK("https://klasma.github.io/Logging_UMEA/tillsyn/A 12237-2020.docx")</f>
        <v/>
      </c>
      <c r="Y15">
        <f>HYPERLINK("https://klasma.github.io/Logging_UMEA/tillsynsmail/A 12237-2020.docx")</f>
        <v/>
      </c>
    </row>
    <row r="16" ht="15" customHeight="1">
      <c r="A16" t="inlineStr">
        <is>
          <t>A 42391-2021</t>
        </is>
      </c>
      <c r="B16" s="1" t="n">
        <v>44427</v>
      </c>
      <c r="C16" s="1" t="n">
        <v>45172</v>
      </c>
      <c r="D16" t="inlineStr">
        <is>
          <t>VÄSTERBOTTENS LÄN</t>
        </is>
      </c>
      <c r="E16" t="inlineStr">
        <is>
          <t>UMEÅ</t>
        </is>
      </c>
      <c r="F16" t="inlineStr">
        <is>
          <t>Kommuner</t>
        </is>
      </c>
      <c r="G16" t="n">
        <v>12</v>
      </c>
      <c r="H16" t="n">
        <v>1</v>
      </c>
      <c r="I16" t="n">
        <v>1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6</v>
      </c>
      <c r="R16" s="2" t="inlineStr">
        <is>
          <t>Ulltickeporing
Granticka
Talltita
Ullticka
Violettgrå tagellav
Mörk husmossa</t>
        </is>
      </c>
      <c r="S16">
        <f>HYPERLINK("https://klasma.github.io/Logging_UMEA/artfynd/A 42391-2021.xlsx")</f>
        <v/>
      </c>
      <c r="T16">
        <f>HYPERLINK("https://klasma.github.io/Logging_UMEA/kartor/A 42391-2021.png")</f>
        <v/>
      </c>
      <c r="V16">
        <f>HYPERLINK("https://klasma.github.io/Logging_UMEA/klagomål/A 42391-2021.docx")</f>
        <v/>
      </c>
      <c r="W16">
        <f>HYPERLINK("https://klasma.github.io/Logging_UMEA/klagomålsmail/A 42391-2021.docx")</f>
        <v/>
      </c>
      <c r="X16">
        <f>HYPERLINK("https://klasma.github.io/Logging_UMEA/tillsyn/A 42391-2021.docx")</f>
        <v/>
      </c>
      <c r="Y16">
        <f>HYPERLINK("https://klasma.github.io/Logging_UMEA/tillsynsmail/A 42391-2021.docx")</f>
        <v/>
      </c>
    </row>
    <row r="17" ht="15" customHeight="1">
      <c r="A17" t="inlineStr">
        <is>
          <t>A 23008-2022</t>
        </is>
      </c>
      <c r="B17" s="1" t="n">
        <v>44715</v>
      </c>
      <c r="C17" s="1" t="n">
        <v>45172</v>
      </c>
      <c r="D17" t="inlineStr">
        <is>
          <t>VÄSTERBOTTENS LÄN</t>
        </is>
      </c>
      <c r="E17" t="inlineStr">
        <is>
          <t>UMEÅ</t>
        </is>
      </c>
      <c r="G17" t="n">
        <v>2.6</v>
      </c>
      <c r="H17" t="n">
        <v>2</v>
      </c>
      <c r="I17" t="n">
        <v>0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Rynkskinn
Granticka
Leptoporus mollis
Talltita
Ullticka
Revlummer</t>
        </is>
      </c>
      <c r="S17">
        <f>HYPERLINK("https://klasma.github.io/Logging_UMEA/artfynd/A 23008-2022.xlsx")</f>
        <v/>
      </c>
      <c r="T17">
        <f>HYPERLINK("https://klasma.github.io/Logging_UMEA/kartor/A 23008-2022.png")</f>
        <v/>
      </c>
      <c r="V17">
        <f>HYPERLINK("https://klasma.github.io/Logging_UMEA/klagomål/A 23008-2022.docx")</f>
        <v/>
      </c>
      <c r="W17">
        <f>HYPERLINK("https://klasma.github.io/Logging_UMEA/klagomålsmail/A 23008-2022.docx")</f>
        <v/>
      </c>
      <c r="X17">
        <f>HYPERLINK("https://klasma.github.io/Logging_UMEA/tillsyn/A 23008-2022.docx")</f>
        <v/>
      </c>
      <c r="Y17">
        <f>HYPERLINK("https://klasma.github.io/Logging_UMEA/tillsynsmail/A 23008-2022.docx")</f>
        <v/>
      </c>
    </row>
    <row r="18" ht="15" customHeight="1">
      <c r="A18" t="inlineStr">
        <is>
          <t>A 50969-2022</t>
        </is>
      </c>
      <c r="B18" s="1" t="n">
        <v>44867</v>
      </c>
      <c r="C18" s="1" t="n">
        <v>45172</v>
      </c>
      <c r="D18" t="inlineStr">
        <is>
          <t>VÄSTERBOTTENS LÄN</t>
        </is>
      </c>
      <c r="E18" t="inlineStr">
        <is>
          <t>UMEÅ</t>
        </is>
      </c>
      <c r="G18" t="n">
        <v>3.5</v>
      </c>
      <c r="H18" t="n">
        <v>0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Goliatmusseron
Motaggsvamp
Orange taggsvamp
Vedskivlav
Vitplätt
Dropptaggsvamp</t>
        </is>
      </c>
      <c r="S18">
        <f>HYPERLINK("https://klasma.github.io/Logging_UMEA/artfynd/A 50969-2022.xlsx")</f>
        <v/>
      </c>
      <c r="T18">
        <f>HYPERLINK("https://klasma.github.io/Logging_UMEA/kartor/A 50969-2022.png")</f>
        <v/>
      </c>
      <c r="V18">
        <f>HYPERLINK("https://klasma.github.io/Logging_UMEA/klagomål/A 50969-2022.docx")</f>
        <v/>
      </c>
      <c r="W18">
        <f>HYPERLINK("https://klasma.github.io/Logging_UMEA/klagomålsmail/A 50969-2022.docx")</f>
        <v/>
      </c>
      <c r="X18">
        <f>HYPERLINK("https://klasma.github.io/Logging_UMEA/tillsyn/A 50969-2022.docx")</f>
        <v/>
      </c>
      <c r="Y18">
        <f>HYPERLINK("https://klasma.github.io/Logging_UMEA/tillsynsmail/A 50969-2022.docx")</f>
        <v/>
      </c>
    </row>
    <row r="19" ht="15" customHeight="1">
      <c r="A19" t="inlineStr">
        <is>
          <t>A 37062-2018</t>
        </is>
      </c>
      <c r="B19" s="1" t="n">
        <v>43333</v>
      </c>
      <c r="C19" s="1" t="n">
        <v>45172</v>
      </c>
      <c r="D19" t="inlineStr">
        <is>
          <t>VÄSTERBOTTENS LÄN</t>
        </is>
      </c>
      <c r="E19" t="inlineStr">
        <is>
          <t>UMEÅ</t>
        </is>
      </c>
      <c r="G19" t="n">
        <v>4.2</v>
      </c>
      <c r="H19" t="n">
        <v>0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Garnlav
Violettgrå tagellav
Stor aspticka
Vedticka
Vågbandad barkbock</t>
        </is>
      </c>
      <c r="S19">
        <f>HYPERLINK("https://klasma.github.io/Logging_UMEA/artfynd/A 37062-2018.xlsx")</f>
        <v/>
      </c>
      <c r="T19">
        <f>HYPERLINK("https://klasma.github.io/Logging_UMEA/kartor/A 37062-2018.png")</f>
        <v/>
      </c>
      <c r="V19">
        <f>HYPERLINK("https://klasma.github.io/Logging_UMEA/klagomål/A 37062-2018.docx")</f>
        <v/>
      </c>
      <c r="W19">
        <f>HYPERLINK("https://klasma.github.io/Logging_UMEA/klagomålsmail/A 37062-2018.docx")</f>
        <v/>
      </c>
      <c r="X19">
        <f>HYPERLINK("https://klasma.github.io/Logging_UMEA/tillsyn/A 37062-2018.docx")</f>
        <v/>
      </c>
      <c r="Y19">
        <f>HYPERLINK("https://klasma.github.io/Logging_UMEA/tillsynsmail/A 37062-2018.docx")</f>
        <v/>
      </c>
    </row>
    <row r="20" ht="15" customHeight="1">
      <c r="A20" t="inlineStr">
        <is>
          <t>A 61439-2020</t>
        </is>
      </c>
      <c r="B20" s="1" t="n">
        <v>44157</v>
      </c>
      <c r="C20" s="1" t="n">
        <v>45172</v>
      </c>
      <c r="D20" t="inlineStr">
        <is>
          <t>VÄSTERBOTTENS LÄN</t>
        </is>
      </c>
      <c r="E20" t="inlineStr">
        <is>
          <t>UMEÅ</t>
        </is>
      </c>
      <c r="G20" t="n">
        <v>11.8</v>
      </c>
      <c r="H20" t="n">
        <v>1</v>
      </c>
      <c r="I20" t="n">
        <v>0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5</v>
      </c>
      <c r="R20" s="2" t="inlineStr">
        <is>
          <t>Gammelgransskål
Garnlav
Spillkråka
Ullticka
Vitgrynig nållav</t>
        </is>
      </c>
      <c r="S20">
        <f>HYPERLINK("https://klasma.github.io/Logging_UMEA/artfynd/A 61439-2020.xlsx")</f>
        <v/>
      </c>
      <c r="T20">
        <f>HYPERLINK("https://klasma.github.io/Logging_UMEA/kartor/A 61439-2020.png")</f>
        <v/>
      </c>
      <c r="V20">
        <f>HYPERLINK("https://klasma.github.io/Logging_UMEA/klagomål/A 61439-2020.docx")</f>
        <v/>
      </c>
      <c r="W20">
        <f>HYPERLINK("https://klasma.github.io/Logging_UMEA/klagomålsmail/A 61439-2020.docx")</f>
        <v/>
      </c>
      <c r="X20">
        <f>HYPERLINK("https://klasma.github.io/Logging_UMEA/tillsyn/A 61439-2020.docx")</f>
        <v/>
      </c>
      <c r="Y20">
        <f>HYPERLINK("https://klasma.github.io/Logging_UMEA/tillsynsmail/A 61439-2020.docx")</f>
        <v/>
      </c>
    </row>
    <row r="21" ht="15" customHeight="1">
      <c r="A21" t="inlineStr">
        <is>
          <t>A 13479-2022</t>
        </is>
      </c>
      <c r="B21" s="1" t="n">
        <v>44645</v>
      </c>
      <c r="C21" s="1" t="n">
        <v>45172</v>
      </c>
      <c r="D21" t="inlineStr">
        <is>
          <t>VÄSTERBOTTENS LÄN</t>
        </is>
      </c>
      <c r="E21" t="inlineStr">
        <is>
          <t>UMEÅ</t>
        </is>
      </c>
      <c r="G21" t="n">
        <v>6.2</v>
      </c>
      <c r="H21" t="n">
        <v>5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Dammfladdermus
Fransfladdermus
Nordfladdermus
Trollpipistrell
Vattenfladdermus</t>
        </is>
      </c>
      <c r="S21">
        <f>HYPERLINK("https://klasma.github.io/Logging_UMEA/artfynd/A 13479-2022.xlsx")</f>
        <v/>
      </c>
      <c r="T21">
        <f>HYPERLINK("https://klasma.github.io/Logging_UMEA/kartor/A 13479-2022.png")</f>
        <v/>
      </c>
      <c r="V21">
        <f>HYPERLINK("https://klasma.github.io/Logging_UMEA/klagomål/A 13479-2022.docx")</f>
        <v/>
      </c>
      <c r="W21">
        <f>HYPERLINK("https://klasma.github.io/Logging_UMEA/klagomålsmail/A 13479-2022.docx")</f>
        <v/>
      </c>
      <c r="X21">
        <f>HYPERLINK("https://klasma.github.io/Logging_UMEA/tillsyn/A 13479-2022.docx")</f>
        <v/>
      </c>
      <c r="Y21">
        <f>HYPERLINK("https://klasma.github.io/Logging_UMEA/tillsynsmail/A 13479-2022.docx")</f>
        <v/>
      </c>
    </row>
    <row r="22" ht="15" customHeight="1">
      <c r="A22" t="inlineStr">
        <is>
          <t>A 33004-2022</t>
        </is>
      </c>
      <c r="B22" s="1" t="n">
        <v>44785</v>
      </c>
      <c r="C22" s="1" t="n">
        <v>45172</v>
      </c>
      <c r="D22" t="inlineStr">
        <is>
          <t>VÄSTERBOTTENS LÄN</t>
        </is>
      </c>
      <c r="E22" t="inlineStr">
        <is>
          <t>UMEÅ</t>
        </is>
      </c>
      <c r="F22" t="inlineStr">
        <is>
          <t>Kommuner</t>
        </is>
      </c>
      <c r="G22" t="n">
        <v>2</v>
      </c>
      <c r="H22" t="n">
        <v>1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Granticka
Spillkråka
Stjärntagging
Ullticka
Thomsons trägnagare</t>
        </is>
      </c>
      <c r="S22">
        <f>HYPERLINK("https://klasma.github.io/Logging_UMEA/artfynd/A 33004-2022.xlsx")</f>
        <v/>
      </c>
      <c r="T22">
        <f>HYPERLINK("https://klasma.github.io/Logging_UMEA/kartor/A 33004-2022.png")</f>
        <v/>
      </c>
      <c r="V22">
        <f>HYPERLINK("https://klasma.github.io/Logging_UMEA/klagomål/A 33004-2022.docx")</f>
        <v/>
      </c>
      <c r="W22">
        <f>HYPERLINK("https://klasma.github.io/Logging_UMEA/klagomålsmail/A 33004-2022.docx")</f>
        <v/>
      </c>
      <c r="X22">
        <f>HYPERLINK("https://klasma.github.io/Logging_UMEA/tillsyn/A 33004-2022.docx")</f>
        <v/>
      </c>
      <c r="Y22">
        <f>HYPERLINK("https://klasma.github.io/Logging_UMEA/tillsynsmail/A 33004-2022.docx")</f>
        <v/>
      </c>
    </row>
    <row r="23" ht="15" customHeight="1">
      <c r="A23" t="inlineStr">
        <is>
          <t>A 39912-2022</t>
        </is>
      </c>
      <c r="B23" s="1" t="n">
        <v>44819</v>
      </c>
      <c r="C23" s="1" t="n">
        <v>45172</v>
      </c>
      <c r="D23" t="inlineStr">
        <is>
          <t>VÄSTERBOTTENS LÄN</t>
        </is>
      </c>
      <c r="E23" t="inlineStr">
        <is>
          <t>UMEÅ</t>
        </is>
      </c>
      <c r="F23" t="inlineStr">
        <is>
          <t>Holmen skog AB</t>
        </is>
      </c>
      <c r="G23" t="n">
        <v>26.3</v>
      </c>
      <c r="H23" t="n">
        <v>1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Garnlav
Granticka
Lunglav
Spillkråka
Ullticka</t>
        </is>
      </c>
      <c r="S23">
        <f>HYPERLINK("https://klasma.github.io/Logging_UMEA/artfynd/A 39912-2022.xlsx")</f>
        <v/>
      </c>
      <c r="T23">
        <f>HYPERLINK("https://klasma.github.io/Logging_UMEA/kartor/A 39912-2022.png")</f>
        <v/>
      </c>
      <c r="V23">
        <f>HYPERLINK("https://klasma.github.io/Logging_UMEA/klagomål/A 39912-2022.docx")</f>
        <v/>
      </c>
      <c r="W23">
        <f>HYPERLINK("https://klasma.github.io/Logging_UMEA/klagomålsmail/A 39912-2022.docx")</f>
        <v/>
      </c>
      <c r="X23">
        <f>HYPERLINK("https://klasma.github.io/Logging_UMEA/tillsyn/A 39912-2022.docx")</f>
        <v/>
      </c>
      <c r="Y23">
        <f>HYPERLINK("https://klasma.github.io/Logging_UMEA/tillsynsmail/A 39912-2022.docx")</f>
        <v/>
      </c>
    </row>
    <row r="24" ht="15" customHeight="1">
      <c r="A24" t="inlineStr">
        <is>
          <t>A 15648-2023</t>
        </is>
      </c>
      <c r="B24" s="1" t="n">
        <v>45019</v>
      </c>
      <c r="C24" s="1" t="n">
        <v>45172</v>
      </c>
      <c r="D24" t="inlineStr">
        <is>
          <t>VÄSTERBOTTENS LÄN</t>
        </is>
      </c>
      <c r="E24" t="inlineStr">
        <is>
          <t>UMEÅ</t>
        </is>
      </c>
      <c r="F24" t="inlineStr">
        <is>
          <t>Kommuner</t>
        </is>
      </c>
      <c r="G24" t="n">
        <v>6.9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Gammelgransskål
Garnlav
Granticka
Ullticka
Bollvitmossa</t>
        </is>
      </c>
      <c r="S24">
        <f>HYPERLINK("https://klasma.github.io/Logging_UMEA/artfynd/A 15648-2023.xlsx")</f>
        <v/>
      </c>
      <c r="T24">
        <f>HYPERLINK("https://klasma.github.io/Logging_UMEA/kartor/A 15648-2023.png")</f>
        <v/>
      </c>
      <c r="V24">
        <f>HYPERLINK("https://klasma.github.io/Logging_UMEA/klagomål/A 15648-2023.docx")</f>
        <v/>
      </c>
      <c r="W24">
        <f>HYPERLINK("https://klasma.github.io/Logging_UMEA/klagomålsmail/A 15648-2023.docx")</f>
        <v/>
      </c>
      <c r="X24">
        <f>HYPERLINK("https://klasma.github.io/Logging_UMEA/tillsyn/A 15648-2023.docx")</f>
        <v/>
      </c>
      <c r="Y24">
        <f>HYPERLINK("https://klasma.github.io/Logging_UMEA/tillsynsmail/A 15648-2023.docx")</f>
        <v/>
      </c>
    </row>
    <row r="25" ht="15" customHeight="1">
      <c r="A25" t="inlineStr">
        <is>
          <t>A 22203-2023</t>
        </is>
      </c>
      <c r="B25" s="1" t="n">
        <v>45069</v>
      </c>
      <c r="C25" s="1" t="n">
        <v>45172</v>
      </c>
      <c r="D25" t="inlineStr">
        <is>
          <t>VÄSTERBOTTENS LÄN</t>
        </is>
      </c>
      <c r="E25" t="inlineStr">
        <is>
          <t>UMEÅ</t>
        </is>
      </c>
      <c r="G25" t="n">
        <v>6.2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Granticka
Ullticka
Violettgrå tagellav
Skinnlav</t>
        </is>
      </c>
      <c r="S25">
        <f>HYPERLINK("https://klasma.github.io/Logging_UMEA/artfynd/A 22203-2023.xlsx")</f>
        <v/>
      </c>
      <c r="T25">
        <f>HYPERLINK("https://klasma.github.io/Logging_UMEA/kartor/A 22203-2023.png")</f>
        <v/>
      </c>
      <c r="V25">
        <f>HYPERLINK("https://klasma.github.io/Logging_UMEA/klagomål/A 22203-2023.docx")</f>
        <v/>
      </c>
      <c r="W25">
        <f>HYPERLINK("https://klasma.github.io/Logging_UMEA/klagomålsmail/A 22203-2023.docx")</f>
        <v/>
      </c>
      <c r="X25">
        <f>HYPERLINK("https://klasma.github.io/Logging_UMEA/tillsyn/A 22203-2023.docx")</f>
        <v/>
      </c>
      <c r="Y25">
        <f>HYPERLINK("https://klasma.github.io/Logging_UMEA/tillsynsmail/A 22203-2023.docx")</f>
        <v/>
      </c>
    </row>
    <row r="26" ht="15" customHeight="1">
      <c r="A26" t="inlineStr">
        <is>
          <t>A 2336-2020</t>
        </is>
      </c>
      <c r="B26" s="1" t="n">
        <v>43846</v>
      </c>
      <c r="C26" s="1" t="n">
        <v>45172</v>
      </c>
      <c r="D26" t="inlineStr">
        <is>
          <t>VÄSTERBOTTENS LÄN</t>
        </is>
      </c>
      <c r="E26" t="inlineStr">
        <is>
          <t>UMEÅ</t>
        </is>
      </c>
      <c r="G26" t="n">
        <v>4.7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Stjärntagging
Vedflikmossa</t>
        </is>
      </c>
      <c r="S26">
        <f>HYPERLINK("https://klasma.github.io/Logging_UMEA/artfynd/A 2336-2020.xlsx")</f>
        <v/>
      </c>
      <c r="T26">
        <f>HYPERLINK("https://klasma.github.io/Logging_UMEA/kartor/A 2336-2020.png")</f>
        <v/>
      </c>
      <c r="V26">
        <f>HYPERLINK("https://klasma.github.io/Logging_UMEA/klagomål/A 2336-2020.docx")</f>
        <v/>
      </c>
      <c r="W26">
        <f>HYPERLINK("https://klasma.github.io/Logging_UMEA/klagomålsmail/A 2336-2020.docx")</f>
        <v/>
      </c>
      <c r="X26">
        <f>HYPERLINK("https://klasma.github.io/Logging_UMEA/tillsyn/A 2336-2020.docx")</f>
        <v/>
      </c>
      <c r="Y26">
        <f>HYPERLINK("https://klasma.github.io/Logging_UMEA/tillsynsmail/A 2336-2020.docx")</f>
        <v/>
      </c>
    </row>
    <row r="27" ht="15" customHeight="1">
      <c r="A27" t="inlineStr">
        <is>
          <t>A 13048-2020</t>
        </is>
      </c>
      <c r="B27" s="1" t="n">
        <v>43900</v>
      </c>
      <c r="C27" s="1" t="n">
        <v>45172</v>
      </c>
      <c r="D27" t="inlineStr">
        <is>
          <t>VÄSTERBOTTENS LÄN</t>
        </is>
      </c>
      <c r="E27" t="inlineStr">
        <is>
          <t>UMEÅ</t>
        </is>
      </c>
      <c r="F27" t="inlineStr">
        <is>
          <t>Holmen skog AB</t>
        </is>
      </c>
      <c r="G27" t="n">
        <v>2</v>
      </c>
      <c r="H27" t="n">
        <v>2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Drillsnäppa
Granticka
Spillkråka
Veckticka</t>
        </is>
      </c>
      <c r="S27">
        <f>HYPERLINK("https://klasma.github.io/Logging_UMEA/artfynd/A 13048-2020.xlsx")</f>
        <v/>
      </c>
      <c r="T27">
        <f>HYPERLINK("https://klasma.github.io/Logging_UMEA/kartor/A 13048-2020.png")</f>
        <v/>
      </c>
      <c r="V27">
        <f>HYPERLINK("https://klasma.github.io/Logging_UMEA/klagomål/A 13048-2020.docx")</f>
        <v/>
      </c>
      <c r="W27">
        <f>HYPERLINK("https://klasma.github.io/Logging_UMEA/klagomålsmail/A 13048-2020.docx")</f>
        <v/>
      </c>
      <c r="X27">
        <f>HYPERLINK("https://klasma.github.io/Logging_UMEA/tillsyn/A 13048-2020.docx")</f>
        <v/>
      </c>
      <c r="Y27">
        <f>HYPERLINK("https://klasma.github.io/Logging_UMEA/tillsynsmail/A 13048-2020.docx")</f>
        <v/>
      </c>
    </row>
    <row r="28" ht="15" customHeight="1">
      <c r="A28" t="inlineStr">
        <is>
          <t>A 38688-2021</t>
        </is>
      </c>
      <c r="B28" s="1" t="n">
        <v>44407</v>
      </c>
      <c r="C28" s="1" t="n">
        <v>45172</v>
      </c>
      <c r="D28" t="inlineStr">
        <is>
          <t>VÄSTERBOTTENS LÄN</t>
        </is>
      </c>
      <c r="E28" t="inlineStr">
        <is>
          <t>UMEÅ</t>
        </is>
      </c>
      <c r="F28" t="inlineStr">
        <is>
          <t>Kommuner</t>
        </is>
      </c>
      <c r="G28" t="n">
        <v>1.6</v>
      </c>
      <c r="H28" t="n">
        <v>1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4</v>
      </c>
      <c r="R28" s="2" t="inlineStr">
        <is>
          <t>Älvstarr
Köseven
Strutbräken
Blåsippa</t>
        </is>
      </c>
      <c r="S28">
        <f>HYPERLINK("https://klasma.github.io/Logging_UMEA/artfynd/A 38688-2021.xlsx")</f>
        <v/>
      </c>
      <c r="T28">
        <f>HYPERLINK("https://klasma.github.io/Logging_UMEA/kartor/A 38688-2021.png")</f>
        <v/>
      </c>
      <c r="V28">
        <f>HYPERLINK("https://klasma.github.io/Logging_UMEA/klagomål/A 38688-2021.docx")</f>
        <v/>
      </c>
      <c r="W28">
        <f>HYPERLINK("https://klasma.github.io/Logging_UMEA/klagomålsmail/A 38688-2021.docx")</f>
        <v/>
      </c>
      <c r="X28">
        <f>HYPERLINK("https://klasma.github.io/Logging_UMEA/tillsyn/A 38688-2021.docx")</f>
        <v/>
      </c>
      <c r="Y28">
        <f>HYPERLINK("https://klasma.github.io/Logging_UMEA/tillsynsmail/A 38688-2021.docx")</f>
        <v/>
      </c>
    </row>
    <row r="29" ht="15" customHeight="1">
      <c r="A29" t="inlineStr">
        <is>
          <t>A 55793-2018</t>
        </is>
      </c>
      <c r="B29" s="1" t="n">
        <v>43391</v>
      </c>
      <c r="C29" s="1" t="n">
        <v>45172</v>
      </c>
      <c r="D29" t="inlineStr">
        <is>
          <t>VÄSTERBOTTENS LÄN</t>
        </is>
      </c>
      <c r="E29" t="inlineStr">
        <is>
          <t>UMEÅ</t>
        </is>
      </c>
      <c r="G29" t="n">
        <v>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Grantaggsvamp
Violettgrå tagellav
Nästlav</t>
        </is>
      </c>
      <c r="S29">
        <f>HYPERLINK("https://klasma.github.io/Logging_UMEA/artfynd/A 55793-2018.xlsx")</f>
        <v/>
      </c>
      <c r="T29">
        <f>HYPERLINK("https://klasma.github.io/Logging_UMEA/kartor/A 55793-2018.png")</f>
        <v/>
      </c>
      <c r="V29">
        <f>HYPERLINK("https://klasma.github.io/Logging_UMEA/klagomål/A 55793-2018.docx")</f>
        <v/>
      </c>
      <c r="W29">
        <f>HYPERLINK("https://klasma.github.io/Logging_UMEA/klagomålsmail/A 55793-2018.docx")</f>
        <v/>
      </c>
      <c r="X29">
        <f>HYPERLINK("https://klasma.github.io/Logging_UMEA/tillsyn/A 55793-2018.docx")</f>
        <v/>
      </c>
      <c r="Y29">
        <f>HYPERLINK("https://klasma.github.io/Logging_UMEA/tillsynsmail/A 55793-2018.docx")</f>
        <v/>
      </c>
    </row>
    <row r="30" ht="15" customHeight="1">
      <c r="A30" t="inlineStr">
        <is>
          <t>A 3109-2020</t>
        </is>
      </c>
      <c r="B30" s="1" t="n">
        <v>43851</v>
      </c>
      <c r="C30" s="1" t="n">
        <v>45172</v>
      </c>
      <c r="D30" t="inlineStr">
        <is>
          <t>VÄSTERBOTTENS LÄN</t>
        </is>
      </c>
      <c r="E30" t="inlineStr">
        <is>
          <t>UMEÅ</t>
        </is>
      </c>
      <c r="G30" t="n">
        <v>2.2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Långskägg
Granticka
Vedticka</t>
        </is>
      </c>
      <c r="S30">
        <f>HYPERLINK("https://klasma.github.io/Logging_UMEA/artfynd/A 3109-2020.xlsx")</f>
        <v/>
      </c>
      <c r="T30">
        <f>HYPERLINK("https://klasma.github.io/Logging_UMEA/kartor/A 3109-2020.png")</f>
        <v/>
      </c>
      <c r="V30">
        <f>HYPERLINK("https://klasma.github.io/Logging_UMEA/klagomål/A 3109-2020.docx")</f>
        <v/>
      </c>
      <c r="W30">
        <f>HYPERLINK("https://klasma.github.io/Logging_UMEA/klagomålsmail/A 3109-2020.docx")</f>
        <v/>
      </c>
      <c r="X30">
        <f>HYPERLINK("https://klasma.github.io/Logging_UMEA/tillsyn/A 3109-2020.docx")</f>
        <v/>
      </c>
      <c r="Y30">
        <f>HYPERLINK("https://klasma.github.io/Logging_UMEA/tillsynsmail/A 3109-2020.docx")</f>
        <v/>
      </c>
    </row>
    <row r="31" ht="15" customHeight="1">
      <c r="A31" t="inlineStr">
        <is>
          <t>A 14267-2020</t>
        </is>
      </c>
      <c r="B31" s="1" t="n">
        <v>43901</v>
      </c>
      <c r="C31" s="1" t="n">
        <v>45172</v>
      </c>
      <c r="D31" t="inlineStr">
        <is>
          <t>VÄSTERBOTTENS LÄN</t>
        </is>
      </c>
      <c r="E31" t="inlineStr">
        <is>
          <t>UMEÅ</t>
        </is>
      </c>
      <c r="G31" t="n">
        <v>2.2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Garnlav
Tretåig hackspett
Vedticka</t>
        </is>
      </c>
      <c r="S31">
        <f>HYPERLINK("https://klasma.github.io/Logging_UMEA/artfynd/A 14267-2020.xlsx")</f>
        <v/>
      </c>
      <c r="T31">
        <f>HYPERLINK("https://klasma.github.io/Logging_UMEA/kartor/A 14267-2020.png")</f>
        <v/>
      </c>
      <c r="V31">
        <f>HYPERLINK("https://klasma.github.io/Logging_UMEA/klagomål/A 14267-2020.docx")</f>
        <v/>
      </c>
      <c r="W31">
        <f>HYPERLINK("https://klasma.github.io/Logging_UMEA/klagomålsmail/A 14267-2020.docx")</f>
        <v/>
      </c>
      <c r="X31">
        <f>HYPERLINK("https://klasma.github.io/Logging_UMEA/tillsyn/A 14267-2020.docx")</f>
        <v/>
      </c>
      <c r="Y31">
        <f>HYPERLINK("https://klasma.github.io/Logging_UMEA/tillsynsmail/A 14267-2020.docx")</f>
        <v/>
      </c>
    </row>
    <row r="32" ht="15" customHeight="1">
      <c r="A32" t="inlineStr">
        <is>
          <t>A 40421-2020</t>
        </is>
      </c>
      <c r="B32" s="1" t="n">
        <v>44068</v>
      </c>
      <c r="C32" s="1" t="n">
        <v>45172</v>
      </c>
      <c r="D32" t="inlineStr">
        <is>
          <t>VÄSTERBOTTENS LÄN</t>
        </is>
      </c>
      <c r="E32" t="inlineStr">
        <is>
          <t>UMEÅ</t>
        </is>
      </c>
      <c r="F32" t="inlineStr">
        <is>
          <t>Kommuner</t>
        </is>
      </c>
      <c r="G32" t="n">
        <v>3</v>
      </c>
      <c r="H32" t="n">
        <v>1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Garnlav
Tretåig hackspett
Nästlav</t>
        </is>
      </c>
      <c r="S32">
        <f>HYPERLINK("https://klasma.github.io/Logging_UMEA/artfynd/A 40421-2020.xlsx")</f>
        <v/>
      </c>
      <c r="T32">
        <f>HYPERLINK("https://klasma.github.io/Logging_UMEA/kartor/A 40421-2020.png")</f>
        <v/>
      </c>
      <c r="V32">
        <f>HYPERLINK("https://klasma.github.io/Logging_UMEA/klagomål/A 40421-2020.docx")</f>
        <v/>
      </c>
      <c r="W32">
        <f>HYPERLINK("https://klasma.github.io/Logging_UMEA/klagomålsmail/A 40421-2020.docx")</f>
        <v/>
      </c>
      <c r="X32">
        <f>HYPERLINK("https://klasma.github.io/Logging_UMEA/tillsyn/A 40421-2020.docx")</f>
        <v/>
      </c>
      <c r="Y32">
        <f>HYPERLINK("https://klasma.github.io/Logging_UMEA/tillsynsmail/A 40421-2020.docx")</f>
        <v/>
      </c>
    </row>
    <row r="33" ht="15" customHeight="1">
      <c r="A33" t="inlineStr">
        <is>
          <t>A 21287-2021</t>
        </is>
      </c>
      <c r="B33" s="1" t="n">
        <v>44320</v>
      </c>
      <c r="C33" s="1" t="n">
        <v>45172</v>
      </c>
      <c r="D33" t="inlineStr">
        <is>
          <t>VÄSTERBOTTENS LÄN</t>
        </is>
      </c>
      <c r="E33" t="inlineStr">
        <is>
          <t>UMEÅ</t>
        </is>
      </c>
      <c r="G33" t="n">
        <v>2.9</v>
      </c>
      <c r="H33" t="n">
        <v>2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Brunlångöra
Nordfladdermus
Violmussling</t>
        </is>
      </c>
      <c r="S33">
        <f>HYPERLINK("https://klasma.github.io/Logging_UMEA/artfynd/A 21287-2021.xlsx")</f>
        <v/>
      </c>
      <c r="T33">
        <f>HYPERLINK("https://klasma.github.io/Logging_UMEA/kartor/A 21287-2021.png")</f>
        <v/>
      </c>
      <c r="V33">
        <f>HYPERLINK("https://klasma.github.io/Logging_UMEA/klagomål/A 21287-2021.docx")</f>
        <v/>
      </c>
      <c r="W33">
        <f>HYPERLINK("https://klasma.github.io/Logging_UMEA/klagomålsmail/A 21287-2021.docx")</f>
        <v/>
      </c>
      <c r="X33">
        <f>HYPERLINK("https://klasma.github.io/Logging_UMEA/tillsyn/A 21287-2021.docx")</f>
        <v/>
      </c>
      <c r="Y33">
        <f>HYPERLINK("https://klasma.github.io/Logging_UMEA/tillsynsmail/A 21287-2021.docx")</f>
        <v/>
      </c>
    </row>
    <row r="34" ht="15" customHeight="1">
      <c r="A34" t="inlineStr">
        <is>
          <t>A 38686-2021</t>
        </is>
      </c>
      <c r="B34" s="1" t="n">
        <v>44407</v>
      </c>
      <c r="C34" s="1" t="n">
        <v>45172</v>
      </c>
      <c r="D34" t="inlineStr">
        <is>
          <t>VÄSTERBOTTENS LÄN</t>
        </is>
      </c>
      <c r="E34" t="inlineStr">
        <is>
          <t>UMEÅ</t>
        </is>
      </c>
      <c r="F34" t="inlineStr">
        <is>
          <t>Kommuner</t>
        </is>
      </c>
      <c r="G34" t="n">
        <v>1.1</v>
      </c>
      <c r="H34" t="n">
        <v>3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Björktrast
Skogsödla
Vanlig padda</t>
        </is>
      </c>
      <c r="S34">
        <f>HYPERLINK("https://klasma.github.io/Logging_UMEA/artfynd/A 38686-2021.xlsx")</f>
        <v/>
      </c>
      <c r="T34">
        <f>HYPERLINK("https://klasma.github.io/Logging_UMEA/kartor/A 38686-2021.png")</f>
        <v/>
      </c>
      <c r="V34">
        <f>HYPERLINK("https://klasma.github.io/Logging_UMEA/klagomål/A 38686-2021.docx")</f>
        <v/>
      </c>
      <c r="W34">
        <f>HYPERLINK("https://klasma.github.io/Logging_UMEA/klagomålsmail/A 38686-2021.docx")</f>
        <v/>
      </c>
      <c r="X34">
        <f>HYPERLINK("https://klasma.github.io/Logging_UMEA/tillsyn/A 38686-2021.docx")</f>
        <v/>
      </c>
      <c r="Y34">
        <f>HYPERLINK("https://klasma.github.io/Logging_UMEA/tillsynsmail/A 38686-2021.docx")</f>
        <v/>
      </c>
    </row>
    <row r="35" ht="15" customHeight="1">
      <c r="A35" t="inlineStr">
        <is>
          <t>A 9195-2022</t>
        </is>
      </c>
      <c r="B35" s="1" t="n">
        <v>44615</v>
      </c>
      <c r="C35" s="1" t="n">
        <v>45172</v>
      </c>
      <c r="D35" t="inlineStr">
        <is>
          <t>VÄSTERBOTTENS LÄN</t>
        </is>
      </c>
      <c r="E35" t="inlineStr">
        <is>
          <t>UMEÅ</t>
        </is>
      </c>
      <c r="G35" t="n">
        <v>2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Lunglav
Talltita
Skinnlav</t>
        </is>
      </c>
      <c r="S35">
        <f>HYPERLINK("https://klasma.github.io/Logging_UMEA/artfynd/A 9195-2022.xlsx")</f>
        <v/>
      </c>
      <c r="T35">
        <f>HYPERLINK("https://klasma.github.io/Logging_UMEA/kartor/A 9195-2022.png")</f>
        <v/>
      </c>
      <c r="V35">
        <f>HYPERLINK("https://klasma.github.io/Logging_UMEA/klagomål/A 9195-2022.docx")</f>
        <v/>
      </c>
      <c r="W35">
        <f>HYPERLINK("https://klasma.github.io/Logging_UMEA/klagomålsmail/A 9195-2022.docx")</f>
        <v/>
      </c>
      <c r="X35">
        <f>HYPERLINK("https://klasma.github.io/Logging_UMEA/tillsyn/A 9195-2022.docx")</f>
        <v/>
      </c>
      <c r="Y35">
        <f>HYPERLINK("https://klasma.github.io/Logging_UMEA/tillsynsmail/A 9195-2022.docx")</f>
        <v/>
      </c>
    </row>
    <row r="36" ht="15" customHeight="1">
      <c r="A36" t="inlineStr">
        <is>
          <t>A 22607-2022</t>
        </is>
      </c>
      <c r="B36" s="1" t="n">
        <v>44714</v>
      </c>
      <c r="C36" s="1" t="n">
        <v>45172</v>
      </c>
      <c r="D36" t="inlineStr">
        <is>
          <t>VÄSTERBOTTENS LÄN</t>
        </is>
      </c>
      <c r="E36" t="inlineStr">
        <is>
          <t>UMEÅ</t>
        </is>
      </c>
      <c r="G36" t="n">
        <v>3.1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Gammelgransskål
Tretåig hackspett
Vedticka</t>
        </is>
      </c>
      <c r="S36">
        <f>HYPERLINK("https://klasma.github.io/Logging_UMEA/artfynd/A 22607-2022.xlsx")</f>
        <v/>
      </c>
      <c r="T36">
        <f>HYPERLINK("https://klasma.github.io/Logging_UMEA/kartor/A 22607-2022.png")</f>
        <v/>
      </c>
      <c r="V36">
        <f>HYPERLINK("https://klasma.github.io/Logging_UMEA/klagomål/A 22607-2022.docx")</f>
        <v/>
      </c>
      <c r="W36">
        <f>HYPERLINK("https://klasma.github.io/Logging_UMEA/klagomålsmail/A 22607-2022.docx")</f>
        <v/>
      </c>
      <c r="X36">
        <f>HYPERLINK("https://klasma.github.io/Logging_UMEA/tillsyn/A 22607-2022.docx")</f>
        <v/>
      </c>
      <c r="Y36">
        <f>HYPERLINK("https://klasma.github.io/Logging_UMEA/tillsynsmail/A 22607-2022.docx")</f>
        <v/>
      </c>
    </row>
    <row r="37" ht="15" customHeight="1">
      <c r="A37" t="inlineStr">
        <is>
          <t>A 49644-2022</t>
        </is>
      </c>
      <c r="B37" s="1" t="n">
        <v>44862</v>
      </c>
      <c r="C37" s="1" t="n">
        <v>45172</v>
      </c>
      <c r="D37" t="inlineStr">
        <is>
          <t>VÄSTERBOTTENS LÄN</t>
        </is>
      </c>
      <c r="E37" t="inlineStr">
        <is>
          <t>UMEÅ</t>
        </is>
      </c>
      <c r="F37" t="inlineStr">
        <is>
          <t>Holmen skog AB</t>
        </is>
      </c>
      <c r="G37" t="n">
        <v>4.5</v>
      </c>
      <c r="H37" t="n">
        <v>2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Talltita
Tretåig hackspett</t>
        </is>
      </c>
      <c r="S37">
        <f>HYPERLINK("https://klasma.github.io/Logging_UMEA/artfynd/A 49644-2022.xlsx")</f>
        <v/>
      </c>
      <c r="T37">
        <f>HYPERLINK("https://klasma.github.io/Logging_UMEA/kartor/A 49644-2022.png")</f>
        <v/>
      </c>
      <c r="V37">
        <f>HYPERLINK("https://klasma.github.io/Logging_UMEA/klagomål/A 49644-2022.docx")</f>
        <v/>
      </c>
      <c r="W37">
        <f>HYPERLINK("https://klasma.github.io/Logging_UMEA/klagomålsmail/A 49644-2022.docx")</f>
        <v/>
      </c>
      <c r="X37">
        <f>HYPERLINK("https://klasma.github.io/Logging_UMEA/tillsyn/A 49644-2022.docx")</f>
        <v/>
      </c>
      <c r="Y37">
        <f>HYPERLINK("https://klasma.github.io/Logging_UMEA/tillsynsmail/A 49644-2022.docx")</f>
        <v/>
      </c>
    </row>
    <row r="38" ht="15" customHeight="1">
      <c r="A38" t="inlineStr">
        <is>
          <t>A 684-2023</t>
        </is>
      </c>
      <c r="B38" s="1" t="n">
        <v>44925</v>
      </c>
      <c r="C38" s="1" t="n">
        <v>45172</v>
      </c>
      <c r="D38" t="inlineStr">
        <is>
          <t>VÄSTERBOTTENS LÄN</t>
        </is>
      </c>
      <c r="E38" t="inlineStr">
        <is>
          <t>UMEÅ</t>
        </is>
      </c>
      <c r="G38" t="n">
        <v>22.6</v>
      </c>
      <c r="H38" t="n">
        <v>2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Kolflarnlav
Talltita
Tretåig hackspett</t>
        </is>
      </c>
      <c r="S38">
        <f>HYPERLINK("https://klasma.github.io/Logging_UMEA/artfynd/A 684-2023.xlsx")</f>
        <v/>
      </c>
      <c r="T38">
        <f>HYPERLINK("https://klasma.github.io/Logging_UMEA/kartor/A 684-2023.png")</f>
        <v/>
      </c>
      <c r="V38">
        <f>HYPERLINK("https://klasma.github.io/Logging_UMEA/klagomål/A 684-2023.docx")</f>
        <v/>
      </c>
      <c r="W38">
        <f>HYPERLINK("https://klasma.github.io/Logging_UMEA/klagomålsmail/A 684-2023.docx")</f>
        <v/>
      </c>
      <c r="X38">
        <f>HYPERLINK("https://klasma.github.io/Logging_UMEA/tillsyn/A 684-2023.docx")</f>
        <v/>
      </c>
      <c r="Y38">
        <f>HYPERLINK("https://klasma.github.io/Logging_UMEA/tillsynsmail/A 684-2023.docx")</f>
        <v/>
      </c>
    </row>
    <row r="39" ht="15" customHeight="1">
      <c r="A39" t="inlineStr">
        <is>
          <t>A 18283-2023</t>
        </is>
      </c>
      <c r="B39" s="1" t="n">
        <v>45040</v>
      </c>
      <c r="C39" s="1" t="n">
        <v>45172</v>
      </c>
      <c r="D39" t="inlineStr">
        <is>
          <t>VÄSTERBOTTENS LÄN</t>
        </is>
      </c>
      <c r="E39" t="inlineStr">
        <is>
          <t>UMEÅ</t>
        </is>
      </c>
      <c r="G39" t="n">
        <v>13.4</v>
      </c>
      <c r="H39" t="n">
        <v>1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Järpe
Ullticka</t>
        </is>
      </c>
      <c r="S39">
        <f>HYPERLINK("https://klasma.github.io/Logging_UMEA/artfynd/A 18283-2023.xlsx")</f>
        <v/>
      </c>
      <c r="T39">
        <f>HYPERLINK("https://klasma.github.io/Logging_UMEA/kartor/A 18283-2023.png")</f>
        <v/>
      </c>
      <c r="V39">
        <f>HYPERLINK("https://klasma.github.io/Logging_UMEA/klagomål/A 18283-2023.docx")</f>
        <v/>
      </c>
      <c r="W39">
        <f>HYPERLINK("https://klasma.github.io/Logging_UMEA/klagomålsmail/A 18283-2023.docx")</f>
        <v/>
      </c>
      <c r="X39">
        <f>HYPERLINK("https://klasma.github.io/Logging_UMEA/tillsyn/A 18283-2023.docx")</f>
        <v/>
      </c>
      <c r="Y39">
        <f>HYPERLINK("https://klasma.github.io/Logging_UMEA/tillsynsmail/A 18283-2023.docx")</f>
        <v/>
      </c>
    </row>
    <row r="40" ht="15" customHeight="1">
      <c r="A40" t="inlineStr">
        <is>
          <t>A 4374-2019</t>
        </is>
      </c>
      <c r="B40" s="1" t="n">
        <v>43483</v>
      </c>
      <c r="C40" s="1" t="n">
        <v>45172</v>
      </c>
      <c r="D40" t="inlineStr">
        <is>
          <t>VÄSTERBOTTENS LÄN</t>
        </is>
      </c>
      <c r="E40" t="inlineStr">
        <is>
          <t>UMEÅ</t>
        </is>
      </c>
      <c r="G40" t="n">
        <v>6.7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Rynkskinn
Ullticka</t>
        </is>
      </c>
      <c r="S40">
        <f>HYPERLINK("https://klasma.github.io/Logging_UMEA/artfynd/A 4374-2019.xlsx")</f>
        <v/>
      </c>
      <c r="T40">
        <f>HYPERLINK("https://klasma.github.io/Logging_UMEA/kartor/A 4374-2019.png")</f>
        <v/>
      </c>
      <c r="V40">
        <f>HYPERLINK("https://klasma.github.io/Logging_UMEA/klagomål/A 4374-2019.docx")</f>
        <v/>
      </c>
      <c r="W40">
        <f>HYPERLINK("https://klasma.github.io/Logging_UMEA/klagomålsmail/A 4374-2019.docx")</f>
        <v/>
      </c>
      <c r="X40">
        <f>HYPERLINK("https://klasma.github.io/Logging_UMEA/tillsyn/A 4374-2019.docx")</f>
        <v/>
      </c>
      <c r="Y40">
        <f>HYPERLINK("https://klasma.github.io/Logging_UMEA/tillsynsmail/A 4374-2019.docx")</f>
        <v/>
      </c>
    </row>
    <row r="41" ht="15" customHeight="1">
      <c r="A41" t="inlineStr">
        <is>
          <t>A 40420-2020</t>
        </is>
      </c>
      <c r="B41" s="1" t="n">
        <v>44068</v>
      </c>
      <c r="C41" s="1" t="n">
        <v>45172</v>
      </c>
      <c r="D41" t="inlineStr">
        <is>
          <t>VÄSTERBOTTENS LÄN</t>
        </is>
      </c>
      <c r="E41" t="inlineStr">
        <is>
          <t>UMEÅ</t>
        </is>
      </c>
      <c r="F41" t="inlineStr">
        <is>
          <t>Kommuner</t>
        </is>
      </c>
      <c r="G41" t="n">
        <v>4.1</v>
      </c>
      <c r="H41" t="n">
        <v>1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Leptoporus mollis
Tretåig hackspett</t>
        </is>
      </c>
      <c r="S41">
        <f>HYPERLINK("https://klasma.github.io/Logging_UMEA/artfynd/A 40420-2020.xlsx")</f>
        <v/>
      </c>
      <c r="T41">
        <f>HYPERLINK("https://klasma.github.io/Logging_UMEA/kartor/A 40420-2020.png")</f>
        <v/>
      </c>
      <c r="V41">
        <f>HYPERLINK("https://klasma.github.io/Logging_UMEA/klagomål/A 40420-2020.docx")</f>
        <v/>
      </c>
      <c r="W41">
        <f>HYPERLINK("https://klasma.github.io/Logging_UMEA/klagomålsmail/A 40420-2020.docx")</f>
        <v/>
      </c>
      <c r="X41">
        <f>HYPERLINK("https://klasma.github.io/Logging_UMEA/tillsyn/A 40420-2020.docx")</f>
        <v/>
      </c>
      <c r="Y41">
        <f>HYPERLINK("https://klasma.github.io/Logging_UMEA/tillsynsmail/A 40420-2020.docx")</f>
        <v/>
      </c>
    </row>
    <row r="42" ht="15" customHeight="1">
      <c r="A42" t="inlineStr">
        <is>
          <t>A 35297-2021</t>
        </is>
      </c>
      <c r="B42" s="1" t="n">
        <v>44384</v>
      </c>
      <c r="C42" s="1" t="n">
        <v>45172</v>
      </c>
      <c r="D42" t="inlineStr">
        <is>
          <t>VÄSTERBOTTENS LÄN</t>
        </is>
      </c>
      <c r="E42" t="inlineStr">
        <is>
          <t>UMEÅ</t>
        </is>
      </c>
      <c r="G42" t="n">
        <v>8</v>
      </c>
      <c r="H42" t="n">
        <v>0</v>
      </c>
      <c r="I42" t="n">
        <v>1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Aspgelélav
Stuplav</t>
        </is>
      </c>
      <c r="S42">
        <f>HYPERLINK("https://klasma.github.io/Logging_UMEA/artfynd/A 35297-2021.xlsx")</f>
        <v/>
      </c>
      <c r="T42">
        <f>HYPERLINK("https://klasma.github.io/Logging_UMEA/kartor/A 35297-2021.png")</f>
        <v/>
      </c>
      <c r="V42">
        <f>HYPERLINK("https://klasma.github.io/Logging_UMEA/klagomål/A 35297-2021.docx")</f>
        <v/>
      </c>
      <c r="W42">
        <f>HYPERLINK("https://klasma.github.io/Logging_UMEA/klagomålsmail/A 35297-2021.docx")</f>
        <v/>
      </c>
      <c r="X42">
        <f>HYPERLINK("https://klasma.github.io/Logging_UMEA/tillsyn/A 35297-2021.docx")</f>
        <v/>
      </c>
      <c r="Y42">
        <f>HYPERLINK("https://klasma.github.io/Logging_UMEA/tillsynsmail/A 35297-2021.docx")</f>
        <v/>
      </c>
    </row>
    <row r="43" ht="15" customHeight="1">
      <c r="A43" t="inlineStr">
        <is>
          <t>A 38443-2021</t>
        </is>
      </c>
      <c r="B43" s="1" t="n">
        <v>44406</v>
      </c>
      <c r="C43" s="1" t="n">
        <v>45172</v>
      </c>
      <c r="D43" t="inlineStr">
        <is>
          <t>VÄSTERBOTTENS LÄN</t>
        </is>
      </c>
      <c r="E43" t="inlineStr">
        <is>
          <t>UMEÅ</t>
        </is>
      </c>
      <c r="F43" t="inlineStr">
        <is>
          <t>Kommuner</t>
        </is>
      </c>
      <c r="G43" t="n">
        <v>2.8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Motaggsvamp
Skarp dropptaggsvamp</t>
        </is>
      </c>
      <c r="S43">
        <f>HYPERLINK("https://klasma.github.io/Logging_UMEA/artfynd/A 38443-2021.xlsx")</f>
        <v/>
      </c>
      <c r="T43">
        <f>HYPERLINK("https://klasma.github.io/Logging_UMEA/kartor/A 38443-2021.png")</f>
        <v/>
      </c>
      <c r="V43">
        <f>HYPERLINK("https://klasma.github.io/Logging_UMEA/klagomål/A 38443-2021.docx")</f>
        <v/>
      </c>
      <c r="W43">
        <f>HYPERLINK("https://klasma.github.io/Logging_UMEA/klagomålsmail/A 38443-2021.docx")</f>
        <v/>
      </c>
      <c r="X43">
        <f>HYPERLINK("https://klasma.github.io/Logging_UMEA/tillsyn/A 38443-2021.docx")</f>
        <v/>
      </c>
      <c r="Y43">
        <f>HYPERLINK("https://klasma.github.io/Logging_UMEA/tillsynsmail/A 38443-2021.docx")</f>
        <v/>
      </c>
    </row>
    <row r="44" ht="15" customHeight="1">
      <c r="A44" t="inlineStr">
        <is>
          <t>A 38400-2021</t>
        </is>
      </c>
      <c r="B44" s="1" t="n">
        <v>44406</v>
      </c>
      <c r="C44" s="1" t="n">
        <v>45172</v>
      </c>
      <c r="D44" t="inlineStr">
        <is>
          <t>VÄSTERBOTTENS LÄN</t>
        </is>
      </c>
      <c r="E44" t="inlineStr">
        <is>
          <t>UMEÅ</t>
        </is>
      </c>
      <c r="F44" t="inlineStr">
        <is>
          <t>Kommuner</t>
        </is>
      </c>
      <c r="G44" t="n">
        <v>2.5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Epuraea oblonga
Gulbandad brunbagge</t>
        </is>
      </c>
      <c r="S44">
        <f>HYPERLINK("https://klasma.github.io/Logging_UMEA/artfynd/A 38400-2021.xlsx")</f>
        <v/>
      </c>
      <c r="T44">
        <f>HYPERLINK("https://klasma.github.io/Logging_UMEA/kartor/A 38400-2021.png")</f>
        <v/>
      </c>
      <c r="V44">
        <f>HYPERLINK("https://klasma.github.io/Logging_UMEA/klagomål/A 38400-2021.docx")</f>
        <v/>
      </c>
      <c r="W44">
        <f>HYPERLINK("https://klasma.github.io/Logging_UMEA/klagomålsmail/A 38400-2021.docx")</f>
        <v/>
      </c>
      <c r="X44">
        <f>HYPERLINK("https://klasma.github.io/Logging_UMEA/tillsyn/A 38400-2021.docx")</f>
        <v/>
      </c>
      <c r="Y44">
        <f>HYPERLINK("https://klasma.github.io/Logging_UMEA/tillsynsmail/A 38400-2021.docx")</f>
        <v/>
      </c>
    </row>
    <row r="45" ht="15" customHeight="1">
      <c r="A45" t="inlineStr">
        <is>
          <t>A 38689-2021</t>
        </is>
      </c>
      <c r="B45" s="1" t="n">
        <v>44407</v>
      </c>
      <c r="C45" s="1" t="n">
        <v>45172</v>
      </c>
      <c r="D45" t="inlineStr">
        <is>
          <t>VÄSTERBOTTENS LÄN</t>
        </is>
      </c>
      <c r="E45" t="inlineStr">
        <is>
          <t>UMEÅ</t>
        </is>
      </c>
      <c r="F45" t="inlineStr">
        <is>
          <t>Kommuner</t>
        </is>
      </c>
      <c r="G45" t="n">
        <v>1.4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Gulbandad brunbagge
Rödhalsad vedsvampbagge</t>
        </is>
      </c>
      <c r="S45">
        <f>HYPERLINK("https://klasma.github.io/Logging_UMEA/artfynd/A 38689-2021.xlsx")</f>
        <v/>
      </c>
      <c r="T45">
        <f>HYPERLINK("https://klasma.github.io/Logging_UMEA/kartor/A 38689-2021.png")</f>
        <v/>
      </c>
      <c r="V45">
        <f>HYPERLINK("https://klasma.github.io/Logging_UMEA/klagomål/A 38689-2021.docx")</f>
        <v/>
      </c>
      <c r="W45">
        <f>HYPERLINK("https://klasma.github.io/Logging_UMEA/klagomålsmail/A 38689-2021.docx")</f>
        <v/>
      </c>
      <c r="X45">
        <f>HYPERLINK("https://klasma.github.io/Logging_UMEA/tillsyn/A 38689-2021.docx")</f>
        <v/>
      </c>
      <c r="Y45">
        <f>HYPERLINK("https://klasma.github.io/Logging_UMEA/tillsynsmail/A 38689-2021.docx")</f>
        <v/>
      </c>
    </row>
    <row r="46" ht="15" customHeight="1">
      <c r="A46" t="inlineStr">
        <is>
          <t>A 45207-2021</t>
        </is>
      </c>
      <c r="B46" s="1" t="n">
        <v>44439</v>
      </c>
      <c r="C46" s="1" t="n">
        <v>45172</v>
      </c>
      <c r="D46" t="inlineStr">
        <is>
          <t>VÄSTERBOTTENS LÄN</t>
        </is>
      </c>
      <c r="E46" t="inlineStr">
        <is>
          <t>UMEÅ</t>
        </is>
      </c>
      <c r="F46" t="inlineStr">
        <is>
          <t>Holmen skog AB</t>
        </is>
      </c>
      <c r="G46" t="n">
        <v>24.3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Garnlav
Vågbandad barkbock</t>
        </is>
      </c>
      <c r="S46">
        <f>HYPERLINK("https://klasma.github.io/Logging_UMEA/artfynd/A 45207-2021.xlsx")</f>
        <v/>
      </c>
      <c r="T46">
        <f>HYPERLINK("https://klasma.github.io/Logging_UMEA/kartor/A 45207-2021.png")</f>
        <v/>
      </c>
      <c r="V46">
        <f>HYPERLINK("https://klasma.github.io/Logging_UMEA/klagomål/A 45207-2021.docx")</f>
        <v/>
      </c>
      <c r="W46">
        <f>HYPERLINK("https://klasma.github.io/Logging_UMEA/klagomålsmail/A 45207-2021.docx")</f>
        <v/>
      </c>
      <c r="X46">
        <f>HYPERLINK("https://klasma.github.io/Logging_UMEA/tillsyn/A 45207-2021.docx")</f>
        <v/>
      </c>
      <c r="Y46">
        <f>HYPERLINK("https://klasma.github.io/Logging_UMEA/tillsynsmail/A 45207-2021.docx")</f>
        <v/>
      </c>
    </row>
    <row r="47" ht="15" customHeight="1">
      <c r="A47" t="inlineStr">
        <is>
          <t>A 9771-2022</t>
        </is>
      </c>
      <c r="B47" s="1" t="n">
        <v>44619</v>
      </c>
      <c r="C47" s="1" t="n">
        <v>45172</v>
      </c>
      <c r="D47" t="inlineStr">
        <is>
          <t>VÄSTERBOTTENS LÄN</t>
        </is>
      </c>
      <c r="E47" t="inlineStr">
        <is>
          <t>UMEÅ</t>
        </is>
      </c>
      <c r="G47" t="n">
        <v>39.1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Blå taggsvamp
Dropptaggsvamp</t>
        </is>
      </c>
      <c r="S47">
        <f>HYPERLINK("https://klasma.github.io/Logging_UMEA/artfynd/A 9771-2022.xlsx")</f>
        <v/>
      </c>
      <c r="T47">
        <f>HYPERLINK("https://klasma.github.io/Logging_UMEA/kartor/A 9771-2022.png")</f>
        <v/>
      </c>
      <c r="V47">
        <f>HYPERLINK("https://klasma.github.io/Logging_UMEA/klagomål/A 9771-2022.docx")</f>
        <v/>
      </c>
      <c r="W47">
        <f>HYPERLINK("https://klasma.github.io/Logging_UMEA/klagomålsmail/A 9771-2022.docx")</f>
        <v/>
      </c>
      <c r="X47">
        <f>HYPERLINK("https://klasma.github.io/Logging_UMEA/tillsyn/A 9771-2022.docx")</f>
        <v/>
      </c>
      <c r="Y47">
        <f>HYPERLINK("https://klasma.github.io/Logging_UMEA/tillsynsmail/A 9771-2022.docx")</f>
        <v/>
      </c>
    </row>
    <row r="48" ht="15" customHeight="1">
      <c r="A48" t="inlineStr">
        <is>
          <t>A 44687-2022</t>
        </is>
      </c>
      <c r="B48" s="1" t="n">
        <v>44839</v>
      </c>
      <c r="C48" s="1" t="n">
        <v>45172</v>
      </c>
      <c r="D48" t="inlineStr">
        <is>
          <t>VÄSTERBOTTENS LÄN</t>
        </is>
      </c>
      <c r="E48" t="inlineStr">
        <is>
          <t>UMEÅ</t>
        </is>
      </c>
      <c r="G48" t="n">
        <v>2.3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Granticka
Ullticka</t>
        </is>
      </c>
      <c r="S48">
        <f>HYPERLINK("https://klasma.github.io/Logging_UMEA/artfynd/A 44687-2022.xlsx")</f>
        <v/>
      </c>
      <c r="T48">
        <f>HYPERLINK("https://klasma.github.io/Logging_UMEA/kartor/A 44687-2022.png")</f>
        <v/>
      </c>
      <c r="V48">
        <f>HYPERLINK("https://klasma.github.io/Logging_UMEA/klagomål/A 44687-2022.docx")</f>
        <v/>
      </c>
      <c r="W48">
        <f>HYPERLINK("https://klasma.github.io/Logging_UMEA/klagomålsmail/A 44687-2022.docx")</f>
        <v/>
      </c>
      <c r="X48">
        <f>HYPERLINK("https://klasma.github.io/Logging_UMEA/tillsyn/A 44687-2022.docx")</f>
        <v/>
      </c>
      <c r="Y48">
        <f>HYPERLINK("https://klasma.github.io/Logging_UMEA/tillsynsmail/A 44687-2022.docx")</f>
        <v/>
      </c>
    </row>
    <row r="49" ht="15" customHeight="1">
      <c r="A49" t="inlineStr">
        <is>
          <t>A 52635-2022</t>
        </is>
      </c>
      <c r="B49" s="1" t="n">
        <v>44874</v>
      </c>
      <c r="C49" s="1" t="n">
        <v>45172</v>
      </c>
      <c r="D49" t="inlineStr">
        <is>
          <t>VÄSTERBOTTENS LÄN</t>
        </is>
      </c>
      <c r="E49" t="inlineStr">
        <is>
          <t>UMEÅ</t>
        </is>
      </c>
      <c r="G49" t="n">
        <v>3.1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Garnlav
Vågbandad barkbock</t>
        </is>
      </c>
      <c r="S49">
        <f>HYPERLINK("https://klasma.github.io/Logging_UMEA/artfynd/A 52635-2022.xlsx")</f>
        <v/>
      </c>
      <c r="T49">
        <f>HYPERLINK("https://klasma.github.io/Logging_UMEA/kartor/A 52635-2022.png")</f>
        <v/>
      </c>
      <c r="V49">
        <f>HYPERLINK("https://klasma.github.io/Logging_UMEA/klagomål/A 52635-2022.docx")</f>
        <v/>
      </c>
      <c r="W49">
        <f>HYPERLINK("https://klasma.github.io/Logging_UMEA/klagomålsmail/A 52635-2022.docx")</f>
        <v/>
      </c>
      <c r="X49">
        <f>HYPERLINK("https://klasma.github.io/Logging_UMEA/tillsyn/A 52635-2022.docx")</f>
        <v/>
      </c>
      <c r="Y49">
        <f>HYPERLINK("https://klasma.github.io/Logging_UMEA/tillsynsmail/A 52635-2022.docx")</f>
        <v/>
      </c>
    </row>
    <row r="50" ht="15" customHeight="1">
      <c r="A50" t="inlineStr">
        <is>
          <t>A 10371-2023</t>
        </is>
      </c>
      <c r="B50" s="1" t="n">
        <v>44980</v>
      </c>
      <c r="C50" s="1" t="n">
        <v>45172</v>
      </c>
      <c r="D50" t="inlineStr">
        <is>
          <t>VÄSTERBOTTENS LÄN</t>
        </is>
      </c>
      <c r="E50" t="inlineStr">
        <is>
          <t>UMEÅ</t>
        </is>
      </c>
      <c r="F50" t="inlineStr">
        <is>
          <t>Kommuner</t>
        </is>
      </c>
      <c r="G50" t="n">
        <v>3.6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Tretåig hackspett
Bronshjon</t>
        </is>
      </c>
      <c r="S50">
        <f>HYPERLINK("https://klasma.github.io/Logging_UMEA/artfynd/A 10371-2023.xlsx")</f>
        <v/>
      </c>
      <c r="T50">
        <f>HYPERLINK("https://klasma.github.io/Logging_UMEA/kartor/A 10371-2023.png")</f>
        <v/>
      </c>
      <c r="V50">
        <f>HYPERLINK("https://klasma.github.io/Logging_UMEA/klagomål/A 10371-2023.docx")</f>
        <v/>
      </c>
      <c r="W50">
        <f>HYPERLINK("https://klasma.github.io/Logging_UMEA/klagomålsmail/A 10371-2023.docx")</f>
        <v/>
      </c>
      <c r="X50">
        <f>HYPERLINK("https://klasma.github.io/Logging_UMEA/tillsyn/A 10371-2023.docx")</f>
        <v/>
      </c>
      <c r="Y50">
        <f>HYPERLINK("https://klasma.github.io/Logging_UMEA/tillsynsmail/A 10371-2023.docx")</f>
        <v/>
      </c>
    </row>
    <row r="51" ht="15" customHeight="1">
      <c r="A51" t="inlineStr">
        <is>
          <t>A 18922-2023</t>
        </is>
      </c>
      <c r="B51" s="1" t="n">
        <v>45043</v>
      </c>
      <c r="C51" s="1" t="n">
        <v>45172</v>
      </c>
      <c r="D51" t="inlineStr">
        <is>
          <t>VÄSTERBOTTENS LÄN</t>
        </is>
      </c>
      <c r="E51" t="inlineStr">
        <is>
          <t>UMEÅ</t>
        </is>
      </c>
      <c r="G51" t="n">
        <v>9.199999999999999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Granticka
Ullticka</t>
        </is>
      </c>
      <c r="S51">
        <f>HYPERLINK("https://klasma.github.io/Logging_UMEA/artfynd/A 18922-2023.xlsx")</f>
        <v/>
      </c>
      <c r="T51">
        <f>HYPERLINK("https://klasma.github.io/Logging_UMEA/kartor/A 18922-2023.png")</f>
        <v/>
      </c>
      <c r="V51">
        <f>HYPERLINK("https://klasma.github.io/Logging_UMEA/klagomål/A 18922-2023.docx")</f>
        <v/>
      </c>
      <c r="W51">
        <f>HYPERLINK("https://klasma.github.io/Logging_UMEA/klagomålsmail/A 18922-2023.docx")</f>
        <v/>
      </c>
      <c r="X51">
        <f>HYPERLINK("https://klasma.github.io/Logging_UMEA/tillsyn/A 18922-2023.docx")</f>
        <v/>
      </c>
      <c r="Y51">
        <f>HYPERLINK("https://klasma.github.io/Logging_UMEA/tillsynsmail/A 18922-2023.docx")</f>
        <v/>
      </c>
    </row>
    <row r="52" ht="15" customHeight="1">
      <c r="A52" t="inlineStr">
        <is>
          <t>A 4489-2019</t>
        </is>
      </c>
      <c r="B52" s="1" t="n">
        <v>43479</v>
      </c>
      <c r="C52" s="1" t="n">
        <v>45172</v>
      </c>
      <c r="D52" t="inlineStr">
        <is>
          <t>VÄSTERBOTTENS LÄN</t>
        </is>
      </c>
      <c r="E52" t="inlineStr">
        <is>
          <t>UMEÅ</t>
        </is>
      </c>
      <c r="G52" t="n">
        <v>6.1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Violettgrå tagellav</t>
        </is>
      </c>
      <c r="S52">
        <f>HYPERLINK("https://klasma.github.io/Logging_UMEA/artfynd/A 4489-2019.xlsx")</f>
        <v/>
      </c>
      <c r="T52">
        <f>HYPERLINK("https://klasma.github.io/Logging_UMEA/kartor/A 4489-2019.png")</f>
        <v/>
      </c>
      <c r="V52">
        <f>HYPERLINK("https://klasma.github.io/Logging_UMEA/klagomål/A 4489-2019.docx")</f>
        <v/>
      </c>
      <c r="W52">
        <f>HYPERLINK("https://klasma.github.io/Logging_UMEA/klagomålsmail/A 4489-2019.docx")</f>
        <v/>
      </c>
      <c r="X52">
        <f>HYPERLINK("https://klasma.github.io/Logging_UMEA/tillsyn/A 4489-2019.docx")</f>
        <v/>
      </c>
      <c r="Y52">
        <f>HYPERLINK("https://klasma.github.io/Logging_UMEA/tillsynsmail/A 4489-2019.docx")</f>
        <v/>
      </c>
    </row>
    <row r="53" ht="15" customHeight="1">
      <c r="A53" t="inlineStr">
        <is>
          <t>A 53745-2019</t>
        </is>
      </c>
      <c r="B53" s="1" t="n">
        <v>43749</v>
      </c>
      <c r="C53" s="1" t="n">
        <v>45172</v>
      </c>
      <c r="D53" t="inlineStr">
        <is>
          <t>VÄSTERBOTTENS LÄN</t>
        </is>
      </c>
      <c r="E53" t="inlineStr">
        <is>
          <t>UMEÅ</t>
        </is>
      </c>
      <c r="G53" t="n">
        <v>1.9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Strutbräken</t>
        </is>
      </c>
      <c r="S53">
        <f>HYPERLINK("https://klasma.github.io/Logging_UMEA/artfynd/A 53745-2019.xlsx")</f>
        <v/>
      </c>
      <c r="T53">
        <f>HYPERLINK("https://klasma.github.io/Logging_UMEA/kartor/A 53745-2019.png")</f>
        <v/>
      </c>
      <c r="V53">
        <f>HYPERLINK("https://klasma.github.io/Logging_UMEA/klagomål/A 53745-2019.docx")</f>
        <v/>
      </c>
      <c r="W53">
        <f>HYPERLINK("https://klasma.github.io/Logging_UMEA/klagomålsmail/A 53745-2019.docx")</f>
        <v/>
      </c>
      <c r="X53">
        <f>HYPERLINK("https://klasma.github.io/Logging_UMEA/tillsyn/A 53745-2019.docx")</f>
        <v/>
      </c>
      <c r="Y53">
        <f>HYPERLINK("https://klasma.github.io/Logging_UMEA/tillsynsmail/A 53745-2019.docx")</f>
        <v/>
      </c>
    </row>
    <row r="54" ht="15" customHeight="1">
      <c r="A54" t="inlineStr">
        <is>
          <t>A 23492-2020</t>
        </is>
      </c>
      <c r="B54" s="1" t="n">
        <v>43966</v>
      </c>
      <c r="C54" s="1" t="n">
        <v>45172</v>
      </c>
      <c r="D54" t="inlineStr">
        <is>
          <t>VÄSTERBOTTENS LÄN</t>
        </is>
      </c>
      <c r="E54" t="inlineStr">
        <is>
          <t>UMEÅ</t>
        </is>
      </c>
      <c r="G54" t="n">
        <v>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Vanlig padda</t>
        </is>
      </c>
      <c r="S54">
        <f>HYPERLINK("https://klasma.github.io/Logging_UMEA/artfynd/A 23492-2020.xlsx")</f>
        <v/>
      </c>
      <c r="T54">
        <f>HYPERLINK("https://klasma.github.io/Logging_UMEA/kartor/A 23492-2020.png")</f>
        <v/>
      </c>
      <c r="V54">
        <f>HYPERLINK("https://klasma.github.io/Logging_UMEA/klagomål/A 23492-2020.docx")</f>
        <v/>
      </c>
      <c r="W54">
        <f>HYPERLINK("https://klasma.github.io/Logging_UMEA/klagomålsmail/A 23492-2020.docx")</f>
        <v/>
      </c>
      <c r="X54">
        <f>HYPERLINK("https://klasma.github.io/Logging_UMEA/tillsyn/A 23492-2020.docx")</f>
        <v/>
      </c>
      <c r="Y54">
        <f>HYPERLINK("https://klasma.github.io/Logging_UMEA/tillsynsmail/A 23492-2020.docx")</f>
        <v/>
      </c>
    </row>
    <row r="55" ht="15" customHeight="1">
      <c r="A55" t="inlineStr">
        <is>
          <t>A 48400-2020</t>
        </is>
      </c>
      <c r="B55" s="1" t="n">
        <v>44102</v>
      </c>
      <c r="C55" s="1" t="n">
        <v>45172</v>
      </c>
      <c r="D55" t="inlineStr">
        <is>
          <t>VÄSTERBOTTENS LÄN</t>
        </is>
      </c>
      <c r="E55" t="inlineStr">
        <is>
          <t>UMEÅ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Granticka</t>
        </is>
      </c>
      <c r="S55">
        <f>HYPERLINK("https://klasma.github.io/Logging_UMEA/artfynd/A 48400-2020.xlsx")</f>
        <v/>
      </c>
      <c r="T55">
        <f>HYPERLINK("https://klasma.github.io/Logging_UMEA/kartor/A 48400-2020.png")</f>
        <v/>
      </c>
      <c r="V55">
        <f>HYPERLINK("https://klasma.github.io/Logging_UMEA/klagomål/A 48400-2020.docx")</f>
        <v/>
      </c>
      <c r="W55">
        <f>HYPERLINK("https://klasma.github.io/Logging_UMEA/klagomålsmail/A 48400-2020.docx")</f>
        <v/>
      </c>
      <c r="X55">
        <f>HYPERLINK("https://klasma.github.io/Logging_UMEA/tillsyn/A 48400-2020.docx")</f>
        <v/>
      </c>
      <c r="Y55">
        <f>HYPERLINK("https://klasma.github.io/Logging_UMEA/tillsynsmail/A 48400-2020.docx")</f>
        <v/>
      </c>
    </row>
    <row r="56" ht="15" customHeight="1">
      <c r="A56" t="inlineStr">
        <is>
          <t>A 52676-2020</t>
        </is>
      </c>
      <c r="B56" s="1" t="n">
        <v>44117</v>
      </c>
      <c r="C56" s="1" t="n">
        <v>45172</v>
      </c>
      <c r="D56" t="inlineStr">
        <is>
          <t>VÄSTERBOTTENS LÄN</t>
        </is>
      </c>
      <c r="E56" t="inlineStr">
        <is>
          <t>UMEÅ</t>
        </is>
      </c>
      <c r="G56" t="n">
        <v>3.3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HYPERLINK("https://klasma.github.io/Logging_UMEA/artfynd/A 52676-2020.xlsx")</f>
        <v/>
      </c>
      <c r="T56">
        <f>HYPERLINK("https://klasma.github.io/Logging_UMEA/kartor/A 52676-2020.png")</f>
        <v/>
      </c>
      <c r="V56">
        <f>HYPERLINK("https://klasma.github.io/Logging_UMEA/klagomål/A 52676-2020.docx")</f>
        <v/>
      </c>
      <c r="W56">
        <f>HYPERLINK("https://klasma.github.io/Logging_UMEA/klagomålsmail/A 52676-2020.docx")</f>
        <v/>
      </c>
      <c r="X56">
        <f>HYPERLINK("https://klasma.github.io/Logging_UMEA/tillsyn/A 52676-2020.docx")</f>
        <v/>
      </c>
      <c r="Y56">
        <f>HYPERLINK("https://klasma.github.io/Logging_UMEA/tillsynsmail/A 52676-2020.docx")</f>
        <v/>
      </c>
    </row>
    <row r="57" ht="15" customHeight="1">
      <c r="A57" t="inlineStr">
        <is>
          <t>A 38390-2021</t>
        </is>
      </c>
      <c r="B57" s="1" t="n">
        <v>44406</v>
      </c>
      <c r="C57" s="1" t="n">
        <v>45172</v>
      </c>
      <c r="D57" t="inlineStr">
        <is>
          <t>VÄSTERBOTTENS LÄN</t>
        </is>
      </c>
      <c r="E57" t="inlineStr">
        <is>
          <t>UMEÅ</t>
        </is>
      </c>
      <c r="F57" t="inlineStr">
        <is>
          <t>Övriga statliga verk och myndigheter</t>
        </is>
      </c>
      <c r="G57" t="n">
        <v>1.5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Ullticka</t>
        </is>
      </c>
      <c r="S57">
        <f>HYPERLINK("https://klasma.github.io/Logging_UMEA/artfynd/A 38390-2021.xlsx")</f>
        <v/>
      </c>
      <c r="T57">
        <f>HYPERLINK("https://klasma.github.io/Logging_UMEA/kartor/A 38390-2021.png")</f>
        <v/>
      </c>
      <c r="V57">
        <f>HYPERLINK("https://klasma.github.io/Logging_UMEA/klagomål/A 38390-2021.docx")</f>
        <v/>
      </c>
      <c r="W57">
        <f>HYPERLINK("https://klasma.github.io/Logging_UMEA/klagomålsmail/A 38390-2021.docx")</f>
        <v/>
      </c>
      <c r="X57">
        <f>HYPERLINK("https://klasma.github.io/Logging_UMEA/tillsyn/A 38390-2021.docx")</f>
        <v/>
      </c>
      <c r="Y57">
        <f>HYPERLINK("https://klasma.github.io/Logging_UMEA/tillsynsmail/A 38390-2021.docx")</f>
        <v/>
      </c>
    </row>
    <row r="58" ht="15" customHeight="1">
      <c r="A58" t="inlineStr">
        <is>
          <t>A 38437-2021</t>
        </is>
      </c>
      <c r="B58" s="1" t="n">
        <v>44406</v>
      </c>
      <c r="C58" s="1" t="n">
        <v>45172</v>
      </c>
      <c r="D58" t="inlineStr">
        <is>
          <t>VÄSTERBOTTENS LÄN</t>
        </is>
      </c>
      <c r="E58" t="inlineStr">
        <is>
          <t>UMEÅ</t>
        </is>
      </c>
      <c r="F58" t="inlineStr">
        <is>
          <t>Övriga statliga verk och myndigheter</t>
        </is>
      </c>
      <c r="G58" t="n">
        <v>2.3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HYPERLINK("https://klasma.github.io/Logging_UMEA/artfynd/A 38437-2021.xlsx")</f>
        <v/>
      </c>
      <c r="T58">
        <f>HYPERLINK("https://klasma.github.io/Logging_UMEA/kartor/A 38437-2021.png")</f>
        <v/>
      </c>
      <c r="V58">
        <f>HYPERLINK("https://klasma.github.io/Logging_UMEA/klagomål/A 38437-2021.docx")</f>
        <v/>
      </c>
      <c r="W58">
        <f>HYPERLINK("https://klasma.github.io/Logging_UMEA/klagomålsmail/A 38437-2021.docx")</f>
        <v/>
      </c>
      <c r="X58">
        <f>HYPERLINK("https://klasma.github.io/Logging_UMEA/tillsyn/A 38437-2021.docx")</f>
        <v/>
      </c>
      <c r="Y58">
        <f>HYPERLINK("https://klasma.github.io/Logging_UMEA/tillsynsmail/A 38437-2021.docx")</f>
        <v/>
      </c>
    </row>
    <row r="59" ht="15" customHeight="1">
      <c r="A59" t="inlineStr">
        <is>
          <t>A 38396-2021</t>
        </is>
      </c>
      <c r="B59" s="1" t="n">
        <v>44406</v>
      </c>
      <c r="C59" s="1" t="n">
        <v>45172</v>
      </c>
      <c r="D59" t="inlineStr">
        <is>
          <t>VÄSTERBOTTENS LÄN</t>
        </is>
      </c>
      <c r="E59" t="inlineStr">
        <is>
          <t>UMEÅ</t>
        </is>
      </c>
      <c r="F59" t="inlineStr">
        <is>
          <t>Kommuner</t>
        </is>
      </c>
      <c r="G59" t="n">
        <v>1.7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Strutbräken</t>
        </is>
      </c>
      <c r="S59">
        <f>HYPERLINK("https://klasma.github.io/Logging_UMEA/artfynd/A 38396-2021.xlsx")</f>
        <v/>
      </c>
      <c r="T59">
        <f>HYPERLINK("https://klasma.github.io/Logging_UMEA/kartor/A 38396-2021.png")</f>
        <v/>
      </c>
      <c r="V59">
        <f>HYPERLINK("https://klasma.github.io/Logging_UMEA/klagomål/A 38396-2021.docx")</f>
        <v/>
      </c>
      <c r="W59">
        <f>HYPERLINK("https://klasma.github.io/Logging_UMEA/klagomålsmail/A 38396-2021.docx")</f>
        <v/>
      </c>
      <c r="X59">
        <f>HYPERLINK("https://klasma.github.io/Logging_UMEA/tillsyn/A 38396-2021.docx")</f>
        <v/>
      </c>
      <c r="Y59">
        <f>HYPERLINK("https://klasma.github.io/Logging_UMEA/tillsynsmail/A 38396-2021.docx")</f>
        <v/>
      </c>
    </row>
    <row r="60" ht="15" customHeight="1">
      <c r="A60" t="inlineStr">
        <is>
          <t>A 38393-2021</t>
        </is>
      </c>
      <c r="B60" s="1" t="n">
        <v>44406</v>
      </c>
      <c r="C60" s="1" t="n">
        <v>45172</v>
      </c>
      <c r="D60" t="inlineStr">
        <is>
          <t>VÄSTERBOTTENS LÄN</t>
        </is>
      </c>
      <c r="E60" t="inlineStr">
        <is>
          <t>UMEÅ</t>
        </is>
      </c>
      <c r="G60" t="n">
        <v>1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HYPERLINK("https://klasma.github.io/Logging_UMEA/artfynd/A 38393-2021.xlsx")</f>
        <v/>
      </c>
      <c r="T60">
        <f>HYPERLINK("https://klasma.github.io/Logging_UMEA/kartor/A 38393-2021.png")</f>
        <v/>
      </c>
      <c r="V60">
        <f>HYPERLINK("https://klasma.github.io/Logging_UMEA/klagomål/A 38393-2021.docx")</f>
        <v/>
      </c>
      <c r="W60">
        <f>HYPERLINK("https://klasma.github.io/Logging_UMEA/klagomålsmail/A 38393-2021.docx")</f>
        <v/>
      </c>
      <c r="X60">
        <f>HYPERLINK("https://klasma.github.io/Logging_UMEA/tillsyn/A 38393-2021.docx")</f>
        <v/>
      </c>
      <c r="Y60">
        <f>HYPERLINK("https://klasma.github.io/Logging_UMEA/tillsynsmail/A 38393-2021.docx")</f>
        <v/>
      </c>
    </row>
    <row r="61" ht="15" customHeight="1">
      <c r="A61" t="inlineStr">
        <is>
          <t>A 38545-2021</t>
        </is>
      </c>
      <c r="B61" s="1" t="n">
        <v>44407</v>
      </c>
      <c r="C61" s="1" t="n">
        <v>45172</v>
      </c>
      <c r="D61" t="inlineStr">
        <is>
          <t>VÄSTERBOTTENS LÄN</t>
        </is>
      </c>
      <c r="E61" t="inlineStr">
        <is>
          <t>UMEÅ</t>
        </is>
      </c>
      <c r="F61" t="inlineStr">
        <is>
          <t>Kommuner</t>
        </is>
      </c>
      <c r="G61" t="n">
        <v>0.6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Järpe</t>
        </is>
      </c>
      <c r="S61">
        <f>HYPERLINK("https://klasma.github.io/Logging_UMEA/artfynd/A 38545-2021.xlsx")</f>
        <v/>
      </c>
      <c r="T61">
        <f>HYPERLINK("https://klasma.github.io/Logging_UMEA/kartor/A 38545-2021.png")</f>
        <v/>
      </c>
      <c r="V61">
        <f>HYPERLINK("https://klasma.github.io/Logging_UMEA/klagomål/A 38545-2021.docx")</f>
        <v/>
      </c>
      <c r="W61">
        <f>HYPERLINK("https://klasma.github.io/Logging_UMEA/klagomålsmail/A 38545-2021.docx")</f>
        <v/>
      </c>
      <c r="X61">
        <f>HYPERLINK("https://klasma.github.io/Logging_UMEA/tillsyn/A 38545-2021.docx")</f>
        <v/>
      </c>
      <c r="Y61">
        <f>HYPERLINK("https://klasma.github.io/Logging_UMEA/tillsynsmail/A 38545-2021.docx")</f>
        <v/>
      </c>
    </row>
    <row r="62" ht="15" customHeight="1">
      <c r="A62" t="inlineStr">
        <is>
          <t>A 38742-2021</t>
        </is>
      </c>
      <c r="B62" s="1" t="n">
        <v>44410</v>
      </c>
      <c r="C62" s="1" t="n">
        <v>45172</v>
      </c>
      <c r="D62" t="inlineStr">
        <is>
          <t>VÄSTERBOTTENS LÄN</t>
        </is>
      </c>
      <c r="E62" t="inlineStr">
        <is>
          <t>UMEÅ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Stubbträfluga</t>
        </is>
      </c>
      <c r="S62">
        <f>HYPERLINK("https://klasma.github.io/Logging_UMEA/artfynd/A 38742-2021.xlsx")</f>
        <v/>
      </c>
      <c r="T62">
        <f>HYPERLINK("https://klasma.github.io/Logging_UMEA/kartor/A 38742-2021.png")</f>
        <v/>
      </c>
      <c r="V62">
        <f>HYPERLINK("https://klasma.github.io/Logging_UMEA/klagomål/A 38742-2021.docx")</f>
        <v/>
      </c>
      <c r="W62">
        <f>HYPERLINK("https://klasma.github.io/Logging_UMEA/klagomålsmail/A 38742-2021.docx")</f>
        <v/>
      </c>
      <c r="X62">
        <f>HYPERLINK("https://klasma.github.io/Logging_UMEA/tillsyn/A 38742-2021.docx")</f>
        <v/>
      </c>
      <c r="Y62">
        <f>HYPERLINK("https://klasma.github.io/Logging_UMEA/tillsynsmail/A 38742-2021.docx")</f>
        <v/>
      </c>
    </row>
    <row r="63" ht="15" customHeight="1">
      <c r="A63" t="inlineStr">
        <is>
          <t>A 38700-2021</t>
        </is>
      </c>
      <c r="B63" s="1" t="n">
        <v>44410</v>
      </c>
      <c r="C63" s="1" t="n">
        <v>45172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Ullticka</t>
        </is>
      </c>
      <c r="S63">
        <f>HYPERLINK("https://klasma.github.io/Logging_UMEA/artfynd/A 38700-2021.xlsx")</f>
        <v/>
      </c>
      <c r="T63">
        <f>HYPERLINK("https://klasma.github.io/Logging_UMEA/kartor/A 38700-2021.png")</f>
        <v/>
      </c>
      <c r="V63">
        <f>HYPERLINK("https://klasma.github.io/Logging_UMEA/klagomål/A 38700-2021.docx")</f>
        <v/>
      </c>
      <c r="W63">
        <f>HYPERLINK("https://klasma.github.io/Logging_UMEA/klagomålsmail/A 38700-2021.docx")</f>
        <v/>
      </c>
      <c r="X63">
        <f>HYPERLINK("https://klasma.github.io/Logging_UMEA/tillsyn/A 38700-2021.docx")</f>
        <v/>
      </c>
      <c r="Y63">
        <f>HYPERLINK("https://klasma.github.io/Logging_UMEA/tillsynsmail/A 38700-2021.docx")</f>
        <v/>
      </c>
    </row>
    <row r="64" ht="15" customHeight="1">
      <c r="A64" t="inlineStr">
        <is>
          <t>A 45430-2021</t>
        </is>
      </c>
      <c r="B64" s="1" t="n">
        <v>44440</v>
      </c>
      <c r="C64" s="1" t="n">
        <v>45172</v>
      </c>
      <c r="D64" t="inlineStr">
        <is>
          <t>VÄSTERBOTTENS LÄN</t>
        </is>
      </c>
      <c r="E64" t="inlineStr">
        <is>
          <t>UMEÅ</t>
        </is>
      </c>
      <c r="F64" t="inlineStr">
        <is>
          <t>Holmen skog AB</t>
        </is>
      </c>
      <c r="G64" t="n">
        <v>9.9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Granticka</t>
        </is>
      </c>
      <c r="S64">
        <f>HYPERLINK("https://klasma.github.io/Logging_UMEA/artfynd/A 45430-2021.xlsx")</f>
        <v/>
      </c>
      <c r="T64">
        <f>HYPERLINK("https://klasma.github.io/Logging_UMEA/kartor/A 45430-2021.png")</f>
        <v/>
      </c>
      <c r="V64">
        <f>HYPERLINK("https://klasma.github.io/Logging_UMEA/klagomål/A 45430-2021.docx")</f>
        <v/>
      </c>
      <c r="W64">
        <f>HYPERLINK("https://klasma.github.io/Logging_UMEA/klagomålsmail/A 45430-2021.docx")</f>
        <v/>
      </c>
      <c r="X64">
        <f>HYPERLINK("https://klasma.github.io/Logging_UMEA/tillsyn/A 45430-2021.docx")</f>
        <v/>
      </c>
      <c r="Y64">
        <f>HYPERLINK("https://klasma.github.io/Logging_UMEA/tillsynsmail/A 45430-2021.docx")</f>
        <v/>
      </c>
    </row>
    <row r="65" ht="15" customHeight="1">
      <c r="A65" t="inlineStr">
        <is>
          <t>A 47038-2021</t>
        </is>
      </c>
      <c r="B65" s="1" t="n">
        <v>44446</v>
      </c>
      <c r="C65" s="1" t="n">
        <v>45172</v>
      </c>
      <c r="D65" t="inlineStr">
        <is>
          <t>VÄSTERBOTTENS LÄN</t>
        </is>
      </c>
      <c r="E65" t="inlineStr">
        <is>
          <t>UMEÅ</t>
        </is>
      </c>
      <c r="G65" t="n">
        <v>22.3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Ullticka</t>
        </is>
      </c>
      <c r="S65">
        <f>HYPERLINK("https://klasma.github.io/Logging_UMEA/artfynd/A 47038-2021.xlsx")</f>
        <v/>
      </c>
      <c r="T65">
        <f>HYPERLINK("https://klasma.github.io/Logging_UMEA/kartor/A 47038-2021.png")</f>
        <v/>
      </c>
      <c r="V65">
        <f>HYPERLINK("https://klasma.github.io/Logging_UMEA/klagomål/A 47038-2021.docx")</f>
        <v/>
      </c>
      <c r="W65">
        <f>HYPERLINK("https://klasma.github.io/Logging_UMEA/klagomålsmail/A 47038-2021.docx")</f>
        <v/>
      </c>
      <c r="X65">
        <f>HYPERLINK("https://klasma.github.io/Logging_UMEA/tillsyn/A 47038-2021.docx")</f>
        <v/>
      </c>
      <c r="Y65">
        <f>HYPERLINK("https://klasma.github.io/Logging_UMEA/tillsynsmail/A 47038-2021.docx")</f>
        <v/>
      </c>
    </row>
    <row r="66" ht="15" customHeight="1">
      <c r="A66" t="inlineStr">
        <is>
          <t>A 49774-2021</t>
        </is>
      </c>
      <c r="B66" s="1" t="n">
        <v>44455</v>
      </c>
      <c r="C66" s="1" t="n">
        <v>45172</v>
      </c>
      <c r="D66" t="inlineStr">
        <is>
          <t>VÄSTERBOTTENS LÄN</t>
        </is>
      </c>
      <c r="E66" t="inlineStr">
        <is>
          <t>UMEÅ</t>
        </is>
      </c>
      <c r="G66" t="n">
        <v>1.7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HYPERLINK("https://klasma.github.io/Logging_UMEA/artfynd/A 49774-2021.xlsx")</f>
        <v/>
      </c>
      <c r="T66">
        <f>HYPERLINK("https://klasma.github.io/Logging_UMEA/kartor/A 49774-2021.png")</f>
        <v/>
      </c>
      <c r="V66">
        <f>HYPERLINK("https://klasma.github.io/Logging_UMEA/klagomål/A 49774-2021.docx")</f>
        <v/>
      </c>
      <c r="W66">
        <f>HYPERLINK("https://klasma.github.io/Logging_UMEA/klagomålsmail/A 49774-2021.docx")</f>
        <v/>
      </c>
      <c r="X66">
        <f>HYPERLINK("https://klasma.github.io/Logging_UMEA/tillsyn/A 49774-2021.docx")</f>
        <v/>
      </c>
      <c r="Y66">
        <f>HYPERLINK("https://klasma.github.io/Logging_UMEA/tillsynsmail/A 49774-2021.docx")</f>
        <v/>
      </c>
    </row>
    <row r="67" ht="15" customHeight="1">
      <c r="A67" t="inlineStr">
        <is>
          <t>A 11502-2022</t>
        </is>
      </c>
      <c r="B67" s="1" t="n">
        <v>44631</v>
      </c>
      <c r="C67" s="1" t="n">
        <v>45172</v>
      </c>
      <c r="D67" t="inlineStr">
        <is>
          <t>VÄSTERBOTTENS LÄN</t>
        </is>
      </c>
      <c r="E67" t="inlineStr">
        <is>
          <t>UMEÅ</t>
        </is>
      </c>
      <c r="F67" t="inlineStr">
        <is>
          <t>Kommuner</t>
        </is>
      </c>
      <c r="G67" t="n">
        <v>1.8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Violettgrå tagellav</t>
        </is>
      </c>
      <c r="S67">
        <f>HYPERLINK("https://klasma.github.io/Logging_UMEA/artfynd/A 11502-2022.xlsx")</f>
        <v/>
      </c>
      <c r="T67">
        <f>HYPERLINK("https://klasma.github.io/Logging_UMEA/kartor/A 11502-2022.png")</f>
        <v/>
      </c>
      <c r="V67">
        <f>HYPERLINK("https://klasma.github.io/Logging_UMEA/klagomål/A 11502-2022.docx")</f>
        <v/>
      </c>
      <c r="W67">
        <f>HYPERLINK("https://klasma.github.io/Logging_UMEA/klagomålsmail/A 11502-2022.docx")</f>
        <v/>
      </c>
      <c r="X67">
        <f>HYPERLINK("https://klasma.github.io/Logging_UMEA/tillsyn/A 11502-2022.docx")</f>
        <v/>
      </c>
      <c r="Y67">
        <f>HYPERLINK("https://klasma.github.io/Logging_UMEA/tillsynsmail/A 11502-2022.docx")</f>
        <v/>
      </c>
    </row>
    <row r="68" ht="15" customHeight="1">
      <c r="A68" t="inlineStr">
        <is>
          <t>A 16839-2022</t>
        </is>
      </c>
      <c r="B68" s="1" t="n">
        <v>44673</v>
      </c>
      <c r="C68" s="1" t="n">
        <v>45172</v>
      </c>
      <c r="D68" t="inlineStr">
        <is>
          <t>VÄSTERBOTTENS LÄN</t>
        </is>
      </c>
      <c r="E68" t="inlineStr">
        <is>
          <t>UMEÅ</t>
        </is>
      </c>
      <c r="G68" t="n">
        <v>3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Kråka</t>
        </is>
      </c>
      <c r="S68">
        <f>HYPERLINK("https://klasma.github.io/Logging_UMEA/artfynd/A 16839-2022.xlsx")</f>
        <v/>
      </c>
      <c r="T68">
        <f>HYPERLINK("https://klasma.github.io/Logging_UMEA/kartor/A 16839-2022.png")</f>
        <v/>
      </c>
      <c r="V68">
        <f>HYPERLINK("https://klasma.github.io/Logging_UMEA/klagomål/A 16839-2022.docx")</f>
        <v/>
      </c>
      <c r="W68">
        <f>HYPERLINK("https://klasma.github.io/Logging_UMEA/klagomålsmail/A 16839-2022.docx")</f>
        <v/>
      </c>
      <c r="X68">
        <f>HYPERLINK("https://klasma.github.io/Logging_UMEA/tillsyn/A 16839-2022.docx")</f>
        <v/>
      </c>
      <c r="Y68">
        <f>HYPERLINK("https://klasma.github.io/Logging_UMEA/tillsynsmail/A 16839-2022.docx")</f>
        <v/>
      </c>
    </row>
    <row r="69" ht="15" customHeight="1">
      <c r="A69" t="inlineStr">
        <is>
          <t>A 23035-2022</t>
        </is>
      </c>
      <c r="B69" s="1" t="n">
        <v>44715</v>
      </c>
      <c r="C69" s="1" t="n">
        <v>45172</v>
      </c>
      <c r="D69" t="inlineStr">
        <is>
          <t>VÄSTERBOTTENS LÄN</t>
        </is>
      </c>
      <c r="E69" t="inlineStr">
        <is>
          <t>UMEÅ</t>
        </is>
      </c>
      <c r="G69" t="n">
        <v>1.2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Granticka</t>
        </is>
      </c>
      <c r="S69">
        <f>HYPERLINK("https://klasma.github.io/Logging_UMEA/artfynd/A 23035-2022.xlsx")</f>
        <v/>
      </c>
      <c r="T69">
        <f>HYPERLINK("https://klasma.github.io/Logging_UMEA/kartor/A 23035-2022.png")</f>
        <v/>
      </c>
      <c r="V69">
        <f>HYPERLINK("https://klasma.github.io/Logging_UMEA/klagomål/A 23035-2022.docx")</f>
        <v/>
      </c>
      <c r="W69">
        <f>HYPERLINK("https://klasma.github.io/Logging_UMEA/klagomålsmail/A 23035-2022.docx")</f>
        <v/>
      </c>
      <c r="X69">
        <f>HYPERLINK("https://klasma.github.io/Logging_UMEA/tillsyn/A 23035-2022.docx")</f>
        <v/>
      </c>
      <c r="Y69">
        <f>HYPERLINK("https://klasma.github.io/Logging_UMEA/tillsynsmail/A 23035-2022.docx")</f>
        <v/>
      </c>
    </row>
    <row r="70" ht="15" customHeight="1">
      <c r="A70" t="inlineStr">
        <is>
          <t>A 43519-2022</t>
        </is>
      </c>
      <c r="B70" s="1" t="n">
        <v>44837</v>
      </c>
      <c r="C70" s="1" t="n">
        <v>45172</v>
      </c>
      <c r="D70" t="inlineStr">
        <is>
          <t>VÄSTERBOTTENS LÄN</t>
        </is>
      </c>
      <c r="E70" t="inlineStr">
        <is>
          <t>UMEÅ</t>
        </is>
      </c>
      <c r="G70" t="n">
        <v>4.2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Skogshare</t>
        </is>
      </c>
      <c r="S70">
        <f>HYPERLINK("https://klasma.github.io/Logging_UMEA/artfynd/A 43519-2022.xlsx")</f>
        <v/>
      </c>
      <c r="T70">
        <f>HYPERLINK("https://klasma.github.io/Logging_UMEA/kartor/A 43519-2022.png")</f>
        <v/>
      </c>
      <c r="V70">
        <f>HYPERLINK("https://klasma.github.io/Logging_UMEA/klagomål/A 43519-2022.docx")</f>
        <v/>
      </c>
      <c r="W70">
        <f>HYPERLINK("https://klasma.github.io/Logging_UMEA/klagomålsmail/A 43519-2022.docx")</f>
        <v/>
      </c>
      <c r="X70">
        <f>HYPERLINK("https://klasma.github.io/Logging_UMEA/tillsyn/A 43519-2022.docx")</f>
        <v/>
      </c>
      <c r="Y70">
        <f>HYPERLINK("https://klasma.github.io/Logging_UMEA/tillsynsmail/A 43519-2022.docx")</f>
        <v/>
      </c>
    </row>
    <row r="71" ht="15" customHeight="1">
      <c r="A71" t="inlineStr">
        <is>
          <t>A 49658-2022</t>
        </is>
      </c>
      <c r="B71" s="1" t="n">
        <v>44862</v>
      </c>
      <c r="C71" s="1" t="n">
        <v>45172</v>
      </c>
      <c r="D71" t="inlineStr">
        <is>
          <t>VÄSTERBOTTENS LÄN</t>
        </is>
      </c>
      <c r="E71" t="inlineStr">
        <is>
          <t>UMEÅ</t>
        </is>
      </c>
      <c r="F71" t="inlineStr">
        <is>
          <t>Holmen skog AB</t>
        </is>
      </c>
      <c r="G71" t="n">
        <v>2.2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Vanlig groda</t>
        </is>
      </c>
      <c r="S71">
        <f>HYPERLINK("https://klasma.github.io/Logging_UMEA/artfynd/A 49658-2022.xlsx")</f>
        <v/>
      </c>
      <c r="T71">
        <f>HYPERLINK("https://klasma.github.io/Logging_UMEA/kartor/A 49658-2022.png")</f>
        <v/>
      </c>
      <c r="V71">
        <f>HYPERLINK("https://klasma.github.io/Logging_UMEA/klagomål/A 49658-2022.docx")</f>
        <v/>
      </c>
      <c r="W71">
        <f>HYPERLINK("https://klasma.github.io/Logging_UMEA/klagomålsmail/A 49658-2022.docx")</f>
        <v/>
      </c>
      <c r="X71">
        <f>HYPERLINK("https://klasma.github.io/Logging_UMEA/tillsyn/A 49658-2022.docx")</f>
        <v/>
      </c>
      <c r="Y71">
        <f>HYPERLINK("https://klasma.github.io/Logging_UMEA/tillsynsmail/A 49658-2022.docx")</f>
        <v/>
      </c>
    </row>
    <row r="72" ht="15" customHeight="1">
      <c r="A72" t="inlineStr">
        <is>
          <t>A 59075-2022</t>
        </is>
      </c>
      <c r="B72" s="1" t="n">
        <v>44904</v>
      </c>
      <c r="C72" s="1" t="n">
        <v>45172</v>
      </c>
      <c r="D72" t="inlineStr">
        <is>
          <t>VÄSTERBOTTENS LÄN</t>
        </is>
      </c>
      <c r="E72" t="inlineStr">
        <is>
          <t>UMEÅ</t>
        </is>
      </c>
      <c r="G72" t="n">
        <v>0.4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Vedticka</t>
        </is>
      </c>
      <c r="S72">
        <f>HYPERLINK("https://klasma.github.io/Logging_UMEA/artfynd/A 59075-2022.xlsx")</f>
        <v/>
      </c>
      <c r="T72">
        <f>HYPERLINK("https://klasma.github.io/Logging_UMEA/kartor/A 59075-2022.png")</f>
        <v/>
      </c>
      <c r="V72">
        <f>HYPERLINK("https://klasma.github.io/Logging_UMEA/klagomål/A 59075-2022.docx")</f>
        <v/>
      </c>
      <c r="W72">
        <f>HYPERLINK("https://klasma.github.io/Logging_UMEA/klagomålsmail/A 59075-2022.docx")</f>
        <v/>
      </c>
      <c r="X72">
        <f>HYPERLINK("https://klasma.github.io/Logging_UMEA/tillsyn/A 59075-2022.docx")</f>
        <v/>
      </c>
      <c r="Y72">
        <f>HYPERLINK("https://klasma.github.io/Logging_UMEA/tillsynsmail/A 59075-2022.docx")</f>
        <v/>
      </c>
    </row>
    <row r="73" ht="15" customHeight="1">
      <c r="A73" t="inlineStr">
        <is>
          <t>A 11395-2023</t>
        </is>
      </c>
      <c r="B73" s="1" t="n">
        <v>44993</v>
      </c>
      <c r="C73" s="1" t="n">
        <v>45172</v>
      </c>
      <c r="D73" t="inlineStr">
        <is>
          <t>VÄSTERBOTTENS LÄN</t>
        </is>
      </c>
      <c r="E73" t="inlineStr">
        <is>
          <t>UMEÅ</t>
        </is>
      </c>
      <c r="G73" t="n">
        <v>6.1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Skarp dropptaggsvamp</t>
        </is>
      </c>
      <c r="S73">
        <f>HYPERLINK("https://klasma.github.io/Logging_UMEA/artfynd/A 11395-2023.xlsx")</f>
        <v/>
      </c>
      <c r="T73">
        <f>HYPERLINK("https://klasma.github.io/Logging_UMEA/kartor/A 11395-2023.png")</f>
        <v/>
      </c>
      <c r="V73">
        <f>HYPERLINK("https://klasma.github.io/Logging_UMEA/klagomål/A 11395-2023.docx")</f>
        <v/>
      </c>
      <c r="W73">
        <f>HYPERLINK("https://klasma.github.io/Logging_UMEA/klagomålsmail/A 11395-2023.docx")</f>
        <v/>
      </c>
      <c r="X73">
        <f>HYPERLINK("https://klasma.github.io/Logging_UMEA/tillsyn/A 11395-2023.docx")</f>
        <v/>
      </c>
      <c r="Y73">
        <f>HYPERLINK("https://klasma.github.io/Logging_UMEA/tillsynsmail/A 11395-2023.docx")</f>
        <v/>
      </c>
    </row>
    <row r="74" ht="15" customHeight="1">
      <c r="A74" t="inlineStr">
        <is>
          <t>A 14927-2023</t>
        </is>
      </c>
      <c r="B74" s="1" t="n">
        <v>45014</v>
      </c>
      <c r="C74" s="1" t="n">
        <v>45172</v>
      </c>
      <c r="D74" t="inlineStr">
        <is>
          <t>VÄSTERBOTTENS LÄN</t>
        </is>
      </c>
      <c r="E74" t="inlineStr">
        <is>
          <t>UMEÅ</t>
        </is>
      </c>
      <c r="F74" t="inlineStr">
        <is>
          <t>Kommuner</t>
        </is>
      </c>
      <c r="G74" t="n">
        <v>6.3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Vedticka</t>
        </is>
      </c>
      <c r="S74">
        <f>HYPERLINK("https://klasma.github.io/Logging_UMEA/artfynd/A 14927-2023.xlsx")</f>
        <v/>
      </c>
      <c r="T74">
        <f>HYPERLINK("https://klasma.github.io/Logging_UMEA/kartor/A 14927-2023.png")</f>
        <v/>
      </c>
      <c r="V74">
        <f>HYPERLINK("https://klasma.github.io/Logging_UMEA/klagomål/A 14927-2023.docx")</f>
        <v/>
      </c>
      <c r="W74">
        <f>HYPERLINK("https://klasma.github.io/Logging_UMEA/klagomålsmail/A 14927-2023.docx")</f>
        <v/>
      </c>
      <c r="X74">
        <f>HYPERLINK("https://klasma.github.io/Logging_UMEA/tillsyn/A 14927-2023.docx")</f>
        <v/>
      </c>
      <c r="Y74">
        <f>HYPERLINK("https://klasma.github.io/Logging_UMEA/tillsynsmail/A 14927-2023.docx")</f>
        <v/>
      </c>
    </row>
    <row r="75" ht="15" customHeight="1">
      <c r="A75" t="inlineStr">
        <is>
          <t>A 15654-2023</t>
        </is>
      </c>
      <c r="B75" s="1" t="n">
        <v>45019</v>
      </c>
      <c r="C75" s="1" t="n">
        <v>45172</v>
      </c>
      <c r="D75" t="inlineStr">
        <is>
          <t>VÄSTERBOTTENS LÄN</t>
        </is>
      </c>
      <c r="E75" t="inlineStr">
        <is>
          <t>UMEÅ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Garnlav</t>
        </is>
      </c>
      <c r="S75">
        <f>HYPERLINK("https://klasma.github.io/Logging_UMEA/artfynd/A 15654-2023.xlsx")</f>
        <v/>
      </c>
      <c r="T75">
        <f>HYPERLINK("https://klasma.github.io/Logging_UMEA/kartor/A 15654-2023.png")</f>
        <v/>
      </c>
      <c r="V75">
        <f>HYPERLINK("https://klasma.github.io/Logging_UMEA/klagomål/A 15654-2023.docx")</f>
        <v/>
      </c>
      <c r="W75">
        <f>HYPERLINK("https://klasma.github.io/Logging_UMEA/klagomålsmail/A 15654-2023.docx")</f>
        <v/>
      </c>
      <c r="X75">
        <f>HYPERLINK("https://klasma.github.io/Logging_UMEA/tillsyn/A 15654-2023.docx")</f>
        <v/>
      </c>
      <c r="Y75">
        <f>HYPERLINK("https://klasma.github.io/Logging_UMEA/tillsynsmail/A 15654-2023.docx")</f>
        <v/>
      </c>
    </row>
    <row r="76" ht="15" customHeight="1">
      <c r="A76" t="inlineStr">
        <is>
          <t>A 28262-2023</t>
        </is>
      </c>
      <c r="B76" s="1" t="n">
        <v>45099</v>
      </c>
      <c r="C76" s="1" t="n">
        <v>45172</v>
      </c>
      <c r="D76" t="inlineStr">
        <is>
          <t>VÄSTERBOTTENS LÄN</t>
        </is>
      </c>
      <c r="E76" t="inlineStr">
        <is>
          <t>UMEÅ</t>
        </is>
      </c>
      <c r="F76" t="inlineStr">
        <is>
          <t>Holmen skog AB</t>
        </is>
      </c>
      <c r="G76" t="n">
        <v>2.6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Gulskölding</t>
        </is>
      </c>
      <c r="S76">
        <f>HYPERLINK("https://klasma.github.io/Logging_UMEA/artfynd/A 28262-2023.xlsx")</f>
        <v/>
      </c>
      <c r="T76">
        <f>HYPERLINK("https://klasma.github.io/Logging_UMEA/kartor/A 28262-2023.png")</f>
        <v/>
      </c>
      <c r="V76">
        <f>HYPERLINK("https://klasma.github.io/Logging_UMEA/klagomål/A 28262-2023.docx")</f>
        <v/>
      </c>
      <c r="W76">
        <f>HYPERLINK("https://klasma.github.io/Logging_UMEA/klagomålsmail/A 28262-2023.docx")</f>
        <v/>
      </c>
      <c r="X76">
        <f>HYPERLINK("https://klasma.github.io/Logging_UMEA/tillsyn/A 28262-2023.docx")</f>
        <v/>
      </c>
      <c r="Y76">
        <f>HYPERLINK("https://klasma.github.io/Logging_UMEA/tillsynsmail/A 28262-2023.docx")</f>
        <v/>
      </c>
    </row>
    <row r="77" ht="15" customHeight="1">
      <c r="A77" t="inlineStr">
        <is>
          <t>A 31311-2023</t>
        </is>
      </c>
      <c r="B77" s="1" t="n">
        <v>45104</v>
      </c>
      <c r="C77" s="1" t="n">
        <v>45172</v>
      </c>
      <c r="D77" t="inlineStr">
        <is>
          <t>VÄSTERBOTTENS LÄN</t>
        </is>
      </c>
      <c r="E77" t="inlineStr">
        <is>
          <t>UMEÅ</t>
        </is>
      </c>
      <c r="G77" t="n">
        <v>3.2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Garnlav</t>
        </is>
      </c>
      <c r="S77">
        <f>HYPERLINK("https://klasma.github.io/Logging_UMEA/artfynd/A 31311-2023.xlsx")</f>
        <v/>
      </c>
      <c r="T77">
        <f>HYPERLINK("https://klasma.github.io/Logging_UMEA/kartor/A 31311-2023.png")</f>
        <v/>
      </c>
      <c r="V77">
        <f>HYPERLINK("https://klasma.github.io/Logging_UMEA/klagomål/A 31311-2023.docx")</f>
        <v/>
      </c>
      <c r="W77">
        <f>HYPERLINK("https://klasma.github.io/Logging_UMEA/klagomålsmail/A 31311-2023.docx")</f>
        <v/>
      </c>
      <c r="X77">
        <f>HYPERLINK("https://klasma.github.io/Logging_UMEA/tillsyn/A 31311-2023.docx")</f>
        <v/>
      </c>
      <c r="Y77">
        <f>HYPERLINK("https://klasma.github.io/Logging_UMEA/tillsynsmail/A 31311-2023.docx")</f>
        <v/>
      </c>
    </row>
    <row r="78" ht="15" customHeight="1">
      <c r="A78" t="inlineStr">
        <is>
          <t>A 33419-2023</t>
        </is>
      </c>
      <c r="B78" s="1" t="n">
        <v>45128</v>
      </c>
      <c r="C78" s="1" t="n">
        <v>45172</v>
      </c>
      <c r="D78" t="inlineStr">
        <is>
          <t>VÄSTERBOTTENS LÄN</t>
        </is>
      </c>
      <c r="E78" t="inlineStr">
        <is>
          <t>UMEÅ</t>
        </is>
      </c>
      <c r="G78" t="n">
        <v>6.7</v>
      </c>
      <c r="H78" t="n">
        <v>0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Goliatmusseron</t>
        </is>
      </c>
      <c r="S78">
        <f>HYPERLINK("https://klasma.github.io/Logging_UMEA/artfynd/A 33419-2023.xlsx")</f>
        <v/>
      </c>
      <c r="T78">
        <f>HYPERLINK("https://klasma.github.io/Logging_UMEA/kartor/A 33419-2023.png")</f>
        <v/>
      </c>
      <c r="V78">
        <f>HYPERLINK("https://klasma.github.io/Logging_UMEA/klagomål/A 33419-2023.docx")</f>
        <v/>
      </c>
      <c r="W78">
        <f>HYPERLINK("https://klasma.github.io/Logging_UMEA/klagomålsmail/A 33419-2023.docx")</f>
        <v/>
      </c>
      <c r="X78">
        <f>HYPERLINK("https://klasma.github.io/Logging_UMEA/tillsyn/A 33419-2023.docx")</f>
        <v/>
      </c>
      <c r="Y78">
        <f>HYPERLINK("https://klasma.github.io/Logging_UMEA/tillsynsmail/A 33419-2023.docx")</f>
        <v/>
      </c>
    </row>
    <row r="79" ht="15" customHeight="1">
      <c r="A79" t="inlineStr">
        <is>
          <t>A 39118-2023</t>
        </is>
      </c>
      <c r="B79" s="1" t="n">
        <v>45165</v>
      </c>
      <c r="C79" s="1" t="n">
        <v>45172</v>
      </c>
      <c r="D79" t="inlineStr">
        <is>
          <t>VÄSTERBOTTENS LÄN</t>
        </is>
      </c>
      <c r="E79" t="inlineStr">
        <is>
          <t>UMEÅ</t>
        </is>
      </c>
      <c r="G79" t="n">
        <v>1.2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Svartvit taggsvamp</t>
        </is>
      </c>
      <c r="S79">
        <f>HYPERLINK("https://klasma.github.io/Logging_UMEA/artfynd/A 39118-2023.xlsx")</f>
        <v/>
      </c>
      <c r="T79">
        <f>HYPERLINK("https://klasma.github.io/Logging_UMEA/kartor/A 39118-2023.png")</f>
        <v/>
      </c>
      <c r="V79">
        <f>HYPERLINK("https://klasma.github.io/Logging_UMEA/klagomål/A 39118-2023.docx")</f>
        <v/>
      </c>
      <c r="W79">
        <f>HYPERLINK("https://klasma.github.io/Logging_UMEA/klagomålsmail/A 39118-2023.docx")</f>
        <v/>
      </c>
      <c r="X79">
        <f>HYPERLINK("https://klasma.github.io/Logging_UMEA/tillsyn/A 39118-2023.docx")</f>
        <v/>
      </c>
      <c r="Y79">
        <f>HYPERLINK("https://klasma.github.io/Logging_UMEA/tillsynsmail/A 39118-2023.docx")</f>
        <v/>
      </c>
    </row>
    <row r="80" ht="15" customHeight="1">
      <c r="A80" t="inlineStr">
        <is>
          <t>A 36912-2018</t>
        </is>
      </c>
      <c r="B80" s="1" t="n">
        <v>43332</v>
      </c>
      <c r="C80" s="1" t="n">
        <v>45172</v>
      </c>
      <c r="D80" t="inlineStr">
        <is>
          <t>VÄSTERBOTTENS LÄN</t>
        </is>
      </c>
      <c r="E80" t="inlineStr">
        <is>
          <t>UMEÅ</t>
        </is>
      </c>
      <c r="F80" t="inlineStr">
        <is>
          <t>Holmen skog AB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41203-2018</t>
        </is>
      </c>
      <c r="B81" s="1" t="n">
        <v>43346</v>
      </c>
      <c r="C81" s="1" t="n">
        <v>45172</v>
      </c>
      <c r="D81" t="inlineStr">
        <is>
          <t>VÄSTERBOTTENS LÄN</t>
        </is>
      </c>
      <c r="E81" t="inlineStr">
        <is>
          <t>UMEÅ</t>
        </is>
      </c>
      <c r="G81" t="n">
        <v>4.3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42534-2018</t>
        </is>
      </c>
      <c r="B82" s="1" t="n">
        <v>43350</v>
      </c>
      <c r="C82" s="1" t="n">
        <v>45172</v>
      </c>
      <c r="D82" t="inlineStr">
        <is>
          <t>VÄSTERBOTTENS LÄN</t>
        </is>
      </c>
      <c r="E82" t="inlineStr">
        <is>
          <t>UMEÅ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42471-2018</t>
        </is>
      </c>
      <c r="B83" s="1" t="n">
        <v>43353</v>
      </c>
      <c r="C83" s="1" t="n">
        <v>45172</v>
      </c>
      <c r="D83" t="inlineStr">
        <is>
          <t>VÄSTERBOTTENS LÄN</t>
        </is>
      </c>
      <c r="E83" t="inlineStr">
        <is>
          <t>UMEÅ</t>
        </is>
      </c>
      <c r="F83" t="inlineStr">
        <is>
          <t>Holmen skog AB</t>
        </is>
      </c>
      <c r="G83" t="n">
        <v>4.6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42998-2018</t>
        </is>
      </c>
      <c r="B84" s="1" t="n">
        <v>43353</v>
      </c>
      <c r="C84" s="1" t="n">
        <v>45172</v>
      </c>
      <c r="D84" t="inlineStr">
        <is>
          <t>VÄSTERBOTTENS LÄN</t>
        </is>
      </c>
      <c r="E84" t="inlineStr">
        <is>
          <t>UMEÅ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43396-2018</t>
        </is>
      </c>
      <c r="B85" s="1" t="n">
        <v>43354</v>
      </c>
      <c r="C85" s="1" t="n">
        <v>45172</v>
      </c>
      <c r="D85" t="inlineStr">
        <is>
          <t>VÄSTERBOTTENS LÄN</t>
        </is>
      </c>
      <c r="E85" t="inlineStr">
        <is>
          <t>UMEÅ</t>
        </is>
      </c>
      <c r="G85" t="n">
        <v>10.5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44196-2018</t>
        </is>
      </c>
      <c r="B86" s="1" t="n">
        <v>43355</v>
      </c>
      <c r="C86" s="1" t="n">
        <v>45172</v>
      </c>
      <c r="D86" t="inlineStr">
        <is>
          <t>VÄSTERBOTTENS LÄN</t>
        </is>
      </c>
      <c r="E86" t="inlineStr">
        <is>
          <t>UMEÅ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46699-2018</t>
        </is>
      </c>
      <c r="B87" s="1" t="n">
        <v>43364</v>
      </c>
      <c r="C87" s="1" t="n">
        <v>45172</v>
      </c>
      <c r="D87" t="inlineStr">
        <is>
          <t>VÄSTERBOTTENS LÄN</t>
        </is>
      </c>
      <c r="E87" t="inlineStr">
        <is>
          <t>UMEÅ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47620-2018</t>
        </is>
      </c>
      <c r="B88" s="1" t="n">
        <v>43368</v>
      </c>
      <c r="C88" s="1" t="n">
        <v>45172</v>
      </c>
      <c r="D88" t="inlineStr">
        <is>
          <t>VÄSTERBOTTENS LÄN</t>
        </is>
      </c>
      <c r="E88" t="inlineStr">
        <is>
          <t>UMEÅ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47610-2018</t>
        </is>
      </c>
      <c r="B89" s="1" t="n">
        <v>43368</v>
      </c>
      <c r="C89" s="1" t="n">
        <v>45172</v>
      </c>
      <c r="D89" t="inlineStr">
        <is>
          <t>VÄSTERBOTTENS LÄN</t>
        </is>
      </c>
      <c r="E89" t="inlineStr">
        <is>
          <t>UMEÅ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47523-2018</t>
        </is>
      </c>
      <c r="B90" s="1" t="n">
        <v>43368</v>
      </c>
      <c r="C90" s="1" t="n">
        <v>45172</v>
      </c>
      <c r="D90" t="inlineStr">
        <is>
          <t>VÄSTERBOTTENS LÄN</t>
        </is>
      </c>
      <c r="E90" t="inlineStr">
        <is>
          <t>UMEÅ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47588-2018</t>
        </is>
      </c>
      <c r="B91" s="1" t="n">
        <v>43368</v>
      </c>
      <c r="C91" s="1" t="n">
        <v>45172</v>
      </c>
      <c r="D91" t="inlineStr">
        <is>
          <t>VÄSTERBOTTENS LÄN</t>
        </is>
      </c>
      <c r="E91" t="inlineStr">
        <is>
          <t>UMEÅ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48177-2018</t>
        </is>
      </c>
      <c r="B92" s="1" t="n">
        <v>43370</v>
      </c>
      <c r="C92" s="1" t="n">
        <v>45172</v>
      </c>
      <c r="D92" t="inlineStr">
        <is>
          <t>VÄSTERBOTTENS LÄN</t>
        </is>
      </c>
      <c r="E92" t="inlineStr">
        <is>
          <t>UMEÅ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48186-2018</t>
        </is>
      </c>
      <c r="B93" s="1" t="n">
        <v>43370</v>
      </c>
      <c r="C93" s="1" t="n">
        <v>45172</v>
      </c>
      <c r="D93" t="inlineStr">
        <is>
          <t>VÄSTERBOTTENS LÄN</t>
        </is>
      </c>
      <c r="E93" t="inlineStr">
        <is>
          <t>UMEÅ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48997-2018</t>
        </is>
      </c>
      <c r="B94" s="1" t="n">
        <v>43374</v>
      </c>
      <c r="C94" s="1" t="n">
        <v>45172</v>
      </c>
      <c r="D94" t="inlineStr">
        <is>
          <t>VÄSTERBOTTENS LÄN</t>
        </is>
      </c>
      <c r="E94" t="inlineStr">
        <is>
          <t>UMEÅ</t>
        </is>
      </c>
      <c r="G94" t="n">
        <v>30.2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52858-2018</t>
        </is>
      </c>
      <c r="B95" s="1" t="n">
        <v>43384</v>
      </c>
      <c r="C95" s="1" t="n">
        <v>45172</v>
      </c>
      <c r="D95" t="inlineStr">
        <is>
          <t>VÄSTERBOTTENS LÄN</t>
        </is>
      </c>
      <c r="E95" t="inlineStr">
        <is>
          <t>UMEÅ</t>
        </is>
      </c>
      <c r="G95" t="n">
        <v>4.6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52872-2018</t>
        </is>
      </c>
      <c r="B96" s="1" t="n">
        <v>43384</v>
      </c>
      <c r="C96" s="1" t="n">
        <v>45172</v>
      </c>
      <c r="D96" t="inlineStr">
        <is>
          <t>VÄSTERBOTTENS LÄN</t>
        </is>
      </c>
      <c r="E96" t="inlineStr">
        <is>
          <t>UMEÅ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53506-2018</t>
        </is>
      </c>
      <c r="B97" s="1" t="n">
        <v>43385</v>
      </c>
      <c r="C97" s="1" t="n">
        <v>45172</v>
      </c>
      <c r="D97" t="inlineStr">
        <is>
          <t>VÄSTERBOTTENS LÄN</t>
        </is>
      </c>
      <c r="E97" t="inlineStr">
        <is>
          <t>UMEÅ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53718-2018</t>
        </is>
      </c>
      <c r="B98" s="1" t="n">
        <v>43385</v>
      </c>
      <c r="C98" s="1" t="n">
        <v>45172</v>
      </c>
      <c r="D98" t="inlineStr">
        <is>
          <t>VÄSTERBOTTENS LÄN</t>
        </is>
      </c>
      <c r="E98" t="inlineStr">
        <is>
          <t>UMEÅ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55839-2018</t>
        </is>
      </c>
      <c r="B99" s="1" t="n">
        <v>43392</v>
      </c>
      <c r="C99" s="1" t="n">
        <v>45172</v>
      </c>
      <c r="D99" t="inlineStr">
        <is>
          <t>VÄSTERBOTTENS LÄN</t>
        </is>
      </c>
      <c r="E99" t="inlineStr">
        <is>
          <t>UMEÅ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55858-2018</t>
        </is>
      </c>
      <c r="B100" s="1" t="n">
        <v>43392</v>
      </c>
      <c r="C100" s="1" t="n">
        <v>45172</v>
      </c>
      <c r="D100" t="inlineStr">
        <is>
          <t>VÄSTERBOTTENS LÄN</t>
        </is>
      </c>
      <c r="E100" t="inlineStr">
        <is>
          <t>UMEÅ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55871-2018</t>
        </is>
      </c>
      <c r="B101" s="1" t="n">
        <v>43392</v>
      </c>
      <c r="C101" s="1" t="n">
        <v>45172</v>
      </c>
      <c r="D101" t="inlineStr">
        <is>
          <t>VÄSTERBOTTENS LÄN</t>
        </is>
      </c>
      <c r="E101" t="inlineStr">
        <is>
          <t>UMEÅ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59852-2018</t>
        </is>
      </c>
      <c r="B102" s="1" t="n">
        <v>43405</v>
      </c>
      <c r="C102" s="1" t="n">
        <v>45172</v>
      </c>
      <c r="D102" t="inlineStr">
        <is>
          <t>VÄSTERBOTTENS LÄN</t>
        </is>
      </c>
      <c r="E102" t="inlineStr">
        <is>
          <t>UMEÅ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60604-2018</t>
        </is>
      </c>
      <c r="B103" s="1" t="n">
        <v>43406</v>
      </c>
      <c r="C103" s="1" t="n">
        <v>45172</v>
      </c>
      <c r="D103" t="inlineStr">
        <is>
          <t>VÄSTERBOTTENS LÄN</t>
        </is>
      </c>
      <c r="E103" t="inlineStr">
        <is>
          <t>UMEÅ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60731-2018</t>
        </is>
      </c>
      <c r="B104" s="1" t="n">
        <v>43409</v>
      </c>
      <c r="C104" s="1" t="n">
        <v>45172</v>
      </c>
      <c r="D104" t="inlineStr">
        <is>
          <t>VÄSTERBOTTENS LÄN</t>
        </is>
      </c>
      <c r="E104" t="inlineStr">
        <is>
          <t>UMEÅ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60209-2018</t>
        </is>
      </c>
      <c r="B105" s="1" t="n">
        <v>43412</v>
      </c>
      <c r="C105" s="1" t="n">
        <v>45172</v>
      </c>
      <c r="D105" t="inlineStr">
        <is>
          <t>VÄSTERBOTTENS LÄN</t>
        </is>
      </c>
      <c r="E105" t="inlineStr">
        <is>
          <t>UMEÅ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60279-2018</t>
        </is>
      </c>
      <c r="B106" s="1" t="n">
        <v>43413</v>
      </c>
      <c r="C106" s="1" t="n">
        <v>45172</v>
      </c>
      <c r="D106" t="inlineStr">
        <is>
          <t>VÄSTERBOTTENS LÄN</t>
        </is>
      </c>
      <c r="E106" t="inlineStr">
        <is>
          <t>UMEÅ</t>
        </is>
      </c>
      <c r="F106" t="inlineStr">
        <is>
          <t>Holmen skog AB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62720-2018</t>
        </is>
      </c>
      <c r="B107" s="1" t="n">
        <v>43413</v>
      </c>
      <c r="C107" s="1" t="n">
        <v>45172</v>
      </c>
      <c r="D107" t="inlineStr">
        <is>
          <t>VÄSTERBOTTENS LÄN</t>
        </is>
      </c>
      <c r="E107" t="inlineStr">
        <is>
          <t>UMEÅ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62480-2018</t>
        </is>
      </c>
      <c r="B108" s="1" t="n">
        <v>43415</v>
      </c>
      <c r="C108" s="1" t="n">
        <v>45172</v>
      </c>
      <c r="D108" t="inlineStr">
        <is>
          <t>VÄSTERBOTTENS LÄN</t>
        </is>
      </c>
      <c r="E108" t="inlineStr">
        <is>
          <t>UMEÅ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64042-2018</t>
        </is>
      </c>
      <c r="B109" s="1" t="n">
        <v>43416</v>
      </c>
      <c r="C109" s="1" t="n">
        <v>45172</v>
      </c>
      <c r="D109" t="inlineStr">
        <is>
          <t>VÄSTERBOTTENS LÄN</t>
        </is>
      </c>
      <c r="E109" t="inlineStr">
        <is>
          <t>UMEÅ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64054-2018</t>
        </is>
      </c>
      <c r="B110" s="1" t="n">
        <v>43416</v>
      </c>
      <c r="C110" s="1" t="n">
        <v>45172</v>
      </c>
      <c r="D110" t="inlineStr">
        <is>
          <t>VÄSTERBOTTENS LÄN</t>
        </is>
      </c>
      <c r="E110" t="inlineStr">
        <is>
          <t>UMEÅ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59735-2018</t>
        </is>
      </c>
      <c r="B111" s="1" t="n">
        <v>43419</v>
      </c>
      <c r="C111" s="1" t="n">
        <v>45172</v>
      </c>
      <c r="D111" t="inlineStr">
        <is>
          <t>VÄSTERBOTTENS LÄN</t>
        </is>
      </c>
      <c r="E111" t="inlineStr">
        <is>
          <t>UMEÅ</t>
        </is>
      </c>
      <c r="G111" t="n">
        <v>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64352-2018</t>
        </is>
      </c>
      <c r="B112" s="1" t="n">
        <v>43419</v>
      </c>
      <c r="C112" s="1" t="n">
        <v>45172</v>
      </c>
      <c r="D112" t="inlineStr">
        <is>
          <t>VÄSTERBOTTENS LÄN</t>
        </is>
      </c>
      <c r="E112" t="inlineStr">
        <is>
          <t>UMEÅ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59679-2018</t>
        </is>
      </c>
      <c r="B113" s="1" t="n">
        <v>43419</v>
      </c>
      <c r="C113" s="1" t="n">
        <v>45172</v>
      </c>
      <c r="D113" t="inlineStr">
        <is>
          <t>VÄSTERBOTTENS LÄN</t>
        </is>
      </c>
      <c r="E113" t="inlineStr">
        <is>
          <t>UMEÅ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64702-2018</t>
        </is>
      </c>
      <c r="B114" s="1" t="n">
        <v>43422</v>
      </c>
      <c r="C114" s="1" t="n">
        <v>45172</v>
      </c>
      <c r="D114" t="inlineStr">
        <is>
          <t>VÄSTERBOTTENS LÄN</t>
        </is>
      </c>
      <c r="E114" t="inlineStr">
        <is>
          <t>UMEÅ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64670-2018</t>
        </is>
      </c>
      <c r="B115" s="1" t="n">
        <v>43422</v>
      </c>
      <c r="C115" s="1" t="n">
        <v>45172</v>
      </c>
      <c r="D115" t="inlineStr">
        <is>
          <t>VÄSTERBOTTENS LÄN</t>
        </is>
      </c>
      <c r="E115" t="inlineStr">
        <is>
          <t>UMEÅ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60947-2018</t>
        </is>
      </c>
      <c r="B116" s="1" t="n">
        <v>43423</v>
      </c>
      <c r="C116" s="1" t="n">
        <v>45172</v>
      </c>
      <c r="D116" t="inlineStr">
        <is>
          <t>VÄSTERBOTTENS LÄN</t>
        </is>
      </c>
      <c r="E116" t="inlineStr">
        <is>
          <t>UMEÅ</t>
        </is>
      </c>
      <c r="G116" t="n">
        <v>8.1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61321-2018</t>
        </is>
      </c>
      <c r="B117" s="1" t="n">
        <v>43424</v>
      </c>
      <c r="C117" s="1" t="n">
        <v>45172</v>
      </c>
      <c r="D117" t="inlineStr">
        <is>
          <t>VÄSTERBOTTENS LÄN</t>
        </is>
      </c>
      <c r="E117" t="inlineStr">
        <is>
          <t>UMEÅ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61543-2018</t>
        </is>
      </c>
      <c r="B118" s="1" t="n">
        <v>43424</v>
      </c>
      <c r="C118" s="1" t="n">
        <v>45172</v>
      </c>
      <c r="D118" t="inlineStr">
        <is>
          <t>VÄSTERBOTTENS LÄN</t>
        </is>
      </c>
      <c r="E118" t="inlineStr">
        <is>
          <t>UMEÅ</t>
        </is>
      </c>
      <c r="F118" t="inlineStr">
        <is>
          <t>Holmen skog AB</t>
        </is>
      </c>
      <c r="G118" t="n">
        <v>13.5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65480-2018</t>
        </is>
      </c>
      <c r="B119" s="1" t="n">
        <v>43424</v>
      </c>
      <c r="C119" s="1" t="n">
        <v>45172</v>
      </c>
      <c r="D119" t="inlineStr">
        <is>
          <t>VÄSTERBOTTENS LÄN</t>
        </is>
      </c>
      <c r="E119" t="inlineStr">
        <is>
          <t>UMEÅ</t>
        </is>
      </c>
      <c r="G119" t="n">
        <v>6.7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62864-2018</t>
        </is>
      </c>
      <c r="B120" s="1" t="n">
        <v>43426</v>
      </c>
      <c r="C120" s="1" t="n">
        <v>45172</v>
      </c>
      <c r="D120" t="inlineStr">
        <is>
          <t>VÄSTERBOTTENS LÄN</t>
        </is>
      </c>
      <c r="E120" t="inlineStr">
        <is>
          <t>UMEÅ</t>
        </is>
      </c>
      <c r="F120" t="inlineStr">
        <is>
          <t>Holmen skog AB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63394-2018</t>
        </is>
      </c>
      <c r="B121" s="1" t="n">
        <v>43427</v>
      </c>
      <c r="C121" s="1" t="n">
        <v>45172</v>
      </c>
      <c r="D121" t="inlineStr">
        <is>
          <t>VÄSTERBOTTENS LÄN</t>
        </is>
      </c>
      <c r="E121" t="inlineStr">
        <is>
          <t>UMEÅ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67691-2018</t>
        </is>
      </c>
      <c r="B122" s="1" t="n">
        <v>43433</v>
      </c>
      <c r="C122" s="1" t="n">
        <v>45172</v>
      </c>
      <c r="D122" t="inlineStr">
        <is>
          <t>VÄSTERBOTTENS LÄN</t>
        </is>
      </c>
      <c r="E122" t="inlineStr">
        <is>
          <t>UMEÅ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67785-2018</t>
        </is>
      </c>
      <c r="B123" s="1" t="n">
        <v>43440</v>
      </c>
      <c r="C123" s="1" t="n">
        <v>45172</v>
      </c>
      <c r="D123" t="inlineStr">
        <is>
          <t>VÄSTERBOTTENS LÄN</t>
        </is>
      </c>
      <c r="E123" t="inlineStr">
        <is>
          <t>UMEÅ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69747-2018</t>
        </is>
      </c>
      <c r="B124" s="1" t="n">
        <v>43444</v>
      </c>
      <c r="C124" s="1" t="n">
        <v>45172</v>
      </c>
      <c r="D124" t="inlineStr">
        <is>
          <t>VÄSTERBOTTENS LÄN</t>
        </is>
      </c>
      <c r="E124" t="inlineStr">
        <is>
          <t>UMEÅ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70049-2018</t>
        </is>
      </c>
      <c r="B125" s="1" t="n">
        <v>43448</v>
      </c>
      <c r="C125" s="1" t="n">
        <v>45172</v>
      </c>
      <c r="D125" t="inlineStr">
        <is>
          <t>VÄSTERBOTTENS LÄN</t>
        </is>
      </c>
      <c r="E125" t="inlineStr">
        <is>
          <t>UMEÅ</t>
        </is>
      </c>
      <c r="F125" t="inlineStr">
        <is>
          <t>Holmen skog AB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70733-2018</t>
        </is>
      </c>
      <c r="B126" s="1" t="n">
        <v>43451</v>
      </c>
      <c r="C126" s="1" t="n">
        <v>45172</v>
      </c>
      <c r="D126" t="inlineStr">
        <is>
          <t>VÄSTERBOTTENS LÄN</t>
        </is>
      </c>
      <c r="E126" t="inlineStr">
        <is>
          <t>UMEÅ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71444-2018</t>
        </is>
      </c>
      <c r="B127" s="1" t="n">
        <v>43451</v>
      </c>
      <c r="C127" s="1" t="n">
        <v>45172</v>
      </c>
      <c r="D127" t="inlineStr">
        <is>
          <t>VÄSTERBOTTENS LÄN</t>
        </is>
      </c>
      <c r="E127" t="inlineStr">
        <is>
          <t>UMEÅ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71448-2018</t>
        </is>
      </c>
      <c r="B128" s="1" t="n">
        <v>43451</v>
      </c>
      <c r="C128" s="1" t="n">
        <v>45172</v>
      </c>
      <c r="D128" t="inlineStr">
        <is>
          <t>VÄSTERBOTTENS LÄN</t>
        </is>
      </c>
      <c r="E128" t="inlineStr">
        <is>
          <t>UMEÅ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71678-2018</t>
        </is>
      </c>
      <c r="B129" s="1" t="n">
        <v>43452</v>
      </c>
      <c r="C129" s="1" t="n">
        <v>45172</v>
      </c>
      <c r="D129" t="inlineStr">
        <is>
          <t>VÄSTERBOTTENS LÄN</t>
        </is>
      </c>
      <c r="E129" t="inlineStr">
        <is>
          <t>UMEÅ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71811-2018</t>
        </is>
      </c>
      <c r="B130" s="1" t="n">
        <v>43454</v>
      </c>
      <c r="C130" s="1" t="n">
        <v>45172</v>
      </c>
      <c r="D130" t="inlineStr">
        <is>
          <t>VÄSTERBOTTENS LÄN</t>
        </is>
      </c>
      <c r="E130" t="inlineStr">
        <is>
          <t>UMEÅ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799-2019</t>
        </is>
      </c>
      <c r="B131" s="1" t="n">
        <v>43455</v>
      </c>
      <c r="C131" s="1" t="n">
        <v>45172</v>
      </c>
      <c r="D131" t="inlineStr">
        <is>
          <t>VÄSTERBOTTENS LÄN</t>
        </is>
      </c>
      <c r="E131" t="inlineStr">
        <is>
          <t>UMEÅ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650-2019</t>
        </is>
      </c>
      <c r="B132" s="1" t="n">
        <v>43455</v>
      </c>
      <c r="C132" s="1" t="n">
        <v>45172</v>
      </c>
      <c r="D132" t="inlineStr">
        <is>
          <t>VÄSTERBOTTENS LÄN</t>
        </is>
      </c>
      <c r="E132" t="inlineStr">
        <is>
          <t>UMEÅ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72624-2018</t>
        </is>
      </c>
      <c r="B133" s="1" t="n">
        <v>43464</v>
      </c>
      <c r="C133" s="1" t="n">
        <v>45172</v>
      </c>
      <c r="D133" t="inlineStr">
        <is>
          <t>VÄSTERBOTTENS LÄN</t>
        </is>
      </c>
      <c r="E133" t="inlineStr">
        <is>
          <t>UMEÅ</t>
        </is>
      </c>
      <c r="F133" t="inlineStr">
        <is>
          <t>Kommuner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202-2019</t>
        </is>
      </c>
      <c r="B134" s="1" t="n">
        <v>43467</v>
      </c>
      <c r="C134" s="1" t="n">
        <v>45172</v>
      </c>
      <c r="D134" t="inlineStr">
        <is>
          <t>VÄSTERBOTTENS LÄN</t>
        </is>
      </c>
      <c r="E134" t="inlineStr">
        <is>
          <t>UMEÅ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122-2019</t>
        </is>
      </c>
      <c r="B135" s="1" t="n">
        <v>43467</v>
      </c>
      <c r="C135" s="1" t="n">
        <v>45172</v>
      </c>
      <c r="D135" t="inlineStr">
        <is>
          <t>VÄSTERBOTTENS LÄN</t>
        </is>
      </c>
      <c r="E135" t="inlineStr">
        <is>
          <t>UMEÅ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1354-2019</t>
        </is>
      </c>
      <c r="B136" s="1" t="n">
        <v>43473</v>
      </c>
      <c r="C136" s="1" t="n">
        <v>45172</v>
      </c>
      <c r="D136" t="inlineStr">
        <is>
          <t>VÄSTERBOTTENS LÄN</t>
        </is>
      </c>
      <c r="E136" t="inlineStr">
        <is>
          <t>UMEÅ</t>
        </is>
      </c>
      <c r="F136" t="inlineStr">
        <is>
          <t>Kommuner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1635-2019</t>
        </is>
      </c>
      <c r="B137" s="1" t="n">
        <v>43474</v>
      </c>
      <c r="C137" s="1" t="n">
        <v>45172</v>
      </c>
      <c r="D137" t="inlineStr">
        <is>
          <t>VÄSTERBOTTENS LÄN</t>
        </is>
      </c>
      <c r="E137" t="inlineStr">
        <is>
          <t>UMEÅ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1803-2019</t>
        </is>
      </c>
      <c r="B138" s="1" t="n">
        <v>43474</v>
      </c>
      <c r="C138" s="1" t="n">
        <v>45172</v>
      </c>
      <c r="D138" t="inlineStr">
        <is>
          <t>VÄSTERBOTTENS LÄN</t>
        </is>
      </c>
      <c r="E138" t="inlineStr">
        <is>
          <t>UMEÅ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1938-2019</t>
        </is>
      </c>
      <c r="B139" s="1" t="n">
        <v>43475</v>
      </c>
      <c r="C139" s="1" t="n">
        <v>45172</v>
      </c>
      <c r="D139" t="inlineStr">
        <is>
          <t>VÄSTERBOTTENS LÄN</t>
        </is>
      </c>
      <c r="E139" t="inlineStr">
        <is>
          <t>UMEÅ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2194-2019</t>
        </is>
      </c>
      <c r="B140" s="1" t="n">
        <v>43475</v>
      </c>
      <c r="C140" s="1" t="n">
        <v>45172</v>
      </c>
      <c r="D140" t="inlineStr">
        <is>
          <t>VÄSTERBOTTENS LÄN</t>
        </is>
      </c>
      <c r="E140" t="inlineStr">
        <is>
          <t>UMEÅ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2268-2019</t>
        </is>
      </c>
      <c r="B141" s="1" t="n">
        <v>43475</v>
      </c>
      <c r="C141" s="1" t="n">
        <v>45172</v>
      </c>
      <c r="D141" t="inlineStr">
        <is>
          <t>VÄSTERBOTTENS LÄN</t>
        </is>
      </c>
      <c r="E141" t="inlineStr">
        <is>
          <t>UMEÅ</t>
        </is>
      </c>
      <c r="G141" t="n">
        <v>6.1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4175-2019</t>
        </is>
      </c>
      <c r="B142" s="1" t="n">
        <v>43476</v>
      </c>
      <c r="C142" s="1" t="n">
        <v>45172</v>
      </c>
      <c r="D142" t="inlineStr">
        <is>
          <t>VÄSTERBOTTENS LÄN</t>
        </is>
      </c>
      <c r="E142" t="inlineStr">
        <is>
          <t>UMEÅ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3453-2019</t>
        </is>
      </c>
      <c r="B143" s="1" t="n">
        <v>43481</v>
      </c>
      <c r="C143" s="1" t="n">
        <v>45172</v>
      </c>
      <c r="D143" t="inlineStr">
        <is>
          <t>VÄSTERBOTTENS LÄN</t>
        </is>
      </c>
      <c r="E143" t="inlineStr">
        <is>
          <t>UMEÅ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3948-2019</t>
        </is>
      </c>
      <c r="B144" s="1" t="n">
        <v>43482</v>
      </c>
      <c r="C144" s="1" t="n">
        <v>45172</v>
      </c>
      <c r="D144" t="inlineStr">
        <is>
          <t>VÄSTERBOTTENS LÄN</t>
        </is>
      </c>
      <c r="E144" t="inlineStr">
        <is>
          <t>UMEÅ</t>
        </is>
      </c>
      <c r="F144" t="inlineStr">
        <is>
          <t>Kommuner</t>
        </is>
      </c>
      <c r="G144" t="n">
        <v>7.7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4873-2019</t>
        </is>
      </c>
      <c r="B145" s="1" t="n">
        <v>43487</v>
      </c>
      <c r="C145" s="1" t="n">
        <v>45172</v>
      </c>
      <c r="D145" t="inlineStr">
        <is>
          <t>VÄSTERBOTTENS LÄN</t>
        </is>
      </c>
      <c r="E145" t="inlineStr">
        <is>
          <t>UMEÅ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6941-2019</t>
        </is>
      </c>
      <c r="B146" s="1" t="n">
        <v>43495</v>
      </c>
      <c r="C146" s="1" t="n">
        <v>45172</v>
      </c>
      <c r="D146" t="inlineStr">
        <is>
          <t>VÄSTERBOTTENS LÄN</t>
        </is>
      </c>
      <c r="E146" t="inlineStr">
        <is>
          <t>UMEÅ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6974-2019</t>
        </is>
      </c>
      <c r="B147" s="1" t="n">
        <v>43495</v>
      </c>
      <c r="C147" s="1" t="n">
        <v>45172</v>
      </c>
      <c r="D147" t="inlineStr">
        <is>
          <t>VÄSTERBOTTENS LÄN</t>
        </is>
      </c>
      <c r="E147" t="inlineStr">
        <is>
          <t>UMEÅ</t>
        </is>
      </c>
      <c r="G147" t="n">
        <v>8.9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9112-2019</t>
        </is>
      </c>
      <c r="B148" s="1" t="n">
        <v>43504</v>
      </c>
      <c r="C148" s="1" t="n">
        <v>45172</v>
      </c>
      <c r="D148" t="inlineStr">
        <is>
          <t>VÄSTERBOTTENS LÄN</t>
        </is>
      </c>
      <c r="E148" t="inlineStr">
        <is>
          <t>UMEÅ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9941-2019</t>
        </is>
      </c>
      <c r="B149" s="1" t="n">
        <v>43509</v>
      </c>
      <c r="C149" s="1" t="n">
        <v>45172</v>
      </c>
      <c r="D149" t="inlineStr">
        <is>
          <t>VÄSTERBOTTENS LÄN</t>
        </is>
      </c>
      <c r="E149" t="inlineStr">
        <is>
          <t>UMEÅ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9935-2019</t>
        </is>
      </c>
      <c r="B150" s="1" t="n">
        <v>43509</v>
      </c>
      <c r="C150" s="1" t="n">
        <v>45172</v>
      </c>
      <c r="D150" t="inlineStr">
        <is>
          <t>VÄSTERBOTTENS LÄN</t>
        </is>
      </c>
      <c r="E150" t="inlineStr">
        <is>
          <t>UMEÅ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11421-2019</t>
        </is>
      </c>
      <c r="B151" s="1" t="n">
        <v>43516</v>
      </c>
      <c r="C151" s="1" t="n">
        <v>45172</v>
      </c>
      <c r="D151" t="inlineStr">
        <is>
          <t>VÄSTERBOTTENS LÄN</t>
        </is>
      </c>
      <c r="E151" t="inlineStr">
        <is>
          <t>UMEÅ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11777-2019</t>
        </is>
      </c>
      <c r="B152" s="1" t="n">
        <v>43518</v>
      </c>
      <c r="C152" s="1" t="n">
        <v>45172</v>
      </c>
      <c r="D152" t="inlineStr">
        <is>
          <t>VÄSTERBOTTENS LÄN</t>
        </is>
      </c>
      <c r="E152" t="inlineStr">
        <is>
          <t>UMEÅ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11778-2019</t>
        </is>
      </c>
      <c r="B153" s="1" t="n">
        <v>43518</v>
      </c>
      <c r="C153" s="1" t="n">
        <v>45172</v>
      </c>
      <c r="D153" t="inlineStr">
        <is>
          <t>VÄSTERBOTTENS LÄN</t>
        </is>
      </c>
      <c r="E153" t="inlineStr">
        <is>
          <t>UMEÅ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11776-2019</t>
        </is>
      </c>
      <c r="B154" s="1" t="n">
        <v>43518</v>
      </c>
      <c r="C154" s="1" t="n">
        <v>45172</v>
      </c>
      <c r="D154" t="inlineStr">
        <is>
          <t>VÄSTERBOTTENS LÄN</t>
        </is>
      </c>
      <c r="E154" t="inlineStr">
        <is>
          <t>UMEÅ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12040-2019</t>
        </is>
      </c>
      <c r="B155" s="1" t="n">
        <v>43522</v>
      </c>
      <c r="C155" s="1" t="n">
        <v>45172</v>
      </c>
      <c r="D155" t="inlineStr">
        <is>
          <t>VÄSTERBOTTENS LÄN</t>
        </is>
      </c>
      <c r="E155" t="inlineStr">
        <is>
          <t>UMEÅ</t>
        </is>
      </c>
      <c r="G155" t="n">
        <v>10.4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14287-2019</t>
        </is>
      </c>
      <c r="B156" s="1" t="n">
        <v>43535</v>
      </c>
      <c r="C156" s="1" t="n">
        <v>45172</v>
      </c>
      <c r="D156" t="inlineStr">
        <is>
          <t>VÄSTERBOTTENS LÄN</t>
        </is>
      </c>
      <c r="E156" t="inlineStr">
        <is>
          <t>UMEÅ</t>
        </is>
      </c>
      <c r="F156" t="inlineStr">
        <is>
          <t>Holmen skog AB</t>
        </is>
      </c>
      <c r="G156" t="n">
        <v>17.2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15049-2019</t>
        </is>
      </c>
      <c r="B157" s="1" t="n">
        <v>43537</v>
      </c>
      <c r="C157" s="1" t="n">
        <v>45172</v>
      </c>
      <c r="D157" t="inlineStr">
        <is>
          <t>VÄSTERBOTTENS LÄN</t>
        </is>
      </c>
      <c r="E157" t="inlineStr">
        <is>
          <t>UMEÅ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14850-2019</t>
        </is>
      </c>
      <c r="B158" s="1" t="n">
        <v>43538</v>
      </c>
      <c r="C158" s="1" t="n">
        <v>45172</v>
      </c>
      <c r="D158" t="inlineStr">
        <is>
          <t>VÄSTERBOTTENS LÄN</t>
        </is>
      </c>
      <c r="E158" t="inlineStr">
        <is>
          <t>UMEÅ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15411-2019</t>
        </is>
      </c>
      <c r="B159" s="1" t="n">
        <v>43539</v>
      </c>
      <c r="C159" s="1" t="n">
        <v>45172</v>
      </c>
      <c r="D159" t="inlineStr">
        <is>
          <t>VÄSTERBOTTENS LÄN</t>
        </is>
      </c>
      <c r="E159" t="inlineStr">
        <is>
          <t>UMEÅ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17094-2019</t>
        </is>
      </c>
      <c r="B160" s="1" t="n">
        <v>43549</v>
      </c>
      <c r="C160" s="1" t="n">
        <v>45172</v>
      </c>
      <c r="D160" t="inlineStr">
        <is>
          <t>VÄSTERBOTTENS LÄN</t>
        </is>
      </c>
      <c r="E160" t="inlineStr">
        <is>
          <t>UMEÅ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16964-2019</t>
        </is>
      </c>
      <c r="B161" s="1" t="n">
        <v>43550</v>
      </c>
      <c r="C161" s="1" t="n">
        <v>45172</v>
      </c>
      <c r="D161" t="inlineStr">
        <is>
          <t>VÄSTERBOTTENS LÄN</t>
        </is>
      </c>
      <c r="E161" t="inlineStr">
        <is>
          <t>UMEÅ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17870-2019</t>
        </is>
      </c>
      <c r="B162" s="1" t="n">
        <v>43553</v>
      </c>
      <c r="C162" s="1" t="n">
        <v>45172</v>
      </c>
      <c r="D162" t="inlineStr">
        <is>
          <t>VÄSTERBOTTENS LÄN</t>
        </is>
      </c>
      <c r="E162" t="inlineStr">
        <is>
          <t>UMEÅ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17877-2019</t>
        </is>
      </c>
      <c r="B163" s="1" t="n">
        <v>43553</v>
      </c>
      <c r="C163" s="1" t="n">
        <v>45172</v>
      </c>
      <c r="D163" t="inlineStr">
        <is>
          <t>VÄSTERBOTTENS LÄN</t>
        </is>
      </c>
      <c r="E163" t="inlineStr">
        <is>
          <t>UMEÅ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17665-2019</t>
        </is>
      </c>
      <c r="B164" s="1" t="n">
        <v>43556</v>
      </c>
      <c r="C164" s="1" t="n">
        <v>45172</v>
      </c>
      <c r="D164" t="inlineStr">
        <is>
          <t>VÄSTERBOTTENS LÄN</t>
        </is>
      </c>
      <c r="E164" t="inlineStr">
        <is>
          <t>UMEÅ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18151-2019</t>
        </is>
      </c>
      <c r="B165" s="1" t="n">
        <v>43556</v>
      </c>
      <c r="C165" s="1" t="n">
        <v>45172</v>
      </c>
      <c r="D165" t="inlineStr">
        <is>
          <t>VÄSTERBOTTENS LÄN</t>
        </is>
      </c>
      <c r="E165" t="inlineStr">
        <is>
          <t>UMEÅ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20458-2019</t>
        </is>
      </c>
      <c r="B166" s="1" t="n">
        <v>43572</v>
      </c>
      <c r="C166" s="1" t="n">
        <v>45172</v>
      </c>
      <c r="D166" t="inlineStr">
        <is>
          <t>VÄSTERBOTTENS LÄN</t>
        </is>
      </c>
      <c r="E166" t="inlineStr">
        <is>
          <t>UMEÅ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22739-2019</t>
        </is>
      </c>
      <c r="B167" s="1" t="n">
        <v>43588</v>
      </c>
      <c r="C167" s="1" t="n">
        <v>45172</v>
      </c>
      <c r="D167" t="inlineStr">
        <is>
          <t>VÄSTERBOTTENS LÄN</t>
        </is>
      </c>
      <c r="E167" t="inlineStr">
        <is>
          <t>UMEÅ</t>
        </is>
      </c>
      <c r="F167" t="inlineStr">
        <is>
          <t>Kommuner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23098-2019</t>
        </is>
      </c>
      <c r="B168" s="1" t="n">
        <v>43591</v>
      </c>
      <c r="C168" s="1" t="n">
        <v>45172</v>
      </c>
      <c r="D168" t="inlineStr">
        <is>
          <t>VÄSTERBOTTENS LÄN</t>
        </is>
      </c>
      <c r="E168" t="inlineStr">
        <is>
          <t>UMEÅ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23510-2019</t>
        </is>
      </c>
      <c r="B169" s="1" t="n">
        <v>43593</v>
      </c>
      <c r="C169" s="1" t="n">
        <v>45172</v>
      </c>
      <c r="D169" t="inlineStr">
        <is>
          <t>VÄSTERBOTTENS LÄN</t>
        </is>
      </c>
      <c r="E169" t="inlineStr">
        <is>
          <t>UMEÅ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23491-2019</t>
        </is>
      </c>
      <c r="B170" s="1" t="n">
        <v>43593</v>
      </c>
      <c r="C170" s="1" t="n">
        <v>45172</v>
      </c>
      <c r="D170" t="inlineStr">
        <is>
          <t>VÄSTERBOTTENS LÄN</t>
        </is>
      </c>
      <c r="E170" t="inlineStr">
        <is>
          <t>UMEÅ</t>
        </is>
      </c>
      <c r="G170" t="n">
        <v>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23796-2019</t>
        </is>
      </c>
      <c r="B171" s="1" t="n">
        <v>43595</v>
      </c>
      <c r="C171" s="1" t="n">
        <v>45172</v>
      </c>
      <c r="D171" t="inlineStr">
        <is>
          <t>VÄSTERBOTTENS LÄN</t>
        </is>
      </c>
      <c r="E171" t="inlineStr">
        <is>
          <t>UMEÅ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25787-2019</t>
        </is>
      </c>
      <c r="B172" s="1" t="n">
        <v>43605</v>
      </c>
      <c r="C172" s="1" t="n">
        <v>45172</v>
      </c>
      <c r="D172" t="inlineStr">
        <is>
          <t>VÄSTERBOTTENS LÄN</t>
        </is>
      </c>
      <c r="E172" t="inlineStr">
        <is>
          <t>UMEÅ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25273-2019</t>
        </is>
      </c>
      <c r="B173" s="1" t="n">
        <v>43605</v>
      </c>
      <c r="C173" s="1" t="n">
        <v>45172</v>
      </c>
      <c r="D173" t="inlineStr">
        <is>
          <t>VÄSTERBOTTENS LÄN</t>
        </is>
      </c>
      <c r="E173" t="inlineStr">
        <is>
          <t>UMEÅ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26382-2019</t>
        </is>
      </c>
      <c r="B174" s="1" t="n">
        <v>43606</v>
      </c>
      <c r="C174" s="1" t="n">
        <v>45172</v>
      </c>
      <c r="D174" t="inlineStr">
        <is>
          <t>VÄSTERBOTTENS LÄN</t>
        </is>
      </c>
      <c r="E174" t="inlineStr">
        <is>
          <t>UMEÅ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25514-2019</t>
        </is>
      </c>
      <c r="B175" s="1" t="n">
        <v>43606</v>
      </c>
      <c r="C175" s="1" t="n">
        <v>45172</v>
      </c>
      <c r="D175" t="inlineStr">
        <is>
          <t>VÄSTERBOTTENS LÄN</t>
        </is>
      </c>
      <c r="E175" t="inlineStr">
        <is>
          <t>UMEÅ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28147-2019</t>
        </is>
      </c>
      <c r="B176" s="1" t="n">
        <v>43613</v>
      </c>
      <c r="C176" s="1" t="n">
        <v>45172</v>
      </c>
      <c r="D176" t="inlineStr">
        <is>
          <t>VÄSTERBOTTENS LÄN</t>
        </is>
      </c>
      <c r="E176" t="inlineStr">
        <is>
          <t>UMEÅ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28995-2019</t>
        </is>
      </c>
      <c r="B177" s="1" t="n">
        <v>43620</v>
      </c>
      <c r="C177" s="1" t="n">
        <v>45172</v>
      </c>
      <c r="D177" t="inlineStr">
        <is>
          <t>VÄSTERBOTTENS LÄN</t>
        </is>
      </c>
      <c r="E177" t="inlineStr">
        <is>
          <t>UMEÅ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29281-2019</t>
        </is>
      </c>
      <c r="B178" s="1" t="n">
        <v>43623</v>
      </c>
      <c r="C178" s="1" t="n">
        <v>45172</v>
      </c>
      <c r="D178" t="inlineStr">
        <is>
          <t>VÄSTERBOTTENS LÄN</t>
        </is>
      </c>
      <c r="E178" t="inlineStr">
        <is>
          <t>UMEÅ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29126-2019</t>
        </is>
      </c>
      <c r="B179" s="1" t="n">
        <v>43628</v>
      </c>
      <c r="C179" s="1" t="n">
        <v>45172</v>
      </c>
      <c r="D179" t="inlineStr">
        <is>
          <t>VÄSTERBOTTENS LÄN</t>
        </is>
      </c>
      <c r="E179" t="inlineStr">
        <is>
          <t>UMEÅ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29128-2019</t>
        </is>
      </c>
      <c r="B180" s="1" t="n">
        <v>43628</v>
      </c>
      <c r="C180" s="1" t="n">
        <v>45172</v>
      </c>
      <c r="D180" t="inlineStr">
        <is>
          <t>VÄSTERBOTTENS LÄN</t>
        </is>
      </c>
      <c r="E180" t="inlineStr">
        <is>
          <t>UMEÅ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30440-2019</t>
        </is>
      </c>
      <c r="B181" s="1" t="n">
        <v>43633</v>
      </c>
      <c r="C181" s="1" t="n">
        <v>45172</v>
      </c>
      <c r="D181" t="inlineStr">
        <is>
          <t>VÄSTERBOTTENS LÄN</t>
        </is>
      </c>
      <c r="E181" t="inlineStr">
        <is>
          <t>UMEÅ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30187-2019</t>
        </is>
      </c>
      <c r="B182" s="1" t="n">
        <v>43634</v>
      </c>
      <c r="C182" s="1" t="n">
        <v>45172</v>
      </c>
      <c r="D182" t="inlineStr">
        <is>
          <t>VÄSTERBOTTENS LÄN</t>
        </is>
      </c>
      <c r="E182" t="inlineStr">
        <is>
          <t>UMEÅ</t>
        </is>
      </c>
      <c r="F182" t="inlineStr">
        <is>
          <t>Holmen skog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30965-2019</t>
        </is>
      </c>
      <c r="B183" s="1" t="n">
        <v>43639</v>
      </c>
      <c r="C183" s="1" t="n">
        <v>45172</v>
      </c>
      <c r="D183" t="inlineStr">
        <is>
          <t>VÄSTERBOTTENS LÄN</t>
        </is>
      </c>
      <c r="E183" t="inlineStr">
        <is>
          <t>UMEÅ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30966-2019</t>
        </is>
      </c>
      <c r="B184" s="1" t="n">
        <v>43639</v>
      </c>
      <c r="C184" s="1" t="n">
        <v>45172</v>
      </c>
      <c r="D184" t="inlineStr">
        <is>
          <t>VÄSTERBOTTENS LÄN</t>
        </is>
      </c>
      <c r="E184" t="inlineStr">
        <is>
          <t>UMEÅ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30964-2019</t>
        </is>
      </c>
      <c r="B185" s="1" t="n">
        <v>43639</v>
      </c>
      <c r="C185" s="1" t="n">
        <v>45172</v>
      </c>
      <c r="D185" t="inlineStr">
        <is>
          <t>VÄSTERBOTTENS LÄN</t>
        </is>
      </c>
      <c r="E185" t="inlineStr">
        <is>
          <t>UMEÅ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31265-2019</t>
        </is>
      </c>
      <c r="B186" s="1" t="n">
        <v>43640</v>
      </c>
      <c r="C186" s="1" t="n">
        <v>45172</v>
      </c>
      <c r="D186" t="inlineStr">
        <is>
          <t>VÄSTERBOTTENS LÄN</t>
        </is>
      </c>
      <c r="E186" t="inlineStr">
        <is>
          <t>UMEÅ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31919-2019</t>
        </is>
      </c>
      <c r="B187" s="1" t="n">
        <v>43641</v>
      </c>
      <c r="C187" s="1" t="n">
        <v>45172</v>
      </c>
      <c r="D187" t="inlineStr">
        <is>
          <t>VÄSTERBOTTENS LÄN</t>
        </is>
      </c>
      <c r="E187" t="inlineStr">
        <is>
          <t>UMEÅ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32079-2019</t>
        </is>
      </c>
      <c r="B188" s="1" t="n">
        <v>43642</v>
      </c>
      <c r="C188" s="1" t="n">
        <v>45172</v>
      </c>
      <c r="D188" t="inlineStr">
        <is>
          <t>VÄSTERBOTTENS LÄN</t>
        </is>
      </c>
      <c r="E188" t="inlineStr">
        <is>
          <t>UMEÅ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31938-2019</t>
        </is>
      </c>
      <c r="B189" s="1" t="n">
        <v>43643</v>
      </c>
      <c r="C189" s="1" t="n">
        <v>45172</v>
      </c>
      <c r="D189" t="inlineStr">
        <is>
          <t>VÄSTERBOTTENS LÄN</t>
        </is>
      </c>
      <c r="E189" t="inlineStr">
        <is>
          <t>UMEÅ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33033-2019</t>
        </is>
      </c>
      <c r="B190" s="1" t="n">
        <v>43649</v>
      </c>
      <c r="C190" s="1" t="n">
        <v>45172</v>
      </c>
      <c r="D190" t="inlineStr">
        <is>
          <t>VÄSTERBOTTENS LÄN</t>
        </is>
      </c>
      <c r="E190" t="inlineStr">
        <is>
          <t>UMEÅ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33029-2019</t>
        </is>
      </c>
      <c r="B191" s="1" t="n">
        <v>43649</v>
      </c>
      <c r="C191" s="1" t="n">
        <v>45172</v>
      </c>
      <c r="D191" t="inlineStr">
        <is>
          <t>VÄSTERBOTTENS LÄN</t>
        </is>
      </c>
      <c r="E191" t="inlineStr">
        <is>
          <t>UMEÅ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33034-2019</t>
        </is>
      </c>
      <c r="B192" s="1" t="n">
        <v>43650</v>
      </c>
      <c r="C192" s="1" t="n">
        <v>45172</v>
      </c>
      <c r="D192" t="inlineStr">
        <is>
          <t>VÄSTERBOTTENS LÄN</t>
        </is>
      </c>
      <c r="E192" t="inlineStr">
        <is>
          <t>UMEÅ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35451-2019</t>
        </is>
      </c>
      <c r="B193" s="1" t="n">
        <v>43651</v>
      </c>
      <c r="C193" s="1" t="n">
        <v>45172</v>
      </c>
      <c r="D193" t="inlineStr">
        <is>
          <t>VÄSTERBOTTENS LÄN</t>
        </is>
      </c>
      <c r="E193" t="inlineStr">
        <is>
          <t>UMEÅ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35380-2019</t>
        </is>
      </c>
      <c r="B194" s="1" t="n">
        <v>43651</v>
      </c>
      <c r="C194" s="1" t="n">
        <v>45172</v>
      </c>
      <c r="D194" t="inlineStr">
        <is>
          <t>VÄSTERBOTTENS LÄN</t>
        </is>
      </c>
      <c r="E194" t="inlineStr">
        <is>
          <t>UMEÅ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35450-2019</t>
        </is>
      </c>
      <c r="B195" s="1" t="n">
        <v>43651</v>
      </c>
      <c r="C195" s="1" t="n">
        <v>45172</v>
      </c>
      <c r="D195" t="inlineStr">
        <is>
          <t>VÄSTERBOTTENS LÄN</t>
        </is>
      </c>
      <c r="E195" t="inlineStr">
        <is>
          <t>UMEÅ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41058-2019</t>
        </is>
      </c>
      <c r="B196" s="1" t="n">
        <v>43693</v>
      </c>
      <c r="C196" s="1" t="n">
        <v>45172</v>
      </c>
      <c r="D196" t="inlineStr">
        <is>
          <t>VÄSTERBOTTENS LÄN</t>
        </is>
      </c>
      <c r="E196" t="inlineStr">
        <is>
          <t>UMEÅ</t>
        </is>
      </c>
      <c r="G196" t="n">
        <v>12.5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40120-2019</t>
        </is>
      </c>
      <c r="B197" s="1" t="n">
        <v>43693</v>
      </c>
      <c r="C197" s="1" t="n">
        <v>45172</v>
      </c>
      <c r="D197" t="inlineStr">
        <is>
          <t>VÄSTERBOTTENS LÄN</t>
        </is>
      </c>
      <c r="E197" t="inlineStr">
        <is>
          <t>UMEÅ</t>
        </is>
      </c>
      <c r="F197" t="inlineStr">
        <is>
          <t>Holmen skog AB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41352-2019</t>
        </is>
      </c>
      <c r="B198" s="1" t="n">
        <v>43698</v>
      </c>
      <c r="C198" s="1" t="n">
        <v>45172</v>
      </c>
      <c r="D198" t="inlineStr">
        <is>
          <t>VÄSTERBOTTENS LÄN</t>
        </is>
      </c>
      <c r="E198" t="inlineStr">
        <is>
          <t>UMEÅ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41754-2019</t>
        </is>
      </c>
      <c r="B199" s="1" t="n">
        <v>43699</v>
      </c>
      <c r="C199" s="1" t="n">
        <v>45172</v>
      </c>
      <c r="D199" t="inlineStr">
        <is>
          <t>VÄSTERBOTTENS LÄN</t>
        </is>
      </c>
      <c r="E199" t="inlineStr">
        <is>
          <t>UMEÅ</t>
        </is>
      </c>
      <c r="F199" t="inlineStr">
        <is>
          <t>Holmen skog AB</t>
        </is>
      </c>
      <c r="G199" t="n">
        <v>9.9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42721-2019</t>
        </is>
      </c>
      <c r="B200" s="1" t="n">
        <v>43704</v>
      </c>
      <c r="C200" s="1" t="n">
        <v>45172</v>
      </c>
      <c r="D200" t="inlineStr">
        <is>
          <t>VÄSTERBOTTENS LÄN</t>
        </is>
      </c>
      <c r="E200" t="inlineStr">
        <is>
          <t>UMEÅ</t>
        </is>
      </c>
      <c r="F200" t="inlineStr">
        <is>
          <t>Holmen skog AB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42599-2019</t>
        </is>
      </c>
      <c r="B201" s="1" t="n">
        <v>43704</v>
      </c>
      <c r="C201" s="1" t="n">
        <v>45172</v>
      </c>
      <c r="D201" t="inlineStr">
        <is>
          <t>VÄSTERBOTTENS LÄN</t>
        </is>
      </c>
      <c r="E201" t="inlineStr">
        <is>
          <t>UMEÅ</t>
        </is>
      </c>
      <c r="F201" t="inlineStr">
        <is>
          <t>Övriga Aktiebolag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42477-2019</t>
        </is>
      </c>
      <c r="B202" s="1" t="n">
        <v>43704</v>
      </c>
      <c r="C202" s="1" t="n">
        <v>45172</v>
      </c>
      <c r="D202" t="inlineStr">
        <is>
          <t>VÄSTERBOTTENS LÄN</t>
        </is>
      </c>
      <c r="E202" t="inlineStr">
        <is>
          <t>UMEÅ</t>
        </is>
      </c>
      <c r="F202" t="inlineStr">
        <is>
          <t>Holmen skog AB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43613-2019</t>
        </is>
      </c>
      <c r="B203" s="1" t="n">
        <v>43704</v>
      </c>
      <c r="C203" s="1" t="n">
        <v>45172</v>
      </c>
      <c r="D203" t="inlineStr">
        <is>
          <t>VÄSTERBOTTENS LÄN</t>
        </is>
      </c>
      <c r="E203" t="inlineStr">
        <is>
          <t>UMEÅ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44537-2019</t>
        </is>
      </c>
      <c r="B204" s="1" t="n">
        <v>43706</v>
      </c>
      <c r="C204" s="1" t="n">
        <v>45172</v>
      </c>
      <c r="D204" t="inlineStr">
        <is>
          <t>VÄSTERBOTTENS LÄN</t>
        </is>
      </c>
      <c r="E204" t="inlineStr">
        <is>
          <t>UMEÅ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45322-2019</t>
        </is>
      </c>
      <c r="B205" s="1" t="n">
        <v>43707</v>
      </c>
      <c r="C205" s="1" t="n">
        <v>45172</v>
      </c>
      <c r="D205" t="inlineStr">
        <is>
          <t>VÄSTERBOTTENS LÄN</t>
        </is>
      </c>
      <c r="E205" t="inlineStr">
        <is>
          <t>UMEÅ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45536-2019</t>
        </is>
      </c>
      <c r="B206" s="1" t="n">
        <v>43714</v>
      </c>
      <c r="C206" s="1" t="n">
        <v>45172</v>
      </c>
      <c r="D206" t="inlineStr">
        <is>
          <t>VÄSTERBOTTENS LÄN</t>
        </is>
      </c>
      <c r="E206" t="inlineStr">
        <is>
          <t>UMEÅ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45906-2019</t>
        </is>
      </c>
      <c r="B207" s="1" t="n">
        <v>43717</v>
      </c>
      <c r="C207" s="1" t="n">
        <v>45172</v>
      </c>
      <c r="D207" t="inlineStr">
        <is>
          <t>VÄSTERBOTTENS LÄN</t>
        </is>
      </c>
      <c r="E207" t="inlineStr">
        <is>
          <t>UMEÅ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45905-2019</t>
        </is>
      </c>
      <c r="B208" s="1" t="n">
        <v>43717</v>
      </c>
      <c r="C208" s="1" t="n">
        <v>45172</v>
      </c>
      <c r="D208" t="inlineStr">
        <is>
          <t>VÄSTERBOTTENS LÄN</t>
        </is>
      </c>
      <c r="E208" t="inlineStr">
        <is>
          <t>UMEÅ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46601-2019</t>
        </is>
      </c>
      <c r="B209" s="1" t="n">
        <v>43719</v>
      </c>
      <c r="C209" s="1" t="n">
        <v>45172</v>
      </c>
      <c r="D209" t="inlineStr">
        <is>
          <t>VÄSTERBOTTENS LÄN</t>
        </is>
      </c>
      <c r="E209" t="inlineStr">
        <is>
          <t>UMEÅ</t>
        </is>
      </c>
      <c r="F209" t="inlineStr">
        <is>
          <t>Holmen skog AB</t>
        </is>
      </c>
      <c r="G209" t="n">
        <v>16.3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47111-2019</t>
        </is>
      </c>
      <c r="B210" s="1" t="n">
        <v>43720</v>
      </c>
      <c r="C210" s="1" t="n">
        <v>45172</v>
      </c>
      <c r="D210" t="inlineStr">
        <is>
          <t>VÄSTERBOTTENS LÄN</t>
        </is>
      </c>
      <c r="E210" t="inlineStr">
        <is>
          <t>UMEÅ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47110-2019</t>
        </is>
      </c>
      <c r="B211" s="1" t="n">
        <v>43720</v>
      </c>
      <c r="C211" s="1" t="n">
        <v>45172</v>
      </c>
      <c r="D211" t="inlineStr">
        <is>
          <t>VÄSTERBOTTENS LÄN</t>
        </is>
      </c>
      <c r="E211" t="inlineStr">
        <is>
          <t>UMEÅ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47708-2019</t>
        </is>
      </c>
      <c r="B212" s="1" t="n">
        <v>43724</v>
      </c>
      <c r="C212" s="1" t="n">
        <v>45172</v>
      </c>
      <c r="D212" t="inlineStr">
        <is>
          <t>VÄSTERBOTTENS LÄN</t>
        </is>
      </c>
      <c r="E212" t="inlineStr">
        <is>
          <t>UMEÅ</t>
        </is>
      </c>
      <c r="F212" t="inlineStr">
        <is>
          <t>Holmen skog AB</t>
        </is>
      </c>
      <c r="G212" t="n">
        <v>8.4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47601-2019</t>
        </is>
      </c>
      <c r="B213" s="1" t="n">
        <v>43724</v>
      </c>
      <c r="C213" s="1" t="n">
        <v>45172</v>
      </c>
      <c r="D213" t="inlineStr">
        <is>
          <t>VÄSTERBOTTENS LÄN</t>
        </is>
      </c>
      <c r="E213" t="inlineStr">
        <is>
          <t>UMEÅ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47573-2019</t>
        </is>
      </c>
      <c r="B214" s="1" t="n">
        <v>43724</v>
      </c>
      <c r="C214" s="1" t="n">
        <v>45172</v>
      </c>
      <c r="D214" t="inlineStr">
        <is>
          <t>VÄSTERBOTTENS LÄN</t>
        </is>
      </c>
      <c r="E214" t="inlineStr">
        <is>
          <t>UMEÅ</t>
        </is>
      </c>
      <c r="F214" t="inlineStr">
        <is>
          <t>Holmen skog AB</t>
        </is>
      </c>
      <c r="G214" t="n">
        <v>17.1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48558-2019</t>
        </is>
      </c>
      <c r="B215" s="1" t="n">
        <v>43727</v>
      </c>
      <c r="C215" s="1" t="n">
        <v>45172</v>
      </c>
      <c r="D215" t="inlineStr">
        <is>
          <t>VÄSTERBOTTENS LÄN</t>
        </is>
      </c>
      <c r="E215" t="inlineStr">
        <is>
          <t>UMEÅ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51751-2019</t>
        </is>
      </c>
      <c r="B216" s="1" t="n">
        <v>43734</v>
      </c>
      <c r="C216" s="1" t="n">
        <v>45172</v>
      </c>
      <c r="D216" t="inlineStr">
        <is>
          <t>VÄSTERBOTTENS LÄN</t>
        </is>
      </c>
      <c r="E216" t="inlineStr">
        <is>
          <t>UMEÅ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51743-2019</t>
        </is>
      </c>
      <c r="B217" s="1" t="n">
        <v>43734</v>
      </c>
      <c r="C217" s="1" t="n">
        <v>45172</v>
      </c>
      <c r="D217" t="inlineStr">
        <is>
          <t>VÄSTERBOTTENS LÄN</t>
        </is>
      </c>
      <c r="E217" t="inlineStr">
        <is>
          <t>UMEÅ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51555-2019</t>
        </is>
      </c>
      <c r="B218" s="1" t="n">
        <v>43734</v>
      </c>
      <c r="C218" s="1" t="n">
        <v>45172</v>
      </c>
      <c r="D218" t="inlineStr">
        <is>
          <t>VÄSTERBOTTENS LÄN</t>
        </is>
      </c>
      <c r="E218" t="inlineStr">
        <is>
          <t>UMEÅ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53203-2019</t>
        </is>
      </c>
      <c r="B219" s="1" t="n">
        <v>43735</v>
      </c>
      <c r="C219" s="1" t="n">
        <v>45172</v>
      </c>
      <c r="D219" t="inlineStr">
        <is>
          <t>VÄSTERBOTTENS LÄN</t>
        </is>
      </c>
      <c r="E219" t="inlineStr">
        <is>
          <t>UMEÅ</t>
        </is>
      </c>
      <c r="G219" t="n">
        <v>8.300000000000001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50793-2019</t>
        </is>
      </c>
      <c r="B220" s="1" t="n">
        <v>43738</v>
      </c>
      <c r="C220" s="1" t="n">
        <v>45172</v>
      </c>
      <c r="D220" t="inlineStr">
        <is>
          <t>VÄSTERBOTTENS LÄN</t>
        </is>
      </c>
      <c r="E220" t="inlineStr">
        <is>
          <t>UMEÅ</t>
        </is>
      </c>
      <c r="F220" t="inlineStr">
        <is>
          <t>Holmen skog AB</t>
        </is>
      </c>
      <c r="G220" t="n">
        <v>11.5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51087-2019</t>
        </is>
      </c>
      <c r="B221" s="1" t="n">
        <v>43739</v>
      </c>
      <c r="C221" s="1" t="n">
        <v>45172</v>
      </c>
      <c r="D221" t="inlineStr">
        <is>
          <t>VÄSTERBOTTENS LÄN</t>
        </is>
      </c>
      <c r="E221" t="inlineStr">
        <is>
          <t>UMEÅ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51077-2019</t>
        </is>
      </c>
      <c r="B222" s="1" t="n">
        <v>43739</v>
      </c>
      <c r="C222" s="1" t="n">
        <v>45172</v>
      </c>
      <c r="D222" t="inlineStr">
        <is>
          <t>VÄSTERBOTTENS LÄN</t>
        </is>
      </c>
      <c r="E222" t="inlineStr">
        <is>
          <t>UMEÅ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51124-2019</t>
        </is>
      </c>
      <c r="B223" s="1" t="n">
        <v>43739</v>
      </c>
      <c r="C223" s="1" t="n">
        <v>45172</v>
      </c>
      <c r="D223" t="inlineStr">
        <is>
          <t>VÄSTERBOTTENS LÄN</t>
        </is>
      </c>
      <c r="E223" t="inlineStr">
        <is>
          <t>UMEÅ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51767-2019</t>
        </is>
      </c>
      <c r="B224" s="1" t="n">
        <v>43741</v>
      </c>
      <c r="C224" s="1" t="n">
        <v>45172</v>
      </c>
      <c r="D224" t="inlineStr">
        <is>
          <t>VÄSTERBOTTENS LÄN</t>
        </is>
      </c>
      <c r="E224" t="inlineStr">
        <is>
          <t>UMEÅ</t>
        </is>
      </c>
      <c r="F224" t="inlineStr">
        <is>
          <t>Holmen skog AB</t>
        </is>
      </c>
      <c r="G224" t="n">
        <v>12.4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52024-2019</t>
        </is>
      </c>
      <c r="B225" s="1" t="n">
        <v>43742</v>
      </c>
      <c r="C225" s="1" t="n">
        <v>45172</v>
      </c>
      <c r="D225" t="inlineStr">
        <is>
          <t>VÄSTERBOTTENS LÄN</t>
        </is>
      </c>
      <c r="E225" t="inlineStr">
        <is>
          <t>UMEÅ</t>
        </is>
      </c>
      <c r="G225" t="n">
        <v>7.2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52475-2019</t>
        </is>
      </c>
      <c r="B226" s="1" t="n">
        <v>43745</v>
      </c>
      <c r="C226" s="1" t="n">
        <v>45172</v>
      </c>
      <c r="D226" t="inlineStr">
        <is>
          <t>VÄSTERBOTTENS LÄN</t>
        </is>
      </c>
      <c r="E226" t="inlineStr">
        <is>
          <t>UMEÅ</t>
        </is>
      </c>
      <c r="F226" t="inlineStr">
        <is>
          <t>Sveaskog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53268-2019</t>
        </is>
      </c>
      <c r="B227" s="1" t="n">
        <v>43748</v>
      </c>
      <c r="C227" s="1" t="n">
        <v>45172</v>
      </c>
      <c r="D227" t="inlineStr">
        <is>
          <t>VÄSTERBOTTENS LÄN</t>
        </is>
      </c>
      <c r="E227" t="inlineStr">
        <is>
          <t>UMEÅ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53813-2019</t>
        </is>
      </c>
      <c r="B228" s="1" t="n">
        <v>43751</v>
      </c>
      <c r="C228" s="1" t="n">
        <v>45172</v>
      </c>
      <c r="D228" t="inlineStr">
        <is>
          <t>VÄSTERBOTTENS LÄN</t>
        </is>
      </c>
      <c r="E228" t="inlineStr">
        <is>
          <t>UMEÅ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55275-2019</t>
        </is>
      </c>
      <c r="B229" s="1" t="n">
        <v>43753</v>
      </c>
      <c r="C229" s="1" t="n">
        <v>45172</v>
      </c>
      <c r="D229" t="inlineStr">
        <is>
          <t>VÄSTERBOTTENS LÄN</t>
        </is>
      </c>
      <c r="E229" t="inlineStr">
        <is>
          <t>UMEÅ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54880-2019</t>
        </is>
      </c>
      <c r="B230" s="1" t="n">
        <v>43755</v>
      </c>
      <c r="C230" s="1" t="n">
        <v>45172</v>
      </c>
      <c r="D230" t="inlineStr">
        <is>
          <t>VÄSTERBOTTENS LÄN</t>
        </is>
      </c>
      <c r="E230" t="inlineStr">
        <is>
          <t>UMEÅ</t>
        </is>
      </c>
      <c r="F230" t="inlineStr">
        <is>
          <t>Holmen skog AB</t>
        </is>
      </c>
      <c r="G230" t="n">
        <v>5.7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55906-2019</t>
        </is>
      </c>
      <c r="B231" s="1" t="n">
        <v>43755</v>
      </c>
      <c r="C231" s="1" t="n">
        <v>45172</v>
      </c>
      <c r="D231" t="inlineStr">
        <is>
          <t>VÄSTERBOTTENS LÄN</t>
        </is>
      </c>
      <c r="E231" t="inlineStr">
        <is>
          <t>UMEÅ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56088-2019</t>
        </is>
      </c>
      <c r="B232" s="1" t="n">
        <v>43755</v>
      </c>
      <c r="C232" s="1" t="n">
        <v>45172</v>
      </c>
      <c r="D232" t="inlineStr">
        <is>
          <t>VÄSTERBOTTENS LÄN</t>
        </is>
      </c>
      <c r="E232" t="inlineStr">
        <is>
          <t>UMEÅ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58338-2019</t>
        </is>
      </c>
      <c r="B233" s="1" t="n">
        <v>43770</v>
      </c>
      <c r="C233" s="1" t="n">
        <v>45172</v>
      </c>
      <c r="D233" t="inlineStr">
        <is>
          <t>VÄSTERBOTTENS LÄN</t>
        </is>
      </c>
      <c r="E233" t="inlineStr">
        <is>
          <t>UMEÅ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59757-2019</t>
        </is>
      </c>
      <c r="B234" s="1" t="n">
        <v>43776</v>
      </c>
      <c r="C234" s="1" t="n">
        <v>45172</v>
      </c>
      <c r="D234" t="inlineStr">
        <is>
          <t>VÄSTERBOTTENS LÄN</t>
        </is>
      </c>
      <c r="E234" t="inlineStr">
        <is>
          <t>UMEÅ</t>
        </is>
      </c>
      <c r="F234" t="inlineStr">
        <is>
          <t>Holmen skog AB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59459-2019</t>
        </is>
      </c>
      <c r="B235" s="1" t="n">
        <v>43776</v>
      </c>
      <c r="C235" s="1" t="n">
        <v>45172</v>
      </c>
      <c r="D235" t="inlineStr">
        <is>
          <t>VÄSTERBOTTENS LÄN</t>
        </is>
      </c>
      <c r="E235" t="inlineStr">
        <is>
          <t>UMEÅ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62298-2019</t>
        </is>
      </c>
      <c r="B236" s="1" t="n">
        <v>43782</v>
      </c>
      <c r="C236" s="1" t="n">
        <v>45172</v>
      </c>
      <c r="D236" t="inlineStr">
        <is>
          <t>VÄSTERBOTTENS LÄN</t>
        </is>
      </c>
      <c r="E236" t="inlineStr">
        <is>
          <t>UMEÅ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61231-2019</t>
        </is>
      </c>
      <c r="B237" s="1" t="n">
        <v>43782</v>
      </c>
      <c r="C237" s="1" t="n">
        <v>45172</v>
      </c>
      <c r="D237" t="inlineStr">
        <is>
          <t>VÄSTERBOTTENS LÄN</t>
        </is>
      </c>
      <c r="E237" t="inlineStr">
        <is>
          <t>UMEÅ</t>
        </is>
      </c>
      <c r="G237" t="n">
        <v>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62219-2019</t>
        </is>
      </c>
      <c r="B238" s="1" t="n">
        <v>43782</v>
      </c>
      <c r="C238" s="1" t="n">
        <v>45172</v>
      </c>
      <c r="D238" t="inlineStr">
        <is>
          <t>VÄSTERBOTTENS LÄN</t>
        </is>
      </c>
      <c r="E238" t="inlineStr">
        <is>
          <t>UMEÅ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61251-2019</t>
        </is>
      </c>
      <c r="B239" s="1" t="n">
        <v>43783</v>
      </c>
      <c r="C239" s="1" t="n">
        <v>45172</v>
      </c>
      <c r="D239" t="inlineStr">
        <is>
          <t>VÄSTERBOTTENS LÄN</t>
        </is>
      </c>
      <c r="E239" t="inlineStr">
        <is>
          <t>UMEÅ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61491-2019</t>
        </is>
      </c>
      <c r="B240" s="1" t="n">
        <v>43783</v>
      </c>
      <c r="C240" s="1" t="n">
        <v>45172</v>
      </c>
      <c r="D240" t="inlineStr">
        <is>
          <t>VÄSTERBOTTENS LÄN</t>
        </is>
      </c>
      <c r="E240" t="inlineStr">
        <is>
          <t>UMEÅ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61485-2019</t>
        </is>
      </c>
      <c r="B241" s="1" t="n">
        <v>43783</v>
      </c>
      <c r="C241" s="1" t="n">
        <v>45172</v>
      </c>
      <c r="D241" t="inlineStr">
        <is>
          <t>VÄSTERBOTTENS LÄN</t>
        </is>
      </c>
      <c r="E241" t="inlineStr">
        <is>
          <t>UMEÅ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63424-2019</t>
        </is>
      </c>
      <c r="B242" s="1" t="n">
        <v>43787</v>
      </c>
      <c r="C242" s="1" t="n">
        <v>45172</v>
      </c>
      <c r="D242" t="inlineStr">
        <is>
          <t>VÄSTERBOTTENS LÄN</t>
        </is>
      </c>
      <c r="E242" t="inlineStr">
        <is>
          <t>UMEÅ</t>
        </is>
      </c>
      <c r="F242" t="inlineStr">
        <is>
          <t>SCA</t>
        </is>
      </c>
      <c r="G242" t="n">
        <v>5.6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62228-2019</t>
        </is>
      </c>
      <c r="B243" s="1" t="n">
        <v>43788</v>
      </c>
      <c r="C243" s="1" t="n">
        <v>45172</v>
      </c>
      <c r="D243" t="inlineStr">
        <is>
          <t>VÄSTERBOTTENS LÄN</t>
        </is>
      </c>
      <c r="E243" t="inlineStr">
        <is>
          <t>UMEÅ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62229-2019</t>
        </is>
      </c>
      <c r="B244" s="1" t="n">
        <v>43788</v>
      </c>
      <c r="C244" s="1" t="n">
        <v>45172</v>
      </c>
      <c r="D244" t="inlineStr">
        <is>
          <t>VÄSTERBOTTENS LÄN</t>
        </is>
      </c>
      <c r="E244" t="inlineStr">
        <is>
          <t>UMEÅ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62268-2019</t>
        </is>
      </c>
      <c r="B245" s="1" t="n">
        <v>43788</v>
      </c>
      <c r="C245" s="1" t="n">
        <v>45172</v>
      </c>
      <c r="D245" t="inlineStr">
        <is>
          <t>VÄSTERBOTTENS LÄN</t>
        </is>
      </c>
      <c r="E245" t="inlineStr">
        <is>
          <t>UMEÅ</t>
        </is>
      </c>
      <c r="F245" t="inlineStr">
        <is>
          <t>Holmen skog AB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63617-2019</t>
        </is>
      </c>
      <c r="B246" s="1" t="n">
        <v>43788</v>
      </c>
      <c r="C246" s="1" t="n">
        <v>45172</v>
      </c>
      <c r="D246" t="inlineStr">
        <is>
          <t>VÄSTERBOTTENS LÄN</t>
        </is>
      </c>
      <c r="E246" t="inlineStr">
        <is>
          <t>UMEÅ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63559-2019</t>
        </is>
      </c>
      <c r="B247" s="1" t="n">
        <v>43795</v>
      </c>
      <c r="C247" s="1" t="n">
        <v>45172</v>
      </c>
      <c r="D247" t="inlineStr">
        <is>
          <t>VÄSTERBOTTENS LÄN</t>
        </is>
      </c>
      <c r="E247" t="inlineStr">
        <is>
          <t>UMEÅ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64078-2019</t>
        </is>
      </c>
      <c r="B248" s="1" t="n">
        <v>43796</v>
      </c>
      <c r="C248" s="1" t="n">
        <v>45172</v>
      </c>
      <c r="D248" t="inlineStr">
        <is>
          <t>VÄSTERBOTTENS LÄN</t>
        </is>
      </c>
      <c r="E248" t="inlineStr">
        <is>
          <t>UMEÅ</t>
        </is>
      </c>
      <c r="F248" t="inlineStr">
        <is>
          <t>Holmen skog AB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65020-2019</t>
        </is>
      </c>
      <c r="B249" s="1" t="n">
        <v>43801</v>
      </c>
      <c r="C249" s="1" t="n">
        <v>45172</v>
      </c>
      <c r="D249" t="inlineStr">
        <is>
          <t>VÄSTERBOTTENS LÄN</t>
        </is>
      </c>
      <c r="E249" t="inlineStr">
        <is>
          <t>UMEÅ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66120-2019</t>
        </is>
      </c>
      <c r="B250" s="1" t="n">
        <v>43801</v>
      </c>
      <c r="C250" s="1" t="n">
        <v>45172</v>
      </c>
      <c r="D250" t="inlineStr">
        <is>
          <t>VÄSTERBOTTENS LÄN</t>
        </is>
      </c>
      <c r="E250" t="inlineStr">
        <is>
          <t>UMEÅ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66124-2019</t>
        </is>
      </c>
      <c r="B251" s="1" t="n">
        <v>43801</v>
      </c>
      <c r="C251" s="1" t="n">
        <v>45172</v>
      </c>
      <c r="D251" t="inlineStr">
        <is>
          <t>VÄSTERBOTTENS LÄN</t>
        </is>
      </c>
      <c r="E251" t="inlineStr">
        <is>
          <t>UMEÅ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64785-2019</t>
        </is>
      </c>
      <c r="B252" s="1" t="n">
        <v>43801</v>
      </c>
      <c r="C252" s="1" t="n">
        <v>45172</v>
      </c>
      <c r="D252" t="inlineStr">
        <is>
          <t>VÄSTERBOTTENS LÄN</t>
        </is>
      </c>
      <c r="E252" t="inlineStr">
        <is>
          <t>UMEÅ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65227-2019</t>
        </is>
      </c>
      <c r="B253" s="1" t="n">
        <v>43802</v>
      </c>
      <c r="C253" s="1" t="n">
        <v>45172</v>
      </c>
      <c r="D253" t="inlineStr">
        <is>
          <t>VÄSTERBOTTENS LÄN</t>
        </is>
      </c>
      <c r="E253" t="inlineStr">
        <is>
          <t>UMEÅ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66471-2019</t>
        </is>
      </c>
      <c r="B254" s="1" t="n">
        <v>43802</v>
      </c>
      <c r="C254" s="1" t="n">
        <v>45172</v>
      </c>
      <c r="D254" t="inlineStr">
        <is>
          <t>VÄSTERBOTTENS LÄN</t>
        </is>
      </c>
      <c r="E254" t="inlineStr">
        <is>
          <t>UMEÅ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66455-2019</t>
        </is>
      </c>
      <c r="B255" s="1" t="n">
        <v>43802</v>
      </c>
      <c r="C255" s="1" t="n">
        <v>45172</v>
      </c>
      <c r="D255" t="inlineStr">
        <is>
          <t>VÄSTERBOTTENS LÄN</t>
        </is>
      </c>
      <c r="E255" t="inlineStr">
        <is>
          <t>UMEÅ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65840-2019</t>
        </is>
      </c>
      <c r="B256" s="1" t="n">
        <v>43805</v>
      </c>
      <c r="C256" s="1" t="n">
        <v>45172</v>
      </c>
      <c r="D256" t="inlineStr">
        <is>
          <t>VÄSTERBOTTENS LÄN</t>
        </is>
      </c>
      <c r="E256" t="inlineStr">
        <is>
          <t>UMEÅ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65851-2019</t>
        </is>
      </c>
      <c r="B257" s="1" t="n">
        <v>43805</v>
      </c>
      <c r="C257" s="1" t="n">
        <v>45172</v>
      </c>
      <c r="D257" t="inlineStr">
        <is>
          <t>VÄSTERBOTTENS LÄN</t>
        </is>
      </c>
      <c r="E257" t="inlineStr">
        <is>
          <t>UMEÅ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66990-2019</t>
        </is>
      </c>
      <c r="B258" s="1" t="n">
        <v>43805</v>
      </c>
      <c r="C258" s="1" t="n">
        <v>45172</v>
      </c>
      <c r="D258" t="inlineStr">
        <is>
          <t>VÄSTERBOTTENS LÄN</t>
        </is>
      </c>
      <c r="E258" t="inlineStr">
        <is>
          <t>UMEÅ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67659-2019</t>
        </is>
      </c>
      <c r="B259" s="1" t="n">
        <v>43815</v>
      </c>
      <c r="C259" s="1" t="n">
        <v>45172</v>
      </c>
      <c r="D259" t="inlineStr">
        <is>
          <t>VÄSTERBOTTENS LÄN</t>
        </is>
      </c>
      <c r="E259" t="inlineStr">
        <is>
          <t>UMEÅ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68858-2019</t>
        </is>
      </c>
      <c r="B260" s="1" t="n">
        <v>43820</v>
      </c>
      <c r="C260" s="1" t="n">
        <v>45172</v>
      </c>
      <c r="D260" t="inlineStr">
        <is>
          <t>VÄSTERBOTTENS LÄN</t>
        </is>
      </c>
      <c r="E260" t="inlineStr">
        <is>
          <t>UMEÅ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3108-2020</t>
        </is>
      </c>
      <c r="B261" s="1" t="n">
        <v>43843</v>
      </c>
      <c r="C261" s="1" t="n">
        <v>45172</v>
      </c>
      <c r="D261" t="inlineStr">
        <is>
          <t>VÄSTERBOTTENS LÄN</t>
        </is>
      </c>
      <c r="E261" t="inlineStr">
        <is>
          <t>UMEÅ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1601-2020</t>
        </is>
      </c>
      <c r="B262" s="1" t="n">
        <v>43844</v>
      </c>
      <c r="C262" s="1" t="n">
        <v>45172</v>
      </c>
      <c r="D262" t="inlineStr">
        <is>
          <t>VÄSTERBOTTENS LÄN</t>
        </is>
      </c>
      <c r="E262" t="inlineStr">
        <is>
          <t>UMEÅ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5022-2020</t>
        </is>
      </c>
      <c r="B263" s="1" t="n">
        <v>43853</v>
      </c>
      <c r="C263" s="1" t="n">
        <v>45172</v>
      </c>
      <c r="D263" t="inlineStr">
        <is>
          <t>VÄSTERBOTTENS LÄN</t>
        </is>
      </c>
      <c r="E263" t="inlineStr">
        <is>
          <t>UMEÅ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4771-2020</t>
        </is>
      </c>
      <c r="B264" s="1" t="n">
        <v>43859</v>
      </c>
      <c r="C264" s="1" t="n">
        <v>45172</v>
      </c>
      <c r="D264" t="inlineStr">
        <is>
          <t>VÄSTERBOTTENS LÄN</t>
        </is>
      </c>
      <c r="E264" t="inlineStr">
        <is>
          <t>UMEÅ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8187-2020</t>
        </is>
      </c>
      <c r="B265" s="1" t="n">
        <v>43873</v>
      </c>
      <c r="C265" s="1" t="n">
        <v>45172</v>
      </c>
      <c r="D265" t="inlineStr">
        <is>
          <t>VÄSTERBOTTENS LÄN</t>
        </is>
      </c>
      <c r="E265" t="inlineStr">
        <is>
          <t>UMEÅ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11084-2020</t>
        </is>
      </c>
      <c r="B266" s="1" t="n">
        <v>43885</v>
      </c>
      <c r="C266" s="1" t="n">
        <v>45172</v>
      </c>
      <c r="D266" t="inlineStr">
        <is>
          <t>VÄSTERBOTTENS LÄN</t>
        </is>
      </c>
      <c r="E266" t="inlineStr">
        <is>
          <t>UMEÅ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11087-2020</t>
        </is>
      </c>
      <c r="B267" s="1" t="n">
        <v>43885</v>
      </c>
      <c r="C267" s="1" t="n">
        <v>45172</v>
      </c>
      <c r="D267" t="inlineStr">
        <is>
          <t>VÄSTERBOTTENS LÄN</t>
        </is>
      </c>
      <c r="E267" t="inlineStr">
        <is>
          <t>UMEÅ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11085-2020</t>
        </is>
      </c>
      <c r="B268" s="1" t="n">
        <v>43885</v>
      </c>
      <c r="C268" s="1" t="n">
        <v>45172</v>
      </c>
      <c r="D268" t="inlineStr">
        <is>
          <t>VÄSTERBOTTENS LÄN</t>
        </is>
      </c>
      <c r="E268" t="inlineStr">
        <is>
          <t>UMEÅ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11495-2020</t>
        </is>
      </c>
      <c r="B269" s="1" t="n">
        <v>43887</v>
      </c>
      <c r="C269" s="1" t="n">
        <v>45172</v>
      </c>
      <c r="D269" t="inlineStr">
        <is>
          <t>VÄSTERBOTTENS LÄN</t>
        </is>
      </c>
      <c r="E269" t="inlineStr">
        <is>
          <t>UMEÅ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10745-2020</t>
        </is>
      </c>
      <c r="B270" s="1" t="n">
        <v>43888</v>
      </c>
      <c r="C270" s="1" t="n">
        <v>45172</v>
      </c>
      <c r="D270" t="inlineStr">
        <is>
          <t>VÄSTERBOTTENS LÄN</t>
        </is>
      </c>
      <c r="E270" t="inlineStr">
        <is>
          <t>UMEÅ</t>
        </is>
      </c>
      <c r="F270" t="inlineStr">
        <is>
          <t>Holmen skog AB</t>
        </is>
      </c>
      <c r="G270" t="n">
        <v>29.5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11888-2020</t>
        </is>
      </c>
      <c r="B271" s="1" t="n">
        <v>43888</v>
      </c>
      <c r="C271" s="1" t="n">
        <v>45172</v>
      </c>
      <c r="D271" t="inlineStr">
        <is>
          <t>VÄSTERBOTTENS LÄN</t>
        </is>
      </c>
      <c r="E271" t="inlineStr">
        <is>
          <t>UMEÅ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11947-2020</t>
        </is>
      </c>
      <c r="B272" s="1" t="n">
        <v>43889</v>
      </c>
      <c r="C272" s="1" t="n">
        <v>45172</v>
      </c>
      <c r="D272" t="inlineStr">
        <is>
          <t>VÄSTERBOTTENS LÄN</t>
        </is>
      </c>
      <c r="E272" t="inlineStr">
        <is>
          <t>UMEÅ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16540-2020</t>
        </is>
      </c>
      <c r="B273" s="1" t="n">
        <v>43909</v>
      </c>
      <c r="C273" s="1" t="n">
        <v>45172</v>
      </c>
      <c r="D273" t="inlineStr">
        <is>
          <t>VÄSTERBOTTENS LÄN</t>
        </is>
      </c>
      <c r="E273" t="inlineStr">
        <is>
          <t>UMEÅ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15095-2020</t>
        </is>
      </c>
      <c r="B274" s="1" t="n">
        <v>43910</v>
      </c>
      <c r="C274" s="1" t="n">
        <v>45172</v>
      </c>
      <c r="D274" t="inlineStr">
        <is>
          <t>VÄSTERBOTTENS LÄN</t>
        </is>
      </c>
      <c r="E274" t="inlineStr">
        <is>
          <t>UMEÅ</t>
        </is>
      </c>
      <c r="G274" t="n">
        <v>4.4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16823-2020</t>
        </is>
      </c>
      <c r="B275" s="1" t="n">
        <v>43913</v>
      </c>
      <c r="C275" s="1" t="n">
        <v>45172</v>
      </c>
      <c r="D275" t="inlineStr">
        <is>
          <t>VÄSTERBOTTENS LÄN</t>
        </is>
      </c>
      <c r="E275" t="inlineStr">
        <is>
          <t>UMEÅ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17016-2020</t>
        </is>
      </c>
      <c r="B276" s="1" t="n">
        <v>43921</v>
      </c>
      <c r="C276" s="1" t="n">
        <v>45172</v>
      </c>
      <c r="D276" t="inlineStr">
        <is>
          <t>VÄSTERBOTTENS LÄN</t>
        </is>
      </c>
      <c r="E276" t="inlineStr">
        <is>
          <t>UMEÅ</t>
        </is>
      </c>
      <c r="G276" t="n">
        <v>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16868-2020</t>
        </is>
      </c>
      <c r="B277" s="1" t="n">
        <v>43921</v>
      </c>
      <c r="C277" s="1" t="n">
        <v>45172</v>
      </c>
      <c r="D277" t="inlineStr">
        <is>
          <t>VÄSTERBOTTENS LÄN</t>
        </is>
      </c>
      <c r="E277" t="inlineStr">
        <is>
          <t>UMEÅ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18233-2020</t>
        </is>
      </c>
      <c r="B278" s="1" t="n">
        <v>43928</v>
      </c>
      <c r="C278" s="1" t="n">
        <v>45172</v>
      </c>
      <c r="D278" t="inlineStr">
        <is>
          <t>VÄSTERBOTTENS LÄN</t>
        </is>
      </c>
      <c r="E278" t="inlineStr">
        <is>
          <t>UMEÅ</t>
        </is>
      </c>
      <c r="G278" t="n">
        <v>26.8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18636-2020</t>
        </is>
      </c>
      <c r="B279" s="1" t="n">
        <v>43928</v>
      </c>
      <c r="C279" s="1" t="n">
        <v>45172</v>
      </c>
      <c r="D279" t="inlineStr">
        <is>
          <t>VÄSTERBOTTENS LÄN</t>
        </is>
      </c>
      <c r="E279" t="inlineStr">
        <is>
          <t>UMEÅ</t>
        </is>
      </c>
      <c r="G279" t="n">
        <v>15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18908-2020</t>
        </is>
      </c>
      <c r="B280" s="1" t="n">
        <v>43930</v>
      </c>
      <c r="C280" s="1" t="n">
        <v>45172</v>
      </c>
      <c r="D280" t="inlineStr">
        <is>
          <t>VÄSTERBOTTENS LÄN</t>
        </is>
      </c>
      <c r="E280" t="inlineStr">
        <is>
          <t>UMEÅ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19541-2020</t>
        </is>
      </c>
      <c r="B281" s="1" t="n">
        <v>43941</v>
      </c>
      <c r="C281" s="1" t="n">
        <v>45172</v>
      </c>
      <c r="D281" t="inlineStr">
        <is>
          <t>VÄSTERBOTTENS LÄN</t>
        </is>
      </c>
      <c r="E281" t="inlineStr">
        <is>
          <t>UMEÅ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19580-2020</t>
        </is>
      </c>
      <c r="B282" s="1" t="n">
        <v>43941</v>
      </c>
      <c r="C282" s="1" t="n">
        <v>45172</v>
      </c>
      <c r="D282" t="inlineStr">
        <is>
          <t>VÄSTERBOTTENS LÄN</t>
        </is>
      </c>
      <c r="E282" t="inlineStr">
        <is>
          <t>UMEÅ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19767-2020</t>
        </is>
      </c>
      <c r="B283" s="1" t="n">
        <v>43942</v>
      </c>
      <c r="C283" s="1" t="n">
        <v>45172</v>
      </c>
      <c r="D283" t="inlineStr">
        <is>
          <t>VÄSTERBOTTENS LÄN</t>
        </is>
      </c>
      <c r="E283" t="inlineStr">
        <is>
          <t>UMEÅ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20288-2020</t>
        </is>
      </c>
      <c r="B284" s="1" t="n">
        <v>43945</v>
      </c>
      <c r="C284" s="1" t="n">
        <v>45172</v>
      </c>
      <c r="D284" t="inlineStr">
        <is>
          <t>VÄSTERBOTTENS LÄN</t>
        </is>
      </c>
      <c r="E284" t="inlineStr">
        <is>
          <t>UMEÅ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20956-2020</t>
        </is>
      </c>
      <c r="B285" s="1" t="n">
        <v>43950</v>
      </c>
      <c r="C285" s="1" t="n">
        <v>45172</v>
      </c>
      <c r="D285" t="inlineStr">
        <is>
          <t>VÄSTERBOTTENS LÄN</t>
        </is>
      </c>
      <c r="E285" t="inlineStr">
        <is>
          <t>UMEÅ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21235-2020</t>
        </is>
      </c>
      <c r="B286" s="1" t="n">
        <v>43952</v>
      </c>
      <c r="C286" s="1" t="n">
        <v>45172</v>
      </c>
      <c r="D286" t="inlineStr">
        <is>
          <t>VÄSTERBOTTENS LÄN</t>
        </is>
      </c>
      <c r="E286" t="inlineStr">
        <is>
          <t>UMEÅ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21288-2020</t>
        </is>
      </c>
      <c r="B287" s="1" t="n">
        <v>43955</v>
      </c>
      <c r="C287" s="1" t="n">
        <v>45172</v>
      </c>
      <c r="D287" t="inlineStr">
        <is>
          <t>VÄSTERBOTTENS LÄN</t>
        </is>
      </c>
      <c r="E287" t="inlineStr">
        <is>
          <t>UMEÅ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22030-2020</t>
        </is>
      </c>
      <c r="B288" s="1" t="n">
        <v>43959</v>
      </c>
      <c r="C288" s="1" t="n">
        <v>45172</v>
      </c>
      <c r="D288" t="inlineStr">
        <is>
          <t>VÄSTERBOTTENS LÄN</t>
        </is>
      </c>
      <c r="E288" t="inlineStr">
        <is>
          <t>UMEÅ</t>
        </is>
      </c>
      <c r="F288" t="inlineStr">
        <is>
          <t>Holmen skog AB</t>
        </is>
      </c>
      <c r="G288" t="n">
        <v>12.5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22142-2020</t>
        </is>
      </c>
      <c r="B289" s="1" t="n">
        <v>43961</v>
      </c>
      <c r="C289" s="1" t="n">
        <v>45172</v>
      </c>
      <c r="D289" t="inlineStr">
        <is>
          <t>VÄSTERBOTTENS LÄN</t>
        </is>
      </c>
      <c r="E289" t="inlineStr">
        <is>
          <t>UMEÅ</t>
        </is>
      </c>
      <c r="G289" t="n">
        <v>0.2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22136-2020</t>
        </is>
      </c>
      <c r="B290" s="1" t="n">
        <v>43961</v>
      </c>
      <c r="C290" s="1" t="n">
        <v>45172</v>
      </c>
      <c r="D290" t="inlineStr">
        <is>
          <t>VÄSTERBOTTENS LÄN</t>
        </is>
      </c>
      <c r="E290" t="inlineStr">
        <is>
          <t>UMEÅ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22436-2020</t>
        </is>
      </c>
      <c r="B291" s="1" t="n">
        <v>43963</v>
      </c>
      <c r="C291" s="1" t="n">
        <v>45172</v>
      </c>
      <c r="D291" t="inlineStr">
        <is>
          <t>VÄSTERBOTTENS LÄN</t>
        </is>
      </c>
      <c r="E291" t="inlineStr">
        <is>
          <t>UMEÅ</t>
        </is>
      </c>
      <c r="F291" t="inlineStr">
        <is>
          <t>Holmen skog AB</t>
        </is>
      </c>
      <c r="G291" t="n">
        <v>14.3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22423-2020</t>
        </is>
      </c>
      <c r="B292" s="1" t="n">
        <v>43963</v>
      </c>
      <c r="C292" s="1" t="n">
        <v>45172</v>
      </c>
      <c r="D292" t="inlineStr">
        <is>
          <t>VÄSTERBOTTENS LÄN</t>
        </is>
      </c>
      <c r="E292" t="inlineStr">
        <is>
          <t>UMEÅ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22442-2020</t>
        </is>
      </c>
      <c r="B293" s="1" t="n">
        <v>43963</v>
      </c>
      <c r="C293" s="1" t="n">
        <v>45172</v>
      </c>
      <c r="D293" t="inlineStr">
        <is>
          <t>VÄSTERBOTTENS LÄN</t>
        </is>
      </c>
      <c r="E293" t="inlineStr">
        <is>
          <t>UMEÅ</t>
        </is>
      </c>
      <c r="F293" t="inlineStr">
        <is>
          <t>Holmen skog AB</t>
        </is>
      </c>
      <c r="G293" t="n">
        <v>14.3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22975-2020</t>
        </is>
      </c>
      <c r="B294" s="1" t="n">
        <v>43965</v>
      </c>
      <c r="C294" s="1" t="n">
        <v>45172</v>
      </c>
      <c r="D294" t="inlineStr">
        <is>
          <t>VÄSTERBOTTENS LÄN</t>
        </is>
      </c>
      <c r="E294" t="inlineStr">
        <is>
          <t>UMEÅ</t>
        </is>
      </c>
      <c r="G294" t="n">
        <v>27.5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22956-2020</t>
        </is>
      </c>
      <c r="B295" s="1" t="n">
        <v>43965</v>
      </c>
      <c r="C295" s="1" t="n">
        <v>45172</v>
      </c>
      <c r="D295" t="inlineStr">
        <is>
          <t>VÄSTERBOTTENS LÄN</t>
        </is>
      </c>
      <c r="E295" t="inlineStr">
        <is>
          <t>UMEÅ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23106-2020</t>
        </is>
      </c>
      <c r="B296" s="1" t="n">
        <v>43965</v>
      </c>
      <c r="C296" s="1" t="n">
        <v>45172</v>
      </c>
      <c r="D296" t="inlineStr">
        <is>
          <t>VÄSTERBOTTENS LÄN</t>
        </is>
      </c>
      <c r="E296" t="inlineStr">
        <is>
          <t>UMEÅ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23193-2020</t>
        </is>
      </c>
      <c r="B297" s="1" t="n">
        <v>43966</v>
      </c>
      <c r="C297" s="1" t="n">
        <v>45172</v>
      </c>
      <c r="D297" t="inlineStr">
        <is>
          <t>VÄSTERBOTTENS LÄN</t>
        </is>
      </c>
      <c r="E297" t="inlineStr">
        <is>
          <t>UMEÅ</t>
        </is>
      </c>
      <c r="F297" t="inlineStr">
        <is>
          <t>Holmen skog AB</t>
        </is>
      </c>
      <c r="G297" t="n">
        <v>25.9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23487-2020</t>
        </is>
      </c>
      <c r="B298" s="1" t="n">
        <v>43966</v>
      </c>
      <c r="C298" s="1" t="n">
        <v>45172</v>
      </c>
      <c r="D298" t="inlineStr">
        <is>
          <t>VÄSTERBOTTENS LÄN</t>
        </is>
      </c>
      <c r="E298" t="inlineStr">
        <is>
          <t>UMEÅ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23489-2020</t>
        </is>
      </c>
      <c r="B299" s="1" t="n">
        <v>43966</v>
      </c>
      <c r="C299" s="1" t="n">
        <v>45172</v>
      </c>
      <c r="D299" t="inlineStr">
        <is>
          <t>VÄSTERBOTTENS LÄN</t>
        </is>
      </c>
      <c r="E299" t="inlineStr">
        <is>
          <t>UMEÅ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24258-2020</t>
        </is>
      </c>
      <c r="B300" s="1" t="n">
        <v>43976</v>
      </c>
      <c r="C300" s="1" t="n">
        <v>45172</v>
      </c>
      <c r="D300" t="inlineStr">
        <is>
          <t>VÄSTERBOTTENS LÄN</t>
        </is>
      </c>
      <c r="E300" t="inlineStr">
        <is>
          <t>UMEÅ</t>
        </is>
      </c>
      <c r="F300" t="inlineStr">
        <is>
          <t>Kommuner</t>
        </is>
      </c>
      <c r="G300" t="n">
        <v>17.4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24715-2020</t>
        </is>
      </c>
      <c r="B301" s="1" t="n">
        <v>43978</v>
      </c>
      <c r="C301" s="1" t="n">
        <v>45172</v>
      </c>
      <c r="D301" t="inlineStr">
        <is>
          <t>VÄSTERBOTTENS LÄN</t>
        </is>
      </c>
      <c r="E301" t="inlineStr">
        <is>
          <t>UMEÅ</t>
        </is>
      </c>
      <c r="F301" t="inlineStr">
        <is>
          <t>Holmen skog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25178-2020</t>
        </is>
      </c>
      <c r="B302" s="1" t="n">
        <v>43980</v>
      </c>
      <c r="C302" s="1" t="n">
        <v>45172</v>
      </c>
      <c r="D302" t="inlineStr">
        <is>
          <t>VÄSTERBOTTENS LÄN</t>
        </is>
      </c>
      <c r="E302" t="inlineStr">
        <is>
          <t>UMEÅ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26362-2020</t>
        </is>
      </c>
      <c r="B303" s="1" t="n">
        <v>43986</v>
      </c>
      <c r="C303" s="1" t="n">
        <v>45172</v>
      </c>
      <c r="D303" t="inlineStr">
        <is>
          <t>VÄSTERBOTTENS LÄN</t>
        </is>
      </c>
      <c r="E303" t="inlineStr">
        <is>
          <t>UMEÅ</t>
        </is>
      </c>
      <c r="F303" t="inlineStr">
        <is>
          <t>Holmen skog AB</t>
        </is>
      </c>
      <c r="G303" t="n">
        <v>9.699999999999999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26580-2020</t>
        </is>
      </c>
      <c r="B304" s="1" t="n">
        <v>43986</v>
      </c>
      <c r="C304" s="1" t="n">
        <v>45172</v>
      </c>
      <c r="D304" t="inlineStr">
        <is>
          <t>VÄSTERBOTTENS LÄN</t>
        </is>
      </c>
      <c r="E304" t="inlineStr">
        <is>
          <t>UMEÅ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26988-2020</t>
        </is>
      </c>
      <c r="B305" s="1" t="n">
        <v>43991</v>
      </c>
      <c r="C305" s="1" t="n">
        <v>45172</v>
      </c>
      <c r="D305" t="inlineStr">
        <is>
          <t>VÄSTERBOTTENS LÄN</t>
        </is>
      </c>
      <c r="E305" t="inlineStr">
        <is>
          <t>UMEÅ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28039-2020</t>
        </is>
      </c>
      <c r="B306" s="1" t="n">
        <v>43993</v>
      </c>
      <c r="C306" s="1" t="n">
        <v>45172</v>
      </c>
      <c r="D306" t="inlineStr">
        <is>
          <t>VÄSTERBOTTENS LÄN</t>
        </is>
      </c>
      <c r="E306" t="inlineStr">
        <is>
          <t>UMEÅ</t>
        </is>
      </c>
      <c r="G306" t="n">
        <v>9.4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29026-2020</t>
        </is>
      </c>
      <c r="B307" s="1" t="n">
        <v>43999</v>
      </c>
      <c r="C307" s="1" t="n">
        <v>45172</v>
      </c>
      <c r="D307" t="inlineStr">
        <is>
          <t>VÄSTERBOTTENS LÄN</t>
        </is>
      </c>
      <c r="E307" t="inlineStr">
        <is>
          <t>UMEÅ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29252-2020</t>
        </is>
      </c>
      <c r="B308" s="1" t="n">
        <v>44000</v>
      </c>
      <c r="C308" s="1" t="n">
        <v>45172</v>
      </c>
      <c r="D308" t="inlineStr">
        <is>
          <t>VÄSTERBOTTENS LÄN</t>
        </is>
      </c>
      <c r="E308" t="inlineStr">
        <is>
          <t>UMEÅ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29720-2020</t>
        </is>
      </c>
      <c r="B309" s="1" t="n">
        <v>44005</v>
      </c>
      <c r="C309" s="1" t="n">
        <v>45172</v>
      </c>
      <c r="D309" t="inlineStr">
        <is>
          <t>VÄSTERBOTTENS LÄN</t>
        </is>
      </c>
      <c r="E309" t="inlineStr">
        <is>
          <t>UMEÅ</t>
        </is>
      </c>
      <c r="F309" t="inlineStr">
        <is>
          <t>Holmen skog AB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29735-2020</t>
        </is>
      </c>
      <c r="B310" s="1" t="n">
        <v>44005</v>
      </c>
      <c r="C310" s="1" t="n">
        <v>45172</v>
      </c>
      <c r="D310" t="inlineStr">
        <is>
          <t>VÄSTERBOTTENS LÄN</t>
        </is>
      </c>
      <c r="E310" t="inlineStr">
        <is>
          <t>UMEÅ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29734-2020</t>
        </is>
      </c>
      <c r="B311" s="1" t="n">
        <v>44005</v>
      </c>
      <c r="C311" s="1" t="n">
        <v>45172</v>
      </c>
      <c r="D311" t="inlineStr">
        <is>
          <t>VÄSTERBOTTENS LÄN</t>
        </is>
      </c>
      <c r="E311" t="inlineStr">
        <is>
          <t>UMEÅ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30234-2020</t>
        </is>
      </c>
      <c r="B312" s="1" t="n">
        <v>44006</v>
      </c>
      <c r="C312" s="1" t="n">
        <v>45172</v>
      </c>
      <c r="D312" t="inlineStr">
        <is>
          <t>VÄSTERBOTTENS LÄN</t>
        </is>
      </c>
      <c r="E312" t="inlineStr">
        <is>
          <t>UMEÅ</t>
        </is>
      </c>
      <c r="G312" t="n">
        <v>8.4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30555-2020</t>
        </is>
      </c>
      <c r="B313" s="1" t="n">
        <v>44008</v>
      </c>
      <c r="C313" s="1" t="n">
        <v>45172</v>
      </c>
      <c r="D313" t="inlineStr">
        <is>
          <t>VÄSTERBOTTENS LÄN</t>
        </is>
      </c>
      <c r="E313" t="inlineStr">
        <is>
          <t>UMEÅ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30632-2020</t>
        </is>
      </c>
      <c r="B314" s="1" t="n">
        <v>44008</v>
      </c>
      <c r="C314" s="1" t="n">
        <v>45172</v>
      </c>
      <c r="D314" t="inlineStr">
        <is>
          <t>VÄSTERBOTTENS LÄN</t>
        </is>
      </c>
      <c r="E314" t="inlineStr">
        <is>
          <t>UMEÅ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30861-2020</t>
        </is>
      </c>
      <c r="B315" s="1" t="n">
        <v>44011</v>
      </c>
      <c r="C315" s="1" t="n">
        <v>45172</v>
      </c>
      <c r="D315" t="inlineStr">
        <is>
          <t>VÄSTERBOTTENS LÄN</t>
        </is>
      </c>
      <c r="E315" t="inlineStr">
        <is>
          <t>UMEÅ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31237-2020</t>
        </is>
      </c>
      <c r="B316" s="1" t="n">
        <v>44012</v>
      </c>
      <c r="C316" s="1" t="n">
        <v>45172</v>
      </c>
      <c r="D316" t="inlineStr">
        <is>
          <t>VÄSTERBOTTENS LÄN</t>
        </is>
      </c>
      <c r="E316" t="inlineStr">
        <is>
          <t>UMEÅ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32571-2020</t>
        </is>
      </c>
      <c r="B317" s="1" t="n">
        <v>44018</v>
      </c>
      <c r="C317" s="1" t="n">
        <v>45172</v>
      </c>
      <c r="D317" t="inlineStr">
        <is>
          <t>VÄSTERBOTTENS LÄN</t>
        </is>
      </c>
      <c r="E317" t="inlineStr">
        <is>
          <t>UMEÅ</t>
        </is>
      </c>
      <c r="F317" t="inlineStr">
        <is>
          <t>Holmen skog AB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33021-2020</t>
        </is>
      </c>
      <c r="B318" s="1" t="n">
        <v>44019</v>
      </c>
      <c r="C318" s="1" t="n">
        <v>45172</v>
      </c>
      <c r="D318" t="inlineStr">
        <is>
          <t>VÄSTERBOTTENS LÄN</t>
        </is>
      </c>
      <c r="E318" t="inlineStr">
        <is>
          <t>UMEÅ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33574-2020</t>
        </is>
      </c>
      <c r="B319" s="1" t="n">
        <v>44021</v>
      </c>
      <c r="C319" s="1" t="n">
        <v>45172</v>
      </c>
      <c r="D319" t="inlineStr">
        <is>
          <t>VÄSTERBOTTENS LÄN</t>
        </is>
      </c>
      <c r="E319" t="inlineStr">
        <is>
          <t>UMEÅ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35687-2020</t>
        </is>
      </c>
      <c r="B320" s="1" t="n">
        <v>44046</v>
      </c>
      <c r="C320" s="1" t="n">
        <v>45172</v>
      </c>
      <c r="D320" t="inlineStr">
        <is>
          <t>VÄSTERBOTTENS LÄN</t>
        </is>
      </c>
      <c r="E320" t="inlineStr">
        <is>
          <t>UMEÅ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36531-2020</t>
        </is>
      </c>
      <c r="B321" s="1" t="n">
        <v>44050</v>
      </c>
      <c r="C321" s="1" t="n">
        <v>45172</v>
      </c>
      <c r="D321" t="inlineStr">
        <is>
          <t>VÄSTERBOTTENS LÄN</t>
        </is>
      </c>
      <c r="E321" t="inlineStr">
        <is>
          <t>UMEÅ</t>
        </is>
      </c>
      <c r="F321" t="inlineStr">
        <is>
          <t>Holmen skog AB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38075-2020</t>
        </is>
      </c>
      <c r="B322" s="1" t="n">
        <v>44057</v>
      </c>
      <c r="C322" s="1" t="n">
        <v>45172</v>
      </c>
      <c r="D322" t="inlineStr">
        <is>
          <t>VÄSTERBOTTENS LÄN</t>
        </is>
      </c>
      <c r="E322" t="inlineStr">
        <is>
          <t>UMEÅ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38073-2020</t>
        </is>
      </c>
      <c r="B323" s="1" t="n">
        <v>44057</v>
      </c>
      <c r="C323" s="1" t="n">
        <v>45172</v>
      </c>
      <c r="D323" t="inlineStr">
        <is>
          <t>VÄSTERBOTTENS LÄN</t>
        </is>
      </c>
      <c r="E323" t="inlineStr">
        <is>
          <t>UMEÅ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38314-2020</t>
        </is>
      </c>
      <c r="B324" s="1" t="n">
        <v>44060</v>
      </c>
      <c r="C324" s="1" t="n">
        <v>45172</v>
      </c>
      <c r="D324" t="inlineStr">
        <is>
          <t>VÄSTERBOTTENS LÄN</t>
        </is>
      </c>
      <c r="E324" t="inlineStr">
        <is>
          <t>UMEÅ</t>
        </is>
      </c>
      <c r="F324" t="inlineStr">
        <is>
          <t>Övriga Aktiebolag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40105-2020</t>
        </is>
      </c>
      <c r="B325" s="1" t="n">
        <v>44068</v>
      </c>
      <c r="C325" s="1" t="n">
        <v>45172</v>
      </c>
      <c r="D325" t="inlineStr">
        <is>
          <t>VÄSTERBOTTENS LÄN</t>
        </is>
      </c>
      <c r="E325" t="inlineStr">
        <is>
          <t>UMEÅ</t>
        </is>
      </c>
      <c r="F325" t="inlineStr">
        <is>
          <t>Övriga Aktiebolag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41440-2020</t>
        </is>
      </c>
      <c r="B326" s="1" t="n">
        <v>44073</v>
      </c>
      <c r="C326" s="1" t="n">
        <v>45172</v>
      </c>
      <c r="D326" t="inlineStr">
        <is>
          <t>VÄSTERBOTTENS LÄN</t>
        </is>
      </c>
      <c r="E326" t="inlineStr">
        <is>
          <t>UMEÅ</t>
        </is>
      </c>
      <c r="F326" t="inlineStr">
        <is>
          <t>Holmen skog AB</t>
        </is>
      </c>
      <c r="G326" t="n">
        <v>19.5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41696-2020</t>
        </is>
      </c>
      <c r="B327" s="1" t="n">
        <v>44074</v>
      </c>
      <c r="C327" s="1" t="n">
        <v>45172</v>
      </c>
      <c r="D327" t="inlineStr">
        <is>
          <t>VÄSTERBOTTENS LÄN</t>
        </is>
      </c>
      <c r="E327" t="inlineStr">
        <is>
          <t>UMEÅ</t>
        </is>
      </c>
      <c r="F327" t="inlineStr">
        <is>
          <t>Kyrkan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43607-2020</t>
        </is>
      </c>
      <c r="B328" s="1" t="n">
        <v>44078</v>
      </c>
      <c r="C328" s="1" t="n">
        <v>45172</v>
      </c>
      <c r="D328" t="inlineStr">
        <is>
          <t>VÄSTERBOTTENS LÄN</t>
        </is>
      </c>
      <c r="E328" t="inlineStr">
        <is>
          <t>UMEÅ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44707-2020</t>
        </is>
      </c>
      <c r="B329" s="1" t="n">
        <v>44083</v>
      </c>
      <c r="C329" s="1" t="n">
        <v>45172</v>
      </c>
      <c r="D329" t="inlineStr">
        <is>
          <t>VÄSTERBOTTENS LÄN</t>
        </is>
      </c>
      <c r="E329" t="inlineStr">
        <is>
          <t>UMEÅ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44367-2020</t>
        </is>
      </c>
      <c r="B330" s="1" t="n">
        <v>44084</v>
      </c>
      <c r="C330" s="1" t="n">
        <v>45172</v>
      </c>
      <c r="D330" t="inlineStr">
        <is>
          <t>VÄSTERBOTTENS LÄN</t>
        </is>
      </c>
      <c r="E330" t="inlineStr">
        <is>
          <t>UMEÅ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46845-2020</t>
        </is>
      </c>
      <c r="B331" s="1" t="n">
        <v>44090</v>
      </c>
      <c r="C331" s="1" t="n">
        <v>45172</v>
      </c>
      <c r="D331" t="inlineStr">
        <is>
          <t>VÄSTERBOTTENS LÄN</t>
        </is>
      </c>
      <c r="E331" t="inlineStr">
        <is>
          <t>UMEÅ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46380-2020</t>
        </is>
      </c>
      <c r="B332" s="1" t="n">
        <v>44092</v>
      </c>
      <c r="C332" s="1" t="n">
        <v>45172</v>
      </c>
      <c r="D332" t="inlineStr">
        <is>
          <t>VÄSTERBOTTENS LÄN</t>
        </is>
      </c>
      <c r="E332" t="inlineStr">
        <is>
          <t>UMEÅ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47580-2020</t>
        </is>
      </c>
      <c r="B333" s="1" t="n">
        <v>44095</v>
      </c>
      <c r="C333" s="1" t="n">
        <v>45172</v>
      </c>
      <c r="D333" t="inlineStr">
        <is>
          <t>VÄSTERBOTTENS LÄN</t>
        </is>
      </c>
      <c r="E333" t="inlineStr">
        <is>
          <t>UMEÅ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47641-2020</t>
        </is>
      </c>
      <c r="B334" s="1" t="n">
        <v>44095</v>
      </c>
      <c r="C334" s="1" t="n">
        <v>45172</v>
      </c>
      <c r="D334" t="inlineStr">
        <is>
          <t>VÄSTERBOTTENS LÄN</t>
        </is>
      </c>
      <c r="E334" t="inlineStr">
        <is>
          <t>UMEÅ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48948-2020</t>
        </is>
      </c>
      <c r="B335" s="1" t="n">
        <v>44102</v>
      </c>
      <c r="C335" s="1" t="n">
        <v>45172</v>
      </c>
      <c r="D335" t="inlineStr">
        <is>
          <t>VÄSTERBOTTENS LÄN</t>
        </is>
      </c>
      <c r="E335" t="inlineStr">
        <is>
          <t>UMEÅ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48946-2020</t>
        </is>
      </c>
      <c r="B336" s="1" t="n">
        <v>44102</v>
      </c>
      <c r="C336" s="1" t="n">
        <v>45172</v>
      </c>
      <c r="D336" t="inlineStr">
        <is>
          <t>VÄSTERBOTTENS LÄN</t>
        </is>
      </c>
      <c r="E336" t="inlineStr">
        <is>
          <t>UMEÅ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48906-2020</t>
        </is>
      </c>
      <c r="B337" s="1" t="n">
        <v>44104</v>
      </c>
      <c r="C337" s="1" t="n">
        <v>45172</v>
      </c>
      <c r="D337" t="inlineStr">
        <is>
          <t>VÄSTERBOTTENS LÄN</t>
        </is>
      </c>
      <c r="E337" t="inlineStr">
        <is>
          <t>UMEÅ</t>
        </is>
      </c>
      <c r="F337" t="inlineStr">
        <is>
          <t>Holmen skog AB</t>
        </is>
      </c>
      <c r="G337" t="n">
        <v>10.7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50744-2020</t>
        </is>
      </c>
      <c r="B338" s="1" t="n">
        <v>44105</v>
      </c>
      <c r="C338" s="1" t="n">
        <v>45172</v>
      </c>
      <c r="D338" t="inlineStr">
        <is>
          <t>VÄSTERBOTTENS LÄN</t>
        </is>
      </c>
      <c r="E338" t="inlineStr">
        <is>
          <t>UMEÅ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49356-2020</t>
        </is>
      </c>
      <c r="B339" s="1" t="n">
        <v>44105</v>
      </c>
      <c r="C339" s="1" t="n">
        <v>45172</v>
      </c>
      <c r="D339" t="inlineStr">
        <is>
          <t>VÄSTERBOTTENS LÄN</t>
        </is>
      </c>
      <c r="E339" t="inlineStr">
        <is>
          <t>UMEÅ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50723-2020</t>
        </is>
      </c>
      <c r="B340" s="1" t="n">
        <v>44105</v>
      </c>
      <c r="C340" s="1" t="n">
        <v>45172</v>
      </c>
      <c r="D340" t="inlineStr">
        <is>
          <t>VÄSTERBOTTENS LÄN</t>
        </is>
      </c>
      <c r="E340" t="inlineStr">
        <is>
          <t>UMEÅ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51412-2020</t>
        </is>
      </c>
      <c r="B341" s="1" t="n">
        <v>44106</v>
      </c>
      <c r="C341" s="1" t="n">
        <v>45172</v>
      </c>
      <c r="D341" t="inlineStr">
        <is>
          <t>VÄSTERBOTTENS LÄN</t>
        </is>
      </c>
      <c r="E341" t="inlineStr">
        <is>
          <t>UMEÅ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50097-2020</t>
        </is>
      </c>
      <c r="B342" s="1" t="n">
        <v>44109</v>
      </c>
      <c r="C342" s="1" t="n">
        <v>45172</v>
      </c>
      <c r="D342" t="inlineStr">
        <is>
          <t>VÄSTERBOTTENS LÄN</t>
        </is>
      </c>
      <c r="E342" t="inlineStr">
        <is>
          <t>UMEÅ</t>
        </is>
      </c>
      <c r="F342" t="inlineStr">
        <is>
          <t>Holmen skog AB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50323-2020</t>
        </is>
      </c>
      <c r="B343" s="1" t="n">
        <v>44110</v>
      </c>
      <c r="C343" s="1" t="n">
        <v>45172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52451-2020</t>
        </is>
      </c>
      <c r="B344" s="1" t="n">
        <v>44113</v>
      </c>
      <c r="C344" s="1" t="n">
        <v>45172</v>
      </c>
      <c r="D344" t="inlineStr">
        <is>
          <t>VÄSTERBOTTENS LÄN</t>
        </is>
      </c>
      <c r="E344" t="inlineStr">
        <is>
          <t>UMEÅ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53448-2020</t>
        </is>
      </c>
      <c r="B345" s="1" t="n">
        <v>44123</v>
      </c>
      <c r="C345" s="1" t="n">
        <v>45172</v>
      </c>
      <c r="D345" t="inlineStr">
        <is>
          <t>VÄSTERBOTTENS LÄN</t>
        </is>
      </c>
      <c r="E345" t="inlineStr">
        <is>
          <t>UMEÅ</t>
        </is>
      </c>
      <c r="F345" t="inlineStr">
        <is>
          <t>Holmen skog AB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53294-2020</t>
        </is>
      </c>
      <c r="B346" s="1" t="n">
        <v>44123</v>
      </c>
      <c r="C346" s="1" t="n">
        <v>45172</v>
      </c>
      <c r="D346" t="inlineStr">
        <is>
          <t>VÄSTERBOTTENS LÄN</t>
        </is>
      </c>
      <c r="E346" t="inlineStr">
        <is>
          <t>UMEÅ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53782-2020</t>
        </is>
      </c>
      <c r="B347" s="1" t="n">
        <v>44123</v>
      </c>
      <c r="C347" s="1" t="n">
        <v>45172</v>
      </c>
      <c r="D347" t="inlineStr">
        <is>
          <t>VÄSTERBOTTENS LÄN</t>
        </is>
      </c>
      <c r="E347" t="inlineStr">
        <is>
          <t>UMEÅ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53836-2020</t>
        </is>
      </c>
      <c r="B348" s="1" t="n">
        <v>44124</v>
      </c>
      <c r="C348" s="1" t="n">
        <v>45172</v>
      </c>
      <c r="D348" t="inlineStr">
        <is>
          <t>VÄSTERBOTTENS LÄN</t>
        </is>
      </c>
      <c r="E348" t="inlineStr">
        <is>
          <t>UMEÅ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54436-2020</t>
        </is>
      </c>
      <c r="B349" s="1" t="n">
        <v>44124</v>
      </c>
      <c r="C349" s="1" t="n">
        <v>45172</v>
      </c>
      <c r="D349" t="inlineStr">
        <is>
          <t>VÄSTERBOTTENS LÄN</t>
        </is>
      </c>
      <c r="E349" t="inlineStr">
        <is>
          <t>UMEÅ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55411-2020</t>
        </is>
      </c>
      <c r="B350" s="1" t="n">
        <v>44131</v>
      </c>
      <c r="C350" s="1" t="n">
        <v>45172</v>
      </c>
      <c r="D350" t="inlineStr">
        <is>
          <t>VÄSTERBOTTENS LÄN</t>
        </is>
      </c>
      <c r="E350" t="inlineStr">
        <is>
          <t>UMEÅ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55773-2020</t>
        </is>
      </c>
      <c r="B351" s="1" t="n">
        <v>44132</v>
      </c>
      <c r="C351" s="1" t="n">
        <v>45172</v>
      </c>
      <c r="D351" t="inlineStr">
        <is>
          <t>VÄSTERBOTTENS LÄN</t>
        </is>
      </c>
      <c r="E351" t="inlineStr">
        <is>
          <t>UMEÅ</t>
        </is>
      </c>
      <c r="F351" t="inlineStr">
        <is>
          <t>Holmen skog AB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56208-2020</t>
        </is>
      </c>
      <c r="B352" s="1" t="n">
        <v>44133</v>
      </c>
      <c r="C352" s="1" t="n">
        <v>45172</v>
      </c>
      <c r="D352" t="inlineStr">
        <is>
          <t>VÄSTERBOTTENS LÄN</t>
        </is>
      </c>
      <c r="E352" t="inlineStr">
        <is>
          <t>UMEÅ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58213-2020</t>
        </is>
      </c>
      <c r="B353" s="1" t="n">
        <v>44140</v>
      </c>
      <c r="C353" s="1" t="n">
        <v>45172</v>
      </c>
      <c r="D353" t="inlineStr">
        <is>
          <t>VÄSTERBOTTENS LÄN</t>
        </is>
      </c>
      <c r="E353" t="inlineStr">
        <is>
          <t>UMEÅ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57786-2020</t>
        </is>
      </c>
      <c r="B354" s="1" t="n">
        <v>44141</v>
      </c>
      <c r="C354" s="1" t="n">
        <v>45172</v>
      </c>
      <c r="D354" t="inlineStr">
        <is>
          <t>VÄSTERBOTTENS LÄN</t>
        </is>
      </c>
      <c r="E354" t="inlineStr">
        <is>
          <t>UMEÅ</t>
        </is>
      </c>
      <c r="F354" t="inlineStr">
        <is>
          <t>Holmen skog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57958-2020</t>
        </is>
      </c>
      <c r="B355" s="1" t="n">
        <v>44143</v>
      </c>
      <c r="C355" s="1" t="n">
        <v>45172</v>
      </c>
      <c r="D355" t="inlineStr">
        <is>
          <t>VÄSTERBOTTENS LÄN</t>
        </is>
      </c>
      <c r="E355" t="inlineStr">
        <is>
          <t>UMEÅ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58263-2020</t>
        </is>
      </c>
      <c r="B356" s="1" t="n">
        <v>44144</v>
      </c>
      <c r="C356" s="1" t="n">
        <v>45172</v>
      </c>
      <c r="D356" t="inlineStr">
        <is>
          <t>VÄSTERBOTTENS LÄN</t>
        </is>
      </c>
      <c r="E356" t="inlineStr">
        <is>
          <t>UMEÅ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58913-2020</t>
        </is>
      </c>
      <c r="B357" s="1" t="n">
        <v>44146</v>
      </c>
      <c r="C357" s="1" t="n">
        <v>45172</v>
      </c>
      <c r="D357" t="inlineStr">
        <is>
          <t>VÄSTERBOTTENS LÄN</t>
        </is>
      </c>
      <c r="E357" t="inlineStr">
        <is>
          <t>UMEÅ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58710-2020</t>
        </is>
      </c>
      <c r="B358" s="1" t="n">
        <v>44146</v>
      </c>
      <c r="C358" s="1" t="n">
        <v>45172</v>
      </c>
      <c r="D358" t="inlineStr">
        <is>
          <t>VÄSTERBOTTENS LÄN</t>
        </is>
      </c>
      <c r="E358" t="inlineStr">
        <is>
          <t>UMEÅ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58916-2020</t>
        </is>
      </c>
      <c r="B359" s="1" t="n">
        <v>44146</v>
      </c>
      <c r="C359" s="1" t="n">
        <v>45172</v>
      </c>
      <c r="D359" t="inlineStr">
        <is>
          <t>VÄSTERBOTTENS LÄN</t>
        </is>
      </c>
      <c r="E359" t="inlineStr">
        <is>
          <t>UMEÅ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59196-2020</t>
        </is>
      </c>
      <c r="B360" s="1" t="n">
        <v>44147</v>
      </c>
      <c r="C360" s="1" t="n">
        <v>45172</v>
      </c>
      <c r="D360" t="inlineStr">
        <is>
          <t>VÄSTERBOTTENS LÄN</t>
        </is>
      </c>
      <c r="E360" t="inlineStr">
        <is>
          <t>UMEÅ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59386-2020</t>
        </is>
      </c>
      <c r="B361" s="1" t="n">
        <v>44148</v>
      </c>
      <c r="C361" s="1" t="n">
        <v>45172</v>
      </c>
      <c r="D361" t="inlineStr">
        <is>
          <t>VÄSTERBOTTENS LÄN</t>
        </is>
      </c>
      <c r="E361" t="inlineStr">
        <is>
          <t>UMEÅ</t>
        </is>
      </c>
      <c r="F361" t="inlineStr">
        <is>
          <t>Holmen skog AB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60157-2020</t>
        </is>
      </c>
      <c r="B362" s="1" t="n">
        <v>44151</v>
      </c>
      <c r="C362" s="1" t="n">
        <v>45172</v>
      </c>
      <c r="D362" t="inlineStr">
        <is>
          <t>VÄSTERBOTTENS LÄN</t>
        </is>
      </c>
      <c r="E362" t="inlineStr">
        <is>
          <t>UMEÅ</t>
        </is>
      </c>
      <c r="G362" t="n">
        <v>8.800000000000001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61241-2020</t>
        </is>
      </c>
      <c r="B363" s="1" t="n">
        <v>44153</v>
      </c>
      <c r="C363" s="1" t="n">
        <v>45172</v>
      </c>
      <c r="D363" t="inlineStr">
        <is>
          <t>VÄSTERBOTTENS LÄN</t>
        </is>
      </c>
      <c r="E363" t="inlineStr">
        <is>
          <t>UMEÅ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61351-2020</t>
        </is>
      </c>
      <c r="B364" s="1" t="n">
        <v>44155</v>
      </c>
      <c r="C364" s="1" t="n">
        <v>45172</v>
      </c>
      <c r="D364" t="inlineStr">
        <is>
          <t>VÄSTERBOTTENS LÄN</t>
        </is>
      </c>
      <c r="E364" t="inlineStr">
        <is>
          <t>UMEÅ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61450-2020</t>
        </is>
      </c>
      <c r="B365" s="1" t="n">
        <v>44158</v>
      </c>
      <c r="C365" s="1" t="n">
        <v>45172</v>
      </c>
      <c r="D365" t="inlineStr">
        <is>
          <t>VÄSTERBOTTENS LÄN</t>
        </is>
      </c>
      <c r="E365" t="inlineStr">
        <is>
          <t>UMEÅ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62332-2020</t>
        </is>
      </c>
      <c r="B366" s="1" t="n">
        <v>44158</v>
      </c>
      <c r="C366" s="1" t="n">
        <v>45172</v>
      </c>
      <c r="D366" t="inlineStr">
        <is>
          <t>VÄSTERBOTTENS LÄN</t>
        </is>
      </c>
      <c r="E366" t="inlineStr">
        <is>
          <t>UMEÅ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61918-2020</t>
        </is>
      </c>
      <c r="B367" s="1" t="n">
        <v>44158</v>
      </c>
      <c r="C367" s="1" t="n">
        <v>45172</v>
      </c>
      <c r="D367" t="inlineStr">
        <is>
          <t>VÄSTERBOTTENS LÄN</t>
        </is>
      </c>
      <c r="E367" t="inlineStr">
        <is>
          <t>UMEÅ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62581-2020</t>
        </is>
      </c>
      <c r="B368" s="1" t="n">
        <v>44160</v>
      </c>
      <c r="C368" s="1" t="n">
        <v>45172</v>
      </c>
      <c r="D368" t="inlineStr">
        <is>
          <t>VÄSTERBOTTENS LÄN</t>
        </is>
      </c>
      <c r="E368" t="inlineStr">
        <is>
          <t>UMEÅ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62937-2020</t>
        </is>
      </c>
      <c r="B369" s="1" t="n">
        <v>44160</v>
      </c>
      <c r="C369" s="1" t="n">
        <v>45172</v>
      </c>
      <c r="D369" t="inlineStr">
        <is>
          <t>VÄSTERBOTTENS LÄN</t>
        </is>
      </c>
      <c r="E369" t="inlineStr">
        <is>
          <t>UMEÅ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62955-2020</t>
        </is>
      </c>
      <c r="B370" s="1" t="n">
        <v>44162</v>
      </c>
      <c r="C370" s="1" t="n">
        <v>45172</v>
      </c>
      <c r="D370" t="inlineStr">
        <is>
          <t>VÄSTERBOTTENS LÄN</t>
        </is>
      </c>
      <c r="E370" t="inlineStr">
        <is>
          <t>UMEÅ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63377-2020</t>
        </is>
      </c>
      <c r="B371" s="1" t="n">
        <v>44165</v>
      </c>
      <c r="C371" s="1" t="n">
        <v>45172</v>
      </c>
      <c r="D371" t="inlineStr">
        <is>
          <t>VÄSTERBOTTENS LÄN</t>
        </is>
      </c>
      <c r="E371" t="inlineStr">
        <is>
          <t>UMEÅ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67444-2020</t>
        </is>
      </c>
      <c r="B372" s="1" t="n">
        <v>44179</v>
      </c>
      <c r="C372" s="1" t="n">
        <v>45172</v>
      </c>
      <c r="D372" t="inlineStr">
        <is>
          <t>VÄSTERBOTTENS LÄN</t>
        </is>
      </c>
      <c r="E372" t="inlineStr">
        <is>
          <t>UMEÅ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67854-2020</t>
        </is>
      </c>
      <c r="B373" s="1" t="n">
        <v>44182</v>
      </c>
      <c r="C373" s="1" t="n">
        <v>45172</v>
      </c>
      <c r="D373" t="inlineStr">
        <is>
          <t>VÄSTERBOTTENS LÄN</t>
        </is>
      </c>
      <c r="E373" t="inlineStr">
        <is>
          <t>UMEÅ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68705-2020</t>
        </is>
      </c>
      <c r="B374" s="1" t="n">
        <v>44186</v>
      </c>
      <c r="C374" s="1" t="n">
        <v>45172</v>
      </c>
      <c r="D374" t="inlineStr">
        <is>
          <t>VÄSTERBOTTENS LÄN</t>
        </is>
      </c>
      <c r="E374" t="inlineStr">
        <is>
          <t>UMEÅ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68823-2020</t>
        </is>
      </c>
      <c r="B375" s="1" t="n">
        <v>44186</v>
      </c>
      <c r="C375" s="1" t="n">
        <v>45172</v>
      </c>
      <c r="D375" t="inlineStr">
        <is>
          <t>VÄSTERBOTTENS LÄN</t>
        </is>
      </c>
      <c r="E375" t="inlineStr">
        <is>
          <t>UMEÅ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338-2021</t>
        </is>
      </c>
      <c r="B376" s="1" t="n">
        <v>44186</v>
      </c>
      <c r="C376" s="1" t="n">
        <v>45172</v>
      </c>
      <c r="D376" t="inlineStr">
        <is>
          <t>VÄSTERBOTTENS LÄN</t>
        </is>
      </c>
      <c r="E376" t="inlineStr">
        <is>
          <t>UMEÅ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352-2021</t>
        </is>
      </c>
      <c r="B377" s="1" t="n">
        <v>44186</v>
      </c>
      <c r="C377" s="1" t="n">
        <v>45172</v>
      </c>
      <c r="D377" t="inlineStr">
        <is>
          <t>VÄSTERBOTTENS LÄN</t>
        </is>
      </c>
      <c r="E377" t="inlineStr">
        <is>
          <t>UMEÅ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68662-2020</t>
        </is>
      </c>
      <c r="B378" s="1" t="n">
        <v>44187</v>
      </c>
      <c r="C378" s="1" t="n">
        <v>45172</v>
      </c>
      <c r="D378" t="inlineStr">
        <is>
          <t>VÄSTERBOTTENS LÄN</t>
        </is>
      </c>
      <c r="E378" t="inlineStr">
        <is>
          <t>UMEÅ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69596-2020</t>
        </is>
      </c>
      <c r="B379" s="1" t="n">
        <v>44194</v>
      </c>
      <c r="C379" s="1" t="n">
        <v>45172</v>
      </c>
      <c r="D379" t="inlineStr">
        <is>
          <t>VÄSTERBOTTENS LÄN</t>
        </is>
      </c>
      <c r="E379" t="inlineStr">
        <is>
          <t>UMEÅ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2505-2021</t>
        </is>
      </c>
      <c r="B380" s="1" t="n">
        <v>44214</v>
      </c>
      <c r="C380" s="1" t="n">
        <v>45172</v>
      </c>
      <c r="D380" t="inlineStr">
        <is>
          <t>VÄSTERBOTTENS LÄN</t>
        </is>
      </c>
      <c r="E380" t="inlineStr">
        <is>
          <t>UMEÅ</t>
        </is>
      </c>
      <c r="F380" t="inlineStr">
        <is>
          <t>Kommuner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2947-2021</t>
        </is>
      </c>
      <c r="B381" s="1" t="n">
        <v>44214</v>
      </c>
      <c r="C381" s="1" t="n">
        <v>45172</v>
      </c>
      <c r="D381" t="inlineStr">
        <is>
          <t>VÄSTERBOTTENS LÄN</t>
        </is>
      </c>
      <c r="E381" t="inlineStr">
        <is>
          <t>UMEÅ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2789-2021</t>
        </is>
      </c>
      <c r="B382" s="1" t="n">
        <v>44214</v>
      </c>
      <c r="C382" s="1" t="n">
        <v>45172</v>
      </c>
      <c r="D382" t="inlineStr">
        <is>
          <t>VÄSTERBOTTENS LÄN</t>
        </is>
      </c>
      <c r="E382" t="inlineStr">
        <is>
          <t>UMEÅ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2943-2021</t>
        </is>
      </c>
      <c r="B383" s="1" t="n">
        <v>44214</v>
      </c>
      <c r="C383" s="1" t="n">
        <v>45172</v>
      </c>
      <c r="D383" t="inlineStr">
        <is>
          <t>VÄSTERBOTTENS LÄN</t>
        </is>
      </c>
      <c r="E383" t="inlineStr">
        <is>
          <t>UMEÅ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3914-2021</t>
        </is>
      </c>
      <c r="B384" s="1" t="n">
        <v>44217</v>
      </c>
      <c r="C384" s="1" t="n">
        <v>45172</v>
      </c>
      <c r="D384" t="inlineStr">
        <is>
          <t>VÄSTERBOTTENS LÄN</t>
        </is>
      </c>
      <c r="E384" t="inlineStr">
        <is>
          <t>UMEÅ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3748-2021</t>
        </is>
      </c>
      <c r="B385" s="1" t="n">
        <v>44221</v>
      </c>
      <c r="C385" s="1" t="n">
        <v>45172</v>
      </c>
      <c r="D385" t="inlineStr">
        <is>
          <t>VÄSTERBOTTENS LÄN</t>
        </is>
      </c>
      <c r="E385" t="inlineStr">
        <is>
          <t>UMEÅ</t>
        </is>
      </c>
      <c r="G385" t="n">
        <v>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4473-2021</t>
        </is>
      </c>
      <c r="B386" s="1" t="n">
        <v>44222</v>
      </c>
      <c r="C386" s="1" t="n">
        <v>45172</v>
      </c>
      <c r="D386" t="inlineStr">
        <is>
          <t>VÄSTERBOTTENS LÄN</t>
        </is>
      </c>
      <c r="E386" t="inlineStr">
        <is>
          <t>UMEÅ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4478-2021</t>
        </is>
      </c>
      <c r="B387" s="1" t="n">
        <v>44222</v>
      </c>
      <c r="C387" s="1" t="n">
        <v>45172</v>
      </c>
      <c r="D387" t="inlineStr">
        <is>
          <t>VÄSTERBOTTENS LÄN</t>
        </is>
      </c>
      <c r="E387" t="inlineStr">
        <is>
          <t>UMEÅ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4449-2021</t>
        </is>
      </c>
      <c r="B388" s="1" t="n">
        <v>44224</v>
      </c>
      <c r="C388" s="1" t="n">
        <v>45172</v>
      </c>
      <c r="D388" t="inlineStr">
        <is>
          <t>VÄSTERBOTTENS LÄN</t>
        </is>
      </c>
      <c r="E388" t="inlineStr">
        <is>
          <t>UMEÅ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6174-2021</t>
        </is>
      </c>
      <c r="B389" s="1" t="n">
        <v>44232</v>
      </c>
      <c r="C389" s="1" t="n">
        <v>45172</v>
      </c>
      <c r="D389" t="inlineStr">
        <is>
          <t>VÄSTERBOTTENS LÄN</t>
        </is>
      </c>
      <c r="E389" t="inlineStr">
        <is>
          <t>UMEÅ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6116-2021</t>
        </is>
      </c>
      <c r="B390" s="1" t="n">
        <v>44232</v>
      </c>
      <c r="C390" s="1" t="n">
        <v>45172</v>
      </c>
      <c r="D390" t="inlineStr">
        <is>
          <t>VÄSTERBOTTENS LÄN</t>
        </is>
      </c>
      <c r="E390" t="inlineStr">
        <is>
          <t>UMEÅ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8800-2021</t>
        </is>
      </c>
      <c r="B391" s="1" t="n">
        <v>44246</v>
      </c>
      <c r="C391" s="1" t="n">
        <v>45172</v>
      </c>
      <c r="D391" t="inlineStr">
        <is>
          <t>VÄSTERBOTTENS LÄN</t>
        </is>
      </c>
      <c r="E391" t="inlineStr">
        <is>
          <t>UMEÅ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9308-2021</t>
        </is>
      </c>
      <c r="B392" s="1" t="n">
        <v>44249</v>
      </c>
      <c r="C392" s="1" t="n">
        <v>45172</v>
      </c>
      <c r="D392" t="inlineStr">
        <is>
          <t>VÄSTERBOTTENS LÄN</t>
        </is>
      </c>
      <c r="E392" t="inlineStr">
        <is>
          <t>UMEÅ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9169-2021</t>
        </is>
      </c>
      <c r="B393" s="1" t="n">
        <v>44249</v>
      </c>
      <c r="C393" s="1" t="n">
        <v>45172</v>
      </c>
      <c r="D393" t="inlineStr">
        <is>
          <t>VÄSTERBOTTENS LÄN</t>
        </is>
      </c>
      <c r="E393" t="inlineStr">
        <is>
          <t>UMEÅ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9170-2021</t>
        </is>
      </c>
      <c r="B394" s="1" t="n">
        <v>44249</v>
      </c>
      <c r="C394" s="1" t="n">
        <v>45172</v>
      </c>
      <c r="D394" t="inlineStr">
        <is>
          <t>VÄSTERBOTTENS LÄN</t>
        </is>
      </c>
      <c r="E394" t="inlineStr">
        <is>
          <t>UMEÅ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9780-2021</t>
        </is>
      </c>
      <c r="B395" s="1" t="n">
        <v>44251</v>
      </c>
      <c r="C395" s="1" t="n">
        <v>45172</v>
      </c>
      <c r="D395" t="inlineStr">
        <is>
          <t>VÄSTERBOTTENS LÄN</t>
        </is>
      </c>
      <c r="E395" t="inlineStr">
        <is>
          <t>UMEÅ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10445-2021</t>
        </is>
      </c>
      <c r="B396" s="1" t="n">
        <v>44257</v>
      </c>
      <c r="C396" s="1" t="n">
        <v>45172</v>
      </c>
      <c r="D396" t="inlineStr">
        <is>
          <t>VÄSTERBOTTENS LÄN</t>
        </is>
      </c>
      <c r="E396" t="inlineStr">
        <is>
          <t>UMEÅ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13745-2021</t>
        </is>
      </c>
      <c r="B397" s="1" t="n">
        <v>44274</v>
      </c>
      <c r="C397" s="1" t="n">
        <v>45172</v>
      </c>
      <c r="D397" t="inlineStr">
        <is>
          <t>VÄSTERBOTTENS LÄN</t>
        </is>
      </c>
      <c r="E397" t="inlineStr">
        <is>
          <t>UMEÅ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16410-2021</t>
        </is>
      </c>
      <c r="B398" s="1" t="n">
        <v>44293</v>
      </c>
      <c r="C398" s="1" t="n">
        <v>45172</v>
      </c>
      <c r="D398" t="inlineStr">
        <is>
          <t>VÄSTERBOTTENS LÄN</t>
        </is>
      </c>
      <c r="E398" t="inlineStr">
        <is>
          <t>UMEÅ</t>
        </is>
      </c>
      <c r="G398" t="n">
        <v>7.2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16909-2021</t>
        </is>
      </c>
      <c r="B399" s="1" t="n">
        <v>44294</v>
      </c>
      <c r="C399" s="1" t="n">
        <v>45172</v>
      </c>
      <c r="D399" t="inlineStr">
        <is>
          <t>VÄSTERBOTTENS LÄN</t>
        </is>
      </c>
      <c r="E399" t="inlineStr">
        <is>
          <t>UMEÅ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17438-2021</t>
        </is>
      </c>
      <c r="B400" s="1" t="n">
        <v>44299</v>
      </c>
      <c r="C400" s="1" t="n">
        <v>45172</v>
      </c>
      <c r="D400" t="inlineStr">
        <is>
          <t>VÄSTERBOTTENS LÄN</t>
        </is>
      </c>
      <c r="E400" t="inlineStr">
        <is>
          <t>UMEÅ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18248-2021</t>
        </is>
      </c>
      <c r="B401" s="1" t="n">
        <v>44305</v>
      </c>
      <c r="C401" s="1" t="n">
        <v>45172</v>
      </c>
      <c r="D401" t="inlineStr">
        <is>
          <t>VÄSTERBOTTENS LÄN</t>
        </is>
      </c>
      <c r="E401" t="inlineStr">
        <is>
          <t>UMEÅ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18455-2021</t>
        </is>
      </c>
      <c r="B402" s="1" t="n">
        <v>44305</v>
      </c>
      <c r="C402" s="1" t="n">
        <v>45172</v>
      </c>
      <c r="D402" t="inlineStr">
        <is>
          <t>VÄSTERBOTTENS LÄN</t>
        </is>
      </c>
      <c r="E402" t="inlineStr">
        <is>
          <t>UMEÅ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18685-2021</t>
        </is>
      </c>
      <c r="B403" s="1" t="n">
        <v>44306</v>
      </c>
      <c r="C403" s="1" t="n">
        <v>45172</v>
      </c>
      <c r="D403" t="inlineStr">
        <is>
          <t>VÄSTERBOTTENS LÄN</t>
        </is>
      </c>
      <c r="E403" t="inlineStr">
        <is>
          <t>UMEÅ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19058-2021</t>
        </is>
      </c>
      <c r="B404" s="1" t="n">
        <v>44308</v>
      </c>
      <c r="C404" s="1" t="n">
        <v>45172</v>
      </c>
      <c r="D404" t="inlineStr">
        <is>
          <t>VÄSTERBOTTENS LÄN</t>
        </is>
      </c>
      <c r="E404" t="inlineStr">
        <is>
          <t>UMEÅ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19062-2021</t>
        </is>
      </c>
      <c r="B405" s="1" t="n">
        <v>44308</v>
      </c>
      <c r="C405" s="1" t="n">
        <v>45172</v>
      </c>
      <c r="D405" t="inlineStr">
        <is>
          <t>VÄSTERBOTTENS LÄN</t>
        </is>
      </c>
      <c r="E405" t="inlineStr">
        <is>
          <t>UMEÅ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19074-2021</t>
        </is>
      </c>
      <c r="B406" s="1" t="n">
        <v>44308</v>
      </c>
      <c r="C406" s="1" t="n">
        <v>45172</v>
      </c>
      <c r="D406" t="inlineStr">
        <is>
          <t>VÄSTERBOTTENS LÄN</t>
        </is>
      </c>
      <c r="E406" t="inlineStr">
        <is>
          <t>UMEÅ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19543-2021</t>
        </is>
      </c>
      <c r="B407" s="1" t="n">
        <v>44309</v>
      </c>
      <c r="C407" s="1" t="n">
        <v>45172</v>
      </c>
      <c r="D407" t="inlineStr">
        <is>
          <t>VÄSTERBOTTENS LÄN</t>
        </is>
      </c>
      <c r="E407" t="inlineStr">
        <is>
          <t>UMEÅ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19749-2021</t>
        </is>
      </c>
      <c r="B408" s="1" t="n">
        <v>44312</v>
      </c>
      <c r="C408" s="1" t="n">
        <v>45172</v>
      </c>
      <c r="D408" t="inlineStr">
        <is>
          <t>VÄSTERBOTTENS LÄN</t>
        </is>
      </c>
      <c r="E408" t="inlineStr">
        <is>
          <t>UMEÅ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20498-2021</t>
        </is>
      </c>
      <c r="B409" s="1" t="n">
        <v>44313</v>
      </c>
      <c r="C409" s="1" t="n">
        <v>45172</v>
      </c>
      <c r="D409" t="inlineStr">
        <is>
          <t>VÄSTERBOTTENS LÄN</t>
        </is>
      </c>
      <c r="E409" t="inlineStr">
        <is>
          <t>UMEÅ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20454-2021</t>
        </is>
      </c>
      <c r="B410" s="1" t="n">
        <v>44314</v>
      </c>
      <c r="C410" s="1" t="n">
        <v>45172</v>
      </c>
      <c r="D410" t="inlineStr">
        <is>
          <t>VÄSTERBOTTENS LÄN</t>
        </is>
      </c>
      <c r="E410" t="inlineStr">
        <is>
          <t>UMEÅ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20459-2021</t>
        </is>
      </c>
      <c r="B411" s="1" t="n">
        <v>44314</v>
      </c>
      <c r="C411" s="1" t="n">
        <v>45172</v>
      </c>
      <c r="D411" t="inlineStr">
        <is>
          <t>VÄSTERBOTTENS LÄN</t>
        </is>
      </c>
      <c r="E411" t="inlineStr">
        <is>
          <t>UMEÅ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21261-2021</t>
        </is>
      </c>
      <c r="B412" s="1" t="n">
        <v>44320</v>
      </c>
      <c r="C412" s="1" t="n">
        <v>45172</v>
      </c>
      <c r="D412" t="inlineStr">
        <is>
          <t>VÄSTERBOTTENS LÄN</t>
        </is>
      </c>
      <c r="E412" t="inlineStr">
        <is>
          <t>UMEÅ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21581-2021</t>
        </is>
      </c>
      <c r="B413" s="1" t="n">
        <v>44321</v>
      </c>
      <c r="C413" s="1" t="n">
        <v>45172</v>
      </c>
      <c r="D413" t="inlineStr">
        <is>
          <t>VÄSTERBOTTENS LÄN</t>
        </is>
      </c>
      <c r="E413" t="inlineStr">
        <is>
          <t>UMEÅ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22279-2021</t>
        </is>
      </c>
      <c r="B414" s="1" t="n">
        <v>44326</v>
      </c>
      <c r="C414" s="1" t="n">
        <v>45172</v>
      </c>
      <c r="D414" t="inlineStr">
        <is>
          <t>VÄSTERBOTTENS LÄN</t>
        </is>
      </c>
      <c r="E414" t="inlineStr">
        <is>
          <t>UMEÅ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22503-2021</t>
        </is>
      </c>
      <c r="B415" s="1" t="n">
        <v>44326</v>
      </c>
      <c r="C415" s="1" t="n">
        <v>45172</v>
      </c>
      <c r="D415" t="inlineStr">
        <is>
          <t>VÄSTERBOTTENS LÄN</t>
        </is>
      </c>
      <c r="E415" t="inlineStr">
        <is>
          <t>UMEÅ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23285-2021</t>
        </is>
      </c>
      <c r="B416" s="1" t="n">
        <v>44330</v>
      </c>
      <c r="C416" s="1" t="n">
        <v>45172</v>
      </c>
      <c r="D416" t="inlineStr">
        <is>
          <t>VÄSTERBOTTENS LÄN</t>
        </is>
      </c>
      <c r="E416" t="inlineStr">
        <is>
          <t>UMEÅ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24942-2021</t>
        </is>
      </c>
      <c r="B417" s="1" t="n">
        <v>44341</v>
      </c>
      <c r="C417" s="1" t="n">
        <v>45172</v>
      </c>
      <c r="D417" t="inlineStr">
        <is>
          <t>VÄSTERBOTTENS LÄN</t>
        </is>
      </c>
      <c r="E417" t="inlineStr">
        <is>
          <t>UMEÅ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25859-2021</t>
        </is>
      </c>
      <c r="B418" s="1" t="n">
        <v>44343</v>
      </c>
      <c r="C418" s="1" t="n">
        <v>45172</v>
      </c>
      <c r="D418" t="inlineStr">
        <is>
          <t>VÄSTERBOTTENS LÄN</t>
        </is>
      </c>
      <c r="E418" t="inlineStr">
        <is>
          <t>UMEÅ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27172-2021</t>
        </is>
      </c>
      <c r="B419" s="1" t="n">
        <v>44350</v>
      </c>
      <c r="C419" s="1" t="n">
        <v>45172</v>
      </c>
      <c r="D419" t="inlineStr">
        <is>
          <t>VÄSTERBOTTENS LÄN</t>
        </is>
      </c>
      <c r="E419" t="inlineStr">
        <is>
          <t>UMEÅ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27804-2021</t>
        </is>
      </c>
      <c r="B420" s="1" t="n">
        <v>44354</v>
      </c>
      <c r="C420" s="1" t="n">
        <v>45172</v>
      </c>
      <c r="D420" t="inlineStr">
        <is>
          <t>VÄSTERBOTTENS LÄN</t>
        </is>
      </c>
      <c r="E420" t="inlineStr">
        <is>
          <t>UMEÅ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27998-2021</t>
        </is>
      </c>
      <c r="B421" s="1" t="n">
        <v>44354</v>
      </c>
      <c r="C421" s="1" t="n">
        <v>45172</v>
      </c>
      <c r="D421" t="inlineStr">
        <is>
          <t>VÄSTERBOTTENS LÄN</t>
        </is>
      </c>
      <c r="E421" t="inlineStr">
        <is>
          <t>UMEÅ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28109-2021</t>
        </is>
      </c>
      <c r="B422" s="1" t="n">
        <v>44355</v>
      </c>
      <c r="C422" s="1" t="n">
        <v>45172</v>
      </c>
      <c r="D422" t="inlineStr">
        <is>
          <t>VÄSTERBOTTENS LÄN</t>
        </is>
      </c>
      <c r="E422" t="inlineStr">
        <is>
          <t>UMEÅ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28267-2021</t>
        </is>
      </c>
      <c r="B423" s="1" t="n">
        <v>44355</v>
      </c>
      <c r="C423" s="1" t="n">
        <v>45172</v>
      </c>
      <c r="D423" t="inlineStr">
        <is>
          <t>VÄSTERBOTTENS LÄN</t>
        </is>
      </c>
      <c r="E423" t="inlineStr">
        <is>
          <t>UMEÅ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29529-2021</t>
        </is>
      </c>
      <c r="B424" s="1" t="n">
        <v>44361</v>
      </c>
      <c r="C424" s="1" t="n">
        <v>45172</v>
      </c>
      <c r="D424" t="inlineStr">
        <is>
          <t>VÄSTERBOTTENS LÄN</t>
        </is>
      </c>
      <c r="E424" t="inlineStr">
        <is>
          <t>UMEÅ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29534-2021</t>
        </is>
      </c>
      <c r="B425" s="1" t="n">
        <v>44361</v>
      </c>
      <c r="C425" s="1" t="n">
        <v>45172</v>
      </c>
      <c r="D425" t="inlineStr">
        <is>
          <t>VÄSTERBOTTENS LÄN</t>
        </is>
      </c>
      <c r="E425" t="inlineStr">
        <is>
          <t>UMEÅ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33229-2021</t>
        </is>
      </c>
      <c r="B426" s="1" t="n">
        <v>44376</v>
      </c>
      <c r="C426" s="1" t="n">
        <v>45172</v>
      </c>
      <c r="D426" t="inlineStr">
        <is>
          <t>VÄSTERBOTTENS LÄN</t>
        </is>
      </c>
      <c r="E426" t="inlineStr">
        <is>
          <t>UMEÅ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33159-2021</t>
        </is>
      </c>
      <c r="B427" s="1" t="n">
        <v>44376</v>
      </c>
      <c r="C427" s="1" t="n">
        <v>45172</v>
      </c>
      <c r="D427" t="inlineStr">
        <is>
          <t>VÄSTERBOTTENS LÄN</t>
        </is>
      </c>
      <c r="E427" t="inlineStr">
        <is>
          <t>UMEÅ</t>
        </is>
      </c>
      <c r="F427" t="inlineStr">
        <is>
          <t>Holmen skog AB</t>
        </is>
      </c>
      <c r="G427" t="n">
        <v>18.4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34121-2021</t>
        </is>
      </c>
      <c r="B428" s="1" t="n">
        <v>44379</v>
      </c>
      <c r="C428" s="1" t="n">
        <v>45172</v>
      </c>
      <c r="D428" t="inlineStr">
        <is>
          <t>VÄSTERBOTTENS LÄN</t>
        </is>
      </c>
      <c r="E428" t="inlineStr">
        <is>
          <t>UMEÅ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34754-2021</t>
        </is>
      </c>
      <c r="B429" s="1" t="n">
        <v>44382</v>
      </c>
      <c r="C429" s="1" t="n">
        <v>45172</v>
      </c>
      <c r="D429" t="inlineStr">
        <is>
          <t>VÄSTERBOTTENS LÄN</t>
        </is>
      </c>
      <c r="E429" t="inlineStr">
        <is>
          <t>UMEÅ</t>
        </is>
      </c>
      <c r="F429" t="inlineStr">
        <is>
          <t>Holmen skog AB</t>
        </is>
      </c>
      <c r="G429" t="n">
        <v>12.5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34777-2021</t>
        </is>
      </c>
      <c r="B430" s="1" t="n">
        <v>44382</v>
      </c>
      <c r="C430" s="1" t="n">
        <v>45172</v>
      </c>
      <c r="D430" t="inlineStr">
        <is>
          <t>VÄSTERBOTTENS LÄN</t>
        </is>
      </c>
      <c r="E430" t="inlineStr">
        <is>
          <t>UMEÅ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35465-2021</t>
        </is>
      </c>
      <c r="B431" s="1" t="n">
        <v>44385</v>
      </c>
      <c r="C431" s="1" t="n">
        <v>45172</v>
      </c>
      <c r="D431" t="inlineStr">
        <is>
          <t>VÄSTERBOTTENS LÄN</t>
        </is>
      </c>
      <c r="E431" t="inlineStr">
        <is>
          <t>UMEÅ</t>
        </is>
      </c>
      <c r="F431" t="inlineStr">
        <is>
          <t>Sveaskog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38395-2021</t>
        </is>
      </c>
      <c r="B432" s="1" t="n">
        <v>44406</v>
      </c>
      <c r="C432" s="1" t="n">
        <v>45172</v>
      </c>
      <c r="D432" t="inlineStr">
        <is>
          <t>VÄSTERBOTTENS LÄN</t>
        </is>
      </c>
      <c r="E432" t="inlineStr">
        <is>
          <t>UMEÅ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38399-2021</t>
        </is>
      </c>
      <c r="B433" s="1" t="n">
        <v>44406</v>
      </c>
      <c r="C433" s="1" t="n">
        <v>45172</v>
      </c>
      <c r="D433" t="inlineStr">
        <is>
          <t>VÄSTERBOTTENS LÄN</t>
        </is>
      </c>
      <c r="E433" t="inlineStr">
        <is>
          <t>UMEÅ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38406-2021</t>
        </is>
      </c>
      <c r="B434" s="1" t="n">
        <v>44406</v>
      </c>
      <c r="C434" s="1" t="n">
        <v>45172</v>
      </c>
      <c r="D434" t="inlineStr">
        <is>
          <t>VÄSTERBOTTENS LÄN</t>
        </is>
      </c>
      <c r="E434" t="inlineStr">
        <is>
          <t>UMEÅ</t>
        </is>
      </c>
      <c r="F434" t="inlineStr">
        <is>
          <t>Kommuner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38394-2021</t>
        </is>
      </c>
      <c r="B435" s="1" t="n">
        <v>44406</v>
      </c>
      <c r="C435" s="1" t="n">
        <v>45172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38398-2021</t>
        </is>
      </c>
      <c r="B436" s="1" t="n">
        <v>44406</v>
      </c>
      <c r="C436" s="1" t="n">
        <v>45172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38403-2021</t>
        </is>
      </c>
      <c r="B437" s="1" t="n">
        <v>44406</v>
      </c>
      <c r="C437" s="1" t="n">
        <v>45172</v>
      </c>
      <c r="D437" t="inlineStr">
        <is>
          <t>VÄSTERBOTTENS LÄN</t>
        </is>
      </c>
      <c r="E437" t="inlineStr">
        <is>
          <t>UMEÅ</t>
        </is>
      </c>
      <c r="F437" t="inlineStr">
        <is>
          <t>Övriga statliga verk och myndigheter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38435-2021</t>
        </is>
      </c>
      <c r="B438" s="1" t="n">
        <v>44406</v>
      </c>
      <c r="C438" s="1" t="n">
        <v>45172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38440-2021</t>
        </is>
      </c>
      <c r="B439" s="1" t="n">
        <v>44406</v>
      </c>
      <c r="C439" s="1" t="n">
        <v>45172</v>
      </c>
      <c r="D439" t="inlineStr">
        <is>
          <t>VÄSTERBOTTENS LÄN</t>
        </is>
      </c>
      <c r="E439" t="inlineStr">
        <is>
          <t>UMEÅ</t>
        </is>
      </c>
      <c r="F439" t="inlineStr">
        <is>
          <t>Kommuner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38449-2021</t>
        </is>
      </c>
      <c r="B440" s="1" t="n">
        <v>44406</v>
      </c>
      <c r="C440" s="1" t="n">
        <v>45172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38391-2021</t>
        </is>
      </c>
      <c r="B441" s="1" t="n">
        <v>44406</v>
      </c>
      <c r="C441" s="1" t="n">
        <v>45172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38438-2021</t>
        </is>
      </c>
      <c r="B442" s="1" t="n">
        <v>44406</v>
      </c>
      <c r="C442" s="1" t="n">
        <v>45172</v>
      </c>
      <c r="D442" t="inlineStr">
        <is>
          <t>VÄSTERBOTTENS LÄN</t>
        </is>
      </c>
      <c r="E442" t="inlineStr">
        <is>
          <t>UMEÅ</t>
        </is>
      </c>
      <c r="F442" t="inlineStr">
        <is>
          <t>Övriga statliga verk och myndigheter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38445-2021</t>
        </is>
      </c>
      <c r="B443" s="1" t="n">
        <v>44406</v>
      </c>
      <c r="C443" s="1" t="n">
        <v>45172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38397-2021</t>
        </is>
      </c>
      <c r="B444" s="1" t="n">
        <v>44406</v>
      </c>
      <c r="C444" s="1" t="n">
        <v>45172</v>
      </c>
      <c r="D444" t="inlineStr">
        <is>
          <t>VÄSTERBOTTENS LÄN</t>
        </is>
      </c>
      <c r="E444" t="inlineStr">
        <is>
          <t>UMEÅ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38402-2021</t>
        </is>
      </c>
      <c r="B445" s="1" t="n">
        <v>44406</v>
      </c>
      <c r="C445" s="1" t="n">
        <v>45172</v>
      </c>
      <c r="D445" t="inlineStr">
        <is>
          <t>VÄSTERBOTTENS LÄN</t>
        </is>
      </c>
      <c r="E445" t="inlineStr">
        <is>
          <t>UMEÅ</t>
        </is>
      </c>
      <c r="F445" t="inlineStr">
        <is>
          <t>Kommuner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38434-2021</t>
        </is>
      </c>
      <c r="B446" s="1" t="n">
        <v>44406</v>
      </c>
      <c r="C446" s="1" t="n">
        <v>45172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38439-2021</t>
        </is>
      </c>
      <c r="B447" s="1" t="n">
        <v>44406</v>
      </c>
      <c r="C447" s="1" t="n">
        <v>45172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38447-2021</t>
        </is>
      </c>
      <c r="B448" s="1" t="n">
        <v>44406</v>
      </c>
      <c r="C448" s="1" t="n">
        <v>45172</v>
      </c>
      <c r="D448" t="inlineStr">
        <is>
          <t>VÄSTERBOTTENS LÄN</t>
        </is>
      </c>
      <c r="E448" t="inlineStr">
        <is>
          <t>UMEÅ</t>
        </is>
      </c>
      <c r="F448" t="inlineStr">
        <is>
          <t>Övriga statliga verk och myndigheter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38503-2021</t>
        </is>
      </c>
      <c r="B449" s="1" t="n">
        <v>44407</v>
      </c>
      <c r="C449" s="1" t="n">
        <v>45172</v>
      </c>
      <c r="D449" t="inlineStr">
        <is>
          <t>VÄSTERBOTTENS LÄN</t>
        </is>
      </c>
      <c r="E449" t="inlineStr">
        <is>
          <t>UMEÅ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38517-2021</t>
        </is>
      </c>
      <c r="B450" s="1" t="n">
        <v>44407</v>
      </c>
      <c r="C450" s="1" t="n">
        <v>45172</v>
      </c>
      <c r="D450" t="inlineStr">
        <is>
          <t>VÄSTERBOTTENS LÄN</t>
        </is>
      </c>
      <c r="E450" t="inlineStr">
        <is>
          <t>UMEÅ</t>
        </is>
      </c>
      <c r="F450" t="inlineStr">
        <is>
          <t>Kommuner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38535-2021</t>
        </is>
      </c>
      <c r="B451" s="1" t="n">
        <v>44407</v>
      </c>
      <c r="C451" s="1" t="n">
        <v>45172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38681-2021</t>
        </is>
      </c>
      <c r="B452" s="1" t="n">
        <v>44407</v>
      </c>
      <c r="C452" s="1" t="n">
        <v>45172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38691-2021</t>
        </is>
      </c>
      <c r="B453" s="1" t="n">
        <v>44407</v>
      </c>
      <c r="C453" s="1" t="n">
        <v>45172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38514-2021</t>
        </is>
      </c>
      <c r="B454" s="1" t="n">
        <v>44407</v>
      </c>
      <c r="C454" s="1" t="n">
        <v>45172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38519-2021</t>
        </is>
      </c>
      <c r="B455" s="1" t="n">
        <v>44407</v>
      </c>
      <c r="C455" s="1" t="n">
        <v>45172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38537-2021</t>
        </is>
      </c>
      <c r="B456" s="1" t="n">
        <v>44407</v>
      </c>
      <c r="C456" s="1" t="n">
        <v>45172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38559-2021</t>
        </is>
      </c>
      <c r="B457" s="1" t="n">
        <v>44407</v>
      </c>
      <c r="C457" s="1" t="n">
        <v>45172</v>
      </c>
      <c r="D457" t="inlineStr">
        <is>
          <t>VÄSTERBOTTENS LÄN</t>
        </is>
      </c>
      <c r="E457" t="inlineStr">
        <is>
          <t>UMEÅ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38683-2021</t>
        </is>
      </c>
      <c r="B458" s="1" t="n">
        <v>44407</v>
      </c>
      <c r="C458" s="1" t="n">
        <v>45172</v>
      </c>
      <c r="D458" t="inlineStr">
        <is>
          <t>VÄSTERBOTTENS LÄN</t>
        </is>
      </c>
      <c r="E458" t="inlineStr">
        <is>
          <t>UMEÅ</t>
        </is>
      </c>
      <c r="F458" t="inlineStr">
        <is>
          <t>Kommuner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38515-2021</t>
        </is>
      </c>
      <c r="B459" s="1" t="n">
        <v>44407</v>
      </c>
      <c r="C459" s="1" t="n">
        <v>45172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38523-2021</t>
        </is>
      </c>
      <c r="B460" s="1" t="n">
        <v>44407</v>
      </c>
      <c r="C460" s="1" t="n">
        <v>45172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38541-2021</t>
        </is>
      </c>
      <c r="B461" s="1" t="n">
        <v>44407</v>
      </c>
      <c r="C461" s="1" t="n">
        <v>45172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38547-2021</t>
        </is>
      </c>
      <c r="B462" s="1" t="n">
        <v>44407</v>
      </c>
      <c r="C462" s="1" t="n">
        <v>45172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38560-2021</t>
        </is>
      </c>
      <c r="B463" s="1" t="n">
        <v>44407</v>
      </c>
      <c r="C463" s="1" t="n">
        <v>45172</v>
      </c>
      <c r="D463" t="inlineStr">
        <is>
          <t>VÄSTERBOTTENS LÄN</t>
        </is>
      </c>
      <c r="E463" t="inlineStr">
        <is>
          <t>UMEÅ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38684-2021</t>
        </is>
      </c>
      <c r="B464" s="1" t="n">
        <v>44407</v>
      </c>
      <c r="C464" s="1" t="n">
        <v>45172</v>
      </c>
      <c r="D464" t="inlineStr">
        <is>
          <t>VÄSTERBOTTENS LÄN</t>
        </is>
      </c>
      <c r="E464" t="inlineStr">
        <is>
          <t>UMEÅ</t>
        </is>
      </c>
      <c r="F464" t="inlineStr">
        <is>
          <t>Kommuner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38220-2021</t>
        </is>
      </c>
      <c r="B465" s="1" t="n">
        <v>44407</v>
      </c>
      <c r="C465" s="1" t="n">
        <v>45172</v>
      </c>
      <c r="D465" t="inlineStr">
        <is>
          <t>VÄSTERBOTTENS LÄN</t>
        </is>
      </c>
      <c r="E465" t="inlineStr">
        <is>
          <t>UMEÅ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38516-2021</t>
        </is>
      </c>
      <c r="B466" s="1" t="n">
        <v>44407</v>
      </c>
      <c r="C466" s="1" t="n">
        <v>45172</v>
      </c>
      <c r="D466" t="inlineStr">
        <is>
          <t>VÄSTERBOTTENS LÄN</t>
        </is>
      </c>
      <c r="E466" t="inlineStr">
        <is>
          <t>UMEÅ</t>
        </is>
      </c>
      <c r="F466" t="inlineStr">
        <is>
          <t>Kommuner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38524-2021</t>
        </is>
      </c>
      <c r="B467" s="1" t="n">
        <v>44407</v>
      </c>
      <c r="C467" s="1" t="n">
        <v>45172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38543-2021</t>
        </is>
      </c>
      <c r="B468" s="1" t="n">
        <v>44407</v>
      </c>
      <c r="C468" s="1" t="n">
        <v>45172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38679-2021</t>
        </is>
      </c>
      <c r="B469" s="1" t="n">
        <v>44407</v>
      </c>
      <c r="C469" s="1" t="n">
        <v>45172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38685-2021</t>
        </is>
      </c>
      <c r="B470" s="1" t="n">
        <v>44407</v>
      </c>
      <c r="C470" s="1" t="n">
        <v>45172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38690-2021</t>
        </is>
      </c>
      <c r="B471" s="1" t="n">
        <v>44407</v>
      </c>
      <c r="C471" s="1" t="n">
        <v>45172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38719-2021</t>
        </is>
      </c>
      <c r="B472" s="1" t="n">
        <v>44410</v>
      </c>
      <c r="C472" s="1" t="n">
        <v>45172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38725-2021</t>
        </is>
      </c>
      <c r="B473" s="1" t="n">
        <v>44410</v>
      </c>
      <c r="C473" s="1" t="n">
        <v>45172</v>
      </c>
      <c r="D473" t="inlineStr">
        <is>
          <t>VÄSTERBOTTENS LÄN</t>
        </is>
      </c>
      <c r="E473" t="inlineStr">
        <is>
          <t>UMEÅ</t>
        </is>
      </c>
      <c r="F473" t="inlineStr">
        <is>
          <t>Övriga statliga verk och myndigheter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38731-2021</t>
        </is>
      </c>
      <c r="B474" s="1" t="n">
        <v>44410</v>
      </c>
      <c r="C474" s="1" t="n">
        <v>45172</v>
      </c>
      <c r="D474" t="inlineStr">
        <is>
          <t>VÄSTERBOTTENS LÄN</t>
        </is>
      </c>
      <c r="E474" t="inlineStr">
        <is>
          <t>UMEÅ</t>
        </is>
      </c>
      <c r="F474" t="inlineStr">
        <is>
          <t>Kommuner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38892-2021</t>
        </is>
      </c>
      <c r="B475" s="1" t="n">
        <v>44410</v>
      </c>
      <c r="C475" s="1" t="n">
        <v>45172</v>
      </c>
      <c r="D475" t="inlineStr">
        <is>
          <t>VÄSTERBOTTENS LÄN</t>
        </is>
      </c>
      <c r="E475" t="inlineStr">
        <is>
          <t>UMEÅ</t>
        </is>
      </c>
      <c r="F475" t="inlineStr">
        <is>
          <t>Övriga statliga verk och myndigheter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38909-2021</t>
        </is>
      </c>
      <c r="B476" s="1" t="n">
        <v>44410</v>
      </c>
      <c r="C476" s="1" t="n">
        <v>45172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38918-2021</t>
        </is>
      </c>
      <c r="B477" s="1" t="n">
        <v>44410</v>
      </c>
      <c r="C477" s="1" t="n">
        <v>45172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38924-2021</t>
        </is>
      </c>
      <c r="B478" s="1" t="n">
        <v>44410</v>
      </c>
      <c r="C478" s="1" t="n">
        <v>45172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38721-2021</t>
        </is>
      </c>
      <c r="B479" s="1" t="n">
        <v>44410</v>
      </c>
      <c r="C479" s="1" t="n">
        <v>45172</v>
      </c>
      <c r="D479" t="inlineStr">
        <is>
          <t>VÄSTERBOTTENS LÄN</t>
        </is>
      </c>
      <c r="E479" t="inlineStr">
        <is>
          <t>UMEÅ</t>
        </is>
      </c>
      <c r="F479" t="inlineStr">
        <is>
          <t>Kommuner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38750-2021</t>
        </is>
      </c>
      <c r="B480" s="1" t="n">
        <v>44410</v>
      </c>
      <c r="C480" s="1" t="n">
        <v>45172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38895-2021</t>
        </is>
      </c>
      <c r="B481" s="1" t="n">
        <v>44410</v>
      </c>
      <c r="C481" s="1" t="n">
        <v>45172</v>
      </c>
      <c r="D481" t="inlineStr">
        <is>
          <t>VÄSTERBOTTENS LÄN</t>
        </is>
      </c>
      <c r="E481" t="inlineStr">
        <is>
          <t>UMEÅ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38912-2021</t>
        </is>
      </c>
      <c r="B482" s="1" t="n">
        <v>44410</v>
      </c>
      <c r="C482" s="1" t="n">
        <v>45172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38921-2021</t>
        </is>
      </c>
      <c r="B483" s="1" t="n">
        <v>44410</v>
      </c>
      <c r="C483" s="1" t="n">
        <v>45172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38720-2021</t>
        </is>
      </c>
      <c r="B484" s="1" t="n">
        <v>44410</v>
      </c>
      <c r="C484" s="1" t="n">
        <v>45172</v>
      </c>
      <c r="D484" t="inlineStr">
        <is>
          <t>VÄSTERBOTTENS LÄN</t>
        </is>
      </c>
      <c r="E484" t="inlineStr">
        <is>
          <t>UMEÅ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38746-2021</t>
        </is>
      </c>
      <c r="B485" s="1" t="n">
        <v>44410</v>
      </c>
      <c r="C485" s="1" t="n">
        <v>45172</v>
      </c>
      <c r="D485" t="inlineStr">
        <is>
          <t>VÄSTERBOTTENS LÄN</t>
        </is>
      </c>
      <c r="E485" t="inlineStr">
        <is>
          <t>UMEÅ</t>
        </is>
      </c>
      <c r="F485" t="inlineStr">
        <is>
          <t>Övriga statliga verk och myndigheter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38893-2021</t>
        </is>
      </c>
      <c r="B486" s="1" t="n">
        <v>44410</v>
      </c>
      <c r="C486" s="1" t="n">
        <v>45172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38910-2021</t>
        </is>
      </c>
      <c r="B487" s="1" t="n">
        <v>44410</v>
      </c>
      <c r="C487" s="1" t="n">
        <v>45172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38920-2021</t>
        </is>
      </c>
      <c r="B488" s="1" t="n">
        <v>44410</v>
      </c>
      <c r="C488" s="1" t="n">
        <v>45172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38717-2021</t>
        </is>
      </c>
      <c r="B489" s="1" t="n">
        <v>44410</v>
      </c>
      <c r="C489" s="1" t="n">
        <v>45172</v>
      </c>
      <c r="D489" t="inlineStr">
        <is>
          <t>VÄSTERBOTTENS LÄN</t>
        </is>
      </c>
      <c r="E489" t="inlineStr">
        <is>
          <t>UMEÅ</t>
        </is>
      </c>
      <c r="F489" t="inlineStr">
        <is>
          <t>Kommuner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38722-2021</t>
        </is>
      </c>
      <c r="B490" s="1" t="n">
        <v>44410</v>
      </c>
      <c r="C490" s="1" t="n">
        <v>45172</v>
      </c>
      <c r="D490" t="inlineStr">
        <is>
          <t>VÄSTERBOTTENS LÄN</t>
        </is>
      </c>
      <c r="E490" t="inlineStr">
        <is>
          <t>UMEÅ</t>
        </is>
      </c>
      <c r="F490" t="inlineStr">
        <is>
          <t>Övriga statliga verk och myndigheter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38729-2021</t>
        </is>
      </c>
      <c r="B491" s="1" t="n">
        <v>44410</v>
      </c>
      <c r="C491" s="1" t="n">
        <v>45172</v>
      </c>
      <c r="D491" t="inlineStr">
        <is>
          <t>VÄSTERBOTTENS LÄN</t>
        </is>
      </c>
      <c r="E491" t="inlineStr">
        <is>
          <t>UMEÅ</t>
        </is>
      </c>
      <c r="F491" t="inlineStr">
        <is>
          <t>Kommuner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38739-2021</t>
        </is>
      </c>
      <c r="B492" s="1" t="n">
        <v>44410</v>
      </c>
      <c r="C492" s="1" t="n">
        <v>45172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38891-2021</t>
        </is>
      </c>
      <c r="B493" s="1" t="n">
        <v>44410</v>
      </c>
      <c r="C493" s="1" t="n">
        <v>45172</v>
      </c>
      <c r="D493" t="inlineStr">
        <is>
          <t>VÄSTERBOTTENS LÄN</t>
        </is>
      </c>
      <c r="E493" t="inlineStr">
        <is>
          <t>UMEÅ</t>
        </is>
      </c>
      <c r="F493" t="inlineStr">
        <is>
          <t>Övriga statliga verk och myndigheter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38906-2021</t>
        </is>
      </c>
      <c r="B494" s="1" t="n">
        <v>44410</v>
      </c>
      <c r="C494" s="1" t="n">
        <v>45172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38915-2021</t>
        </is>
      </c>
      <c r="B495" s="1" t="n">
        <v>44410</v>
      </c>
      <c r="C495" s="1" t="n">
        <v>45172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38923-2021</t>
        </is>
      </c>
      <c r="B496" s="1" t="n">
        <v>44410</v>
      </c>
      <c r="C496" s="1" t="n">
        <v>45172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42352-2021</t>
        </is>
      </c>
      <c r="B497" s="1" t="n">
        <v>44427</v>
      </c>
      <c r="C497" s="1" t="n">
        <v>45172</v>
      </c>
      <c r="D497" t="inlineStr">
        <is>
          <t>VÄSTERBOTTENS LÄN</t>
        </is>
      </c>
      <c r="E497" t="inlineStr">
        <is>
          <t>UMEÅ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43357-2021</t>
        </is>
      </c>
      <c r="B498" s="1" t="n">
        <v>44432</v>
      </c>
      <c r="C498" s="1" t="n">
        <v>45172</v>
      </c>
      <c r="D498" t="inlineStr">
        <is>
          <t>VÄSTERBOTTENS LÄN</t>
        </is>
      </c>
      <c r="E498" t="inlineStr">
        <is>
          <t>UMEÅ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43591-2021</t>
        </is>
      </c>
      <c r="B499" s="1" t="n">
        <v>44433</v>
      </c>
      <c r="C499" s="1" t="n">
        <v>45172</v>
      </c>
      <c r="D499" t="inlineStr">
        <is>
          <t>VÄSTERBOTTENS LÄN</t>
        </is>
      </c>
      <c r="E499" t="inlineStr">
        <is>
          <t>UMEÅ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44817-2021</t>
        </is>
      </c>
      <c r="B500" s="1" t="n">
        <v>44438</v>
      </c>
      <c r="C500" s="1" t="n">
        <v>45172</v>
      </c>
      <c r="D500" t="inlineStr">
        <is>
          <t>VÄSTERBOTTENS LÄN</t>
        </is>
      </c>
      <c r="E500" t="inlineStr">
        <is>
          <t>UMEÅ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48613-2021</t>
        </is>
      </c>
      <c r="B501" s="1" t="n">
        <v>44452</v>
      </c>
      <c r="C501" s="1" t="n">
        <v>45172</v>
      </c>
      <c r="D501" t="inlineStr">
        <is>
          <t>VÄSTERBOTTENS LÄN</t>
        </is>
      </c>
      <c r="E501" t="inlineStr">
        <is>
          <t>UMEÅ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48607-2021</t>
        </is>
      </c>
      <c r="B502" s="1" t="n">
        <v>44452</v>
      </c>
      <c r="C502" s="1" t="n">
        <v>45172</v>
      </c>
      <c r="D502" t="inlineStr">
        <is>
          <t>VÄSTERBOTTENS LÄN</t>
        </is>
      </c>
      <c r="E502" t="inlineStr">
        <is>
          <t>UMEÅ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49353-2021</t>
        </is>
      </c>
      <c r="B503" s="1" t="n">
        <v>44453</v>
      </c>
      <c r="C503" s="1" t="n">
        <v>45172</v>
      </c>
      <c r="D503" t="inlineStr">
        <is>
          <t>VÄSTERBOTTENS LÄN</t>
        </is>
      </c>
      <c r="E503" t="inlineStr">
        <is>
          <t>UMEÅ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49850-2021</t>
        </is>
      </c>
      <c r="B504" s="1" t="n">
        <v>44455</v>
      </c>
      <c r="C504" s="1" t="n">
        <v>45172</v>
      </c>
      <c r="D504" t="inlineStr">
        <is>
          <t>VÄSTERBOTTENS LÄN</t>
        </is>
      </c>
      <c r="E504" t="inlineStr">
        <is>
          <t>UMEÅ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50110-2021</t>
        </is>
      </c>
      <c r="B505" s="1" t="n">
        <v>44456</v>
      </c>
      <c r="C505" s="1" t="n">
        <v>45172</v>
      </c>
      <c r="D505" t="inlineStr">
        <is>
          <t>VÄSTERBOTTENS LÄN</t>
        </is>
      </c>
      <c r="E505" t="inlineStr">
        <is>
          <t>UMEÅ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52309-2021</t>
        </is>
      </c>
      <c r="B506" s="1" t="n">
        <v>44463</v>
      </c>
      <c r="C506" s="1" t="n">
        <v>45172</v>
      </c>
      <c r="D506" t="inlineStr">
        <is>
          <t>VÄSTERBOTTENS LÄN</t>
        </is>
      </c>
      <c r="E506" t="inlineStr">
        <is>
          <t>UMEÅ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52740-2021</t>
        </is>
      </c>
      <c r="B507" s="1" t="n">
        <v>44467</v>
      </c>
      <c r="C507" s="1" t="n">
        <v>45172</v>
      </c>
      <c r="D507" t="inlineStr">
        <is>
          <t>VÄSTERBOTTENS LÄN</t>
        </is>
      </c>
      <c r="E507" t="inlineStr">
        <is>
          <t>UMEÅ</t>
        </is>
      </c>
      <c r="F507" t="inlineStr">
        <is>
          <t>Sveaskog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53181-2021</t>
        </is>
      </c>
      <c r="B508" s="1" t="n">
        <v>44467</v>
      </c>
      <c r="C508" s="1" t="n">
        <v>45172</v>
      </c>
      <c r="D508" t="inlineStr">
        <is>
          <t>VÄSTERBOTTENS LÄN</t>
        </is>
      </c>
      <c r="E508" t="inlineStr">
        <is>
          <t>UMEÅ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53570-2021</t>
        </is>
      </c>
      <c r="B509" s="1" t="n">
        <v>44469</v>
      </c>
      <c r="C509" s="1" t="n">
        <v>45172</v>
      </c>
      <c r="D509" t="inlineStr">
        <is>
          <t>VÄSTERBOTTENS LÄN</t>
        </is>
      </c>
      <c r="E509" t="inlineStr">
        <is>
          <t>UMEÅ</t>
        </is>
      </c>
      <c r="F509" t="inlineStr">
        <is>
          <t>Holmen skog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55910-2021</t>
        </is>
      </c>
      <c r="B510" s="1" t="n">
        <v>44476</v>
      </c>
      <c r="C510" s="1" t="n">
        <v>45172</v>
      </c>
      <c r="D510" t="inlineStr">
        <is>
          <t>VÄSTERBOTTENS LÄN</t>
        </is>
      </c>
      <c r="E510" t="inlineStr">
        <is>
          <t>UMEÅ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56563-2021</t>
        </is>
      </c>
      <c r="B511" s="1" t="n">
        <v>44480</v>
      </c>
      <c r="C511" s="1" t="n">
        <v>45172</v>
      </c>
      <c r="D511" t="inlineStr">
        <is>
          <t>VÄSTERBOTTENS LÄN</t>
        </is>
      </c>
      <c r="E511" t="inlineStr">
        <is>
          <t>UMEÅ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57603-2021</t>
        </is>
      </c>
      <c r="B512" s="1" t="n">
        <v>44483</v>
      </c>
      <c r="C512" s="1" t="n">
        <v>45172</v>
      </c>
      <c r="D512" t="inlineStr">
        <is>
          <t>VÄSTERBOTTENS LÄN</t>
        </is>
      </c>
      <c r="E512" t="inlineStr">
        <is>
          <t>UMEÅ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58612-2021</t>
        </is>
      </c>
      <c r="B513" s="1" t="n">
        <v>44489</v>
      </c>
      <c r="C513" s="1" t="n">
        <v>45172</v>
      </c>
      <c r="D513" t="inlineStr">
        <is>
          <t>VÄSTERBOTTENS LÄN</t>
        </is>
      </c>
      <c r="E513" t="inlineStr">
        <is>
          <t>UMEÅ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60088-2021</t>
        </is>
      </c>
      <c r="B514" s="1" t="n">
        <v>44495</v>
      </c>
      <c r="C514" s="1" t="n">
        <v>45172</v>
      </c>
      <c r="D514" t="inlineStr">
        <is>
          <t>VÄSTERBOTTENS LÄN</t>
        </is>
      </c>
      <c r="E514" t="inlineStr">
        <is>
          <t>UMEÅ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60832-2021</t>
        </is>
      </c>
      <c r="B515" s="1" t="n">
        <v>44496</v>
      </c>
      <c r="C515" s="1" t="n">
        <v>45172</v>
      </c>
      <c r="D515" t="inlineStr">
        <is>
          <t>VÄSTERBOTTENS LÄN</t>
        </is>
      </c>
      <c r="E515" t="inlineStr">
        <is>
          <t>UMEÅ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62267-2021</t>
        </is>
      </c>
      <c r="B516" s="1" t="n">
        <v>44501</v>
      </c>
      <c r="C516" s="1" t="n">
        <v>45172</v>
      </c>
      <c r="D516" t="inlineStr">
        <is>
          <t>VÄSTERBOTTENS LÄN</t>
        </is>
      </c>
      <c r="E516" t="inlineStr">
        <is>
          <t>UMEÅ</t>
        </is>
      </c>
      <c r="G516" t="n">
        <v>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62648-2021</t>
        </is>
      </c>
      <c r="B517" s="1" t="n">
        <v>44503</v>
      </c>
      <c r="C517" s="1" t="n">
        <v>45172</v>
      </c>
      <c r="D517" t="inlineStr">
        <is>
          <t>VÄSTERBOTTENS LÄN</t>
        </is>
      </c>
      <c r="E517" t="inlineStr">
        <is>
          <t>UMEÅ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62982-2021</t>
        </is>
      </c>
      <c r="B518" s="1" t="n">
        <v>44504</v>
      </c>
      <c r="C518" s="1" t="n">
        <v>45172</v>
      </c>
      <c r="D518" t="inlineStr">
        <is>
          <t>VÄSTERBOTTENS LÄN</t>
        </is>
      </c>
      <c r="E518" t="inlineStr">
        <is>
          <t>UMEÅ</t>
        </is>
      </c>
      <c r="G518" t="n">
        <v>11.9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64355-2021</t>
        </is>
      </c>
      <c r="B519" s="1" t="n">
        <v>44511</v>
      </c>
      <c r="C519" s="1" t="n">
        <v>45172</v>
      </c>
      <c r="D519" t="inlineStr">
        <is>
          <t>VÄSTERBOTTENS LÄN</t>
        </is>
      </c>
      <c r="E519" t="inlineStr">
        <is>
          <t>UMEÅ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65251-2021</t>
        </is>
      </c>
      <c r="B520" s="1" t="n">
        <v>44515</v>
      </c>
      <c r="C520" s="1" t="n">
        <v>45172</v>
      </c>
      <c r="D520" t="inlineStr">
        <is>
          <t>VÄSTERBOTTENS LÄN</t>
        </is>
      </c>
      <c r="E520" t="inlineStr">
        <is>
          <t>UMEÅ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66444-2021</t>
        </is>
      </c>
      <c r="B521" s="1" t="n">
        <v>44518</v>
      </c>
      <c r="C521" s="1" t="n">
        <v>45172</v>
      </c>
      <c r="D521" t="inlineStr">
        <is>
          <t>VÄSTERBOTTENS LÄN</t>
        </is>
      </c>
      <c r="E521" t="inlineStr">
        <is>
          <t>UMEÅ</t>
        </is>
      </c>
      <c r="F521" t="inlineStr">
        <is>
          <t>Holmen skog AB</t>
        </is>
      </c>
      <c r="G521" t="n">
        <v>13.3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68757-2021</t>
        </is>
      </c>
      <c r="B522" s="1" t="n">
        <v>44529</v>
      </c>
      <c r="C522" s="1" t="n">
        <v>45172</v>
      </c>
      <c r="D522" t="inlineStr">
        <is>
          <t>VÄSTERBOTTENS LÄN</t>
        </is>
      </c>
      <c r="E522" t="inlineStr">
        <is>
          <t>UMEÅ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70068-2021</t>
        </is>
      </c>
      <c r="B523" s="1" t="n">
        <v>44533</v>
      </c>
      <c r="C523" s="1" t="n">
        <v>45172</v>
      </c>
      <c r="D523" t="inlineStr">
        <is>
          <t>VÄSTERBOTTENS LÄN</t>
        </is>
      </c>
      <c r="E523" t="inlineStr">
        <is>
          <t>UMEÅ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70108-2021</t>
        </is>
      </c>
      <c r="B524" s="1" t="n">
        <v>44533</v>
      </c>
      <c r="C524" s="1" t="n">
        <v>45172</v>
      </c>
      <c r="D524" t="inlineStr">
        <is>
          <t>VÄSTERBOTTENS LÄN</t>
        </is>
      </c>
      <c r="E524" t="inlineStr">
        <is>
          <t>UMEÅ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70077-2021</t>
        </is>
      </c>
      <c r="B525" s="1" t="n">
        <v>44533</v>
      </c>
      <c r="C525" s="1" t="n">
        <v>45172</v>
      </c>
      <c r="D525" t="inlineStr">
        <is>
          <t>VÄSTERBOTTENS LÄN</t>
        </is>
      </c>
      <c r="E525" t="inlineStr">
        <is>
          <t>UMEÅ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72125-2021</t>
        </is>
      </c>
      <c r="B526" s="1" t="n">
        <v>44543</v>
      </c>
      <c r="C526" s="1" t="n">
        <v>45172</v>
      </c>
      <c r="D526" t="inlineStr">
        <is>
          <t>VÄSTERBOTTENS LÄN</t>
        </is>
      </c>
      <c r="E526" t="inlineStr">
        <is>
          <t>UMEÅ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73534-2021</t>
        </is>
      </c>
      <c r="B527" s="1" t="n">
        <v>44550</v>
      </c>
      <c r="C527" s="1" t="n">
        <v>45172</v>
      </c>
      <c r="D527" t="inlineStr">
        <is>
          <t>VÄSTERBOTTENS LÄN</t>
        </is>
      </c>
      <c r="E527" t="inlineStr">
        <is>
          <t>UMEÅ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73538-2021</t>
        </is>
      </c>
      <c r="B528" s="1" t="n">
        <v>44550</v>
      </c>
      <c r="C528" s="1" t="n">
        <v>45172</v>
      </c>
      <c r="D528" t="inlineStr">
        <is>
          <t>VÄSTERBOTTENS LÄN</t>
        </is>
      </c>
      <c r="E528" t="inlineStr">
        <is>
          <t>UMEÅ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73532-2021</t>
        </is>
      </c>
      <c r="B529" s="1" t="n">
        <v>44550</v>
      </c>
      <c r="C529" s="1" t="n">
        <v>45172</v>
      </c>
      <c r="D529" t="inlineStr">
        <is>
          <t>VÄSTERBOTTENS LÄN</t>
        </is>
      </c>
      <c r="E529" t="inlineStr">
        <is>
          <t>UMEÅ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73537-2021</t>
        </is>
      </c>
      <c r="B530" s="1" t="n">
        <v>44550</v>
      </c>
      <c r="C530" s="1" t="n">
        <v>45172</v>
      </c>
      <c r="D530" t="inlineStr">
        <is>
          <t>VÄSTERBOTTENS LÄN</t>
        </is>
      </c>
      <c r="E530" t="inlineStr">
        <is>
          <t>UMEÅ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74480-2021</t>
        </is>
      </c>
      <c r="B531" s="1" t="n">
        <v>44560</v>
      </c>
      <c r="C531" s="1" t="n">
        <v>45172</v>
      </c>
      <c r="D531" t="inlineStr">
        <is>
          <t>VÄSTERBOTTENS LÄN</t>
        </is>
      </c>
      <c r="E531" t="inlineStr">
        <is>
          <t>UMEÅ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703-2022</t>
        </is>
      </c>
      <c r="B532" s="1" t="n">
        <v>44566</v>
      </c>
      <c r="C532" s="1" t="n">
        <v>45172</v>
      </c>
      <c r="D532" t="inlineStr">
        <is>
          <t>VÄSTERBOTTENS LÄN</t>
        </is>
      </c>
      <c r="E532" t="inlineStr">
        <is>
          <t>UMEÅ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2608-2022</t>
        </is>
      </c>
      <c r="B533" s="1" t="n">
        <v>44580</v>
      </c>
      <c r="C533" s="1" t="n">
        <v>45172</v>
      </c>
      <c r="D533" t="inlineStr">
        <is>
          <t>VÄSTERBOTTENS LÄN</t>
        </is>
      </c>
      <c r="E533" t="inlineStr">
        <is>
          <t>UMEÅ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2586-2022</t>
        </is>
      </c>
      <c r="B534" s="1" t="n">
        <v>44580</v>
      </c>
      <c r="C534" s="1" t="n">
        <v>45172</v>
      </c>
      <c r="D534" t="inlineStr">
        <is>
          <t>VÄSTERBOTTENS LÄN</t>
        </is>
      </c>
      <c r="E534" t="inlineStr">
        <is>
          <t>UMEÅ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3940-2022</t>
        </is>
      </c>
      <c r="B535" s="1" t="n">
        <v>44587</v>
      </c>
      <c r="C535" s="1" t="n">
        <v>45172</v>
      </c>
      <c r="D535" t="inlineStr">
        <is>
          <t>VÄSTERBOTTENS LÄN</t>
        </is>
      </c>
      <c r="E535" t="inlineStr">
        <is>
          <t>UMEÅ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4893-2022</t>
        </is>
      </c>
      <c r="B536" s="1" t="n">
        <v>44592</v>
      </c>
      <c r="C536" s="1" t="n">
        <v>45172</v>
      </c>
      <c r="D536" t="inlineStr">
        <is>
          <t>VÄSTERBOTTENS LÄN</t>
        </is>
      </c>
      <c r="E536" t="inlineStr">
        <is>
          <t>UMEÅ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5969-2022</t>
        </is>
      </c>
      <c r="B537" s="1" t="n">
        <v>44599</v>
      </c>
      <c r="C537" s="1" t="n">
        <v>45172</v>
      </c>
      <c r="D537" t="inlineStr">
        <is>
          <t>VÄSTERBOTTENS LÄN</t>
        </is>
      </c>
      <c r="E537" t="inlineStr">
        <is>
          <t>UMEÅ</t>
        </is>
      </c>
      <c r="G537" t="n">
        <v>9.300000000000001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6342-2022</t>
        </is>
      </c>
      <c r="B538" s="1" t="n">
        <v>44600</v>
      </c>
      <c r="C538" s="1" t="n">
        <v>45172</v>
      </c>
      <c r="D538" t="inlineStr">
        <is>
          <t>VÄSTERBOTTENS LÄN</t>
        </is>
      </c>
      <c r="E538" t="inlineStr">
        <is>
          <t>UMEÅ</t>
        </is>
      </c>
      <c r="F538" t="inlineStr">
        <is>
          <t>Holmen skog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6711-2022</t>
        </is>
      </c>
      <c r="B539" s="1" t="n">
        <v>44602</v>
      </c>
      <c r="C539" s="1" t="n">
        <v>45172</v>
      </c>
      <c r="D539" t="inlineStr">
        <is>
          <t>VÄSTERBOTTENS LÄN</t>
        </is>
      </c>
      <c r="E539" t="inlineStr">
        <is>
          <t>UMEÅ</t>
        </is>
      </c>
      <c r="G539" t="n">
        <v>9.6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7356-2022</t>
        </is>
      </c>
      <c r="B540" s="1" t="n">
        <v>44606</v>
      </c>
      <c r="C540" s="1" t="n">
        <v>45172</v>
      </c>
      <c r="D540" t="inlineStr">
        <is>
          <t>VÄSTERBOTTENS LÄN</t>
        </is>
      </c>
      <c r="E540" t="inlineStr">
        <is>
          <t>UMEÅ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7316-2022</t>
        </is>
      </c>
      <c r="B541" s="1" t="n">
        <v>44606</v>
      </c>
      <c r="C541" s="1" t="n">
        <v>45172</v>
      </c>
      <c r="D541" t="inlineStr">
        <is>
          <t>VÄSTERBOTTENS LÄN</t>
        </is>
      </c>
      <c r="E541" t="inlineStr">
        <is>
          <t>UMEÅ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7376-2022</t>
        </is>
      </c>
      <c r="B542" s="1" t="n">
        <v>44606</v>
      </c>
      <c r="C542" s="1" t="n">
        <v>45172</v>
      </c>
      <c r="D542" t="inlineStr">
        <is>
          <t>VÄSTERBOTTENS LÄN</t>
        </is>
      </c>
      <c r="E542" t="inlineStr">
        <is>
          <t>UMEÅ</t>
        </is>
      </c>
      <c r="G542" t="n">
        <v>16.1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7210-2022</t>
        </is>
      </c>
      <c r="B543" s="1" t="n">
        <v>44606</v>
      </c>
      <c r="C543" s="1" t="n">
        <v>45172</v>
      </c>
      <c r="D543" t="inlineStr">
        <is>
          <t>VÄSTERBOTTENS LÄN</t>
        </is>
      </c>
      <c r="E543" t="inlineStr">
        <is>
          <t>UMEÅ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8223-2022</t>
        </is>
      </c>
      <c r="B544" s="1" t="n">
        <v>44609</v>
      </c>
      <c r="C544" s="1" t="n">
        <v>45172</v>
      </c>
      <c r="D544" t="inlineStr">
        <is>
          <t>VÄSTERBOTTENS LÄN</t>
        </is>
      </c>
      <c r="E544" t="inlineStr">
        <is>
          <t>UMEÅ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11538-2022</t>
        </is>
      </c>
      <c r="B545" s="1" t="n">
        <v>44631</v>
      </c>
      <c r="C545" s="1" t="n">
        <v>45172</v>
      </c>
      <c r="D545" t="inlineStr">
        <is>
          <t>VÄSTERBOTTENS LÄN</t>
        </is>
      </c>
      <c r="E545" t="inlineStr">
        <is>
          <t>UMEÅ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11515-2022</t>
        </is>
      </c>
      <c r="B546" s="1" t="n">
        <v>44631</v>
      </c>
      <c r="C546" s="1" t="n">
        <v>45172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16606-2022</t>
        </is>
      </c>
      <c r="B547" s="1" t="n">
        <v>44672</v>
      </c>
      <c r="C547" s="1" t="n">
        <v>45172</v>
      </c>
      <c r="D547" t="inlineStr">
        <is>
          <t>VÄSTERBOTTENS LÄN</t>
        </is>
      </c>
      <c r="E547" t="inlineStr">
        <is>
          <t>UMEÅ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17477-2022</t>
        </is>
      </c>
      <c r="B548" s="1" t="n">
        <v>44679</v>
      </c>
      <c r="C548" s="1" t="n">
        <v>45172</v>
      </c>
      <c r="D548" t="inlineStr">
        <is>
          <t>VÄSTERBOTTENS LÄN</t>
        </is>
      </c>
      <c r="E548" t="inlineStr">
        <is>
          <t>UMEÅ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17484-2022</t>
        </is>
      </c>
      <c r="B549" s="1" t="n">
        <v>44679</v>
      </c>
      <c r="C549" s="1" t="n">
        <v>45172</v>
      </c>
      <c r="D549" t="inlineStr">
        <is>
          <t>VÄSTERBOTTENS LÄN</t>
        </is>
      </c>
      <c r="E549" t="inlineStr">
        <is>
          <t>UMEÅ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18788-2022</t>
        </is>
      </c>
      <c r="B550" s="1" t="n">
        <v>44687</v>
      </c>
      <c r="C550" s="1" t="n">
        <v>45172</v>
      </c>
      <c r="D550" t="inlineStr">
        <is>
          <t>VÄSTERBOTTENS LÄN</t>
        </is>
      </c>
      <c r="E550" t="inlineStr">
        <is>
          <t>UMEÅ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22609-2022</t>
        </is>
      </c>
      <c r="B551" s="1" t="n">
        <v>44714</v>
      </c>
      <c r="C551" s="1" t="n">
        <v>45172</v>
      </c>
      <c r="D551" t="inlineStr">
        <is>
          <t>VÄSTERBOTTENS LÄN</t>
        </is>
      </c>
      <c r="E551" t="inlineStr">
        <is>
          <t>UMEÅ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23006-2022</t>
        </is>
      </c>
      <c r="B552" s="1" t="n">
        <v>44715</v>
      </c>
      <c r="C552" s="1" t="n">
        <v>45172</v>
      </c>
      <c r="D552" t="inlineStr">
        <is>
          <t>VÄSTERBOTTENS LÄN</t>
        </is>
      </c>
      <c r="E552" t="inlineStr">
        <is>
          <t>UMEÅ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25099-2022</t>
        </is>
      </c>
      <c r="B553" s="1" t="n">
        <v>44729</v>
      </c>
      <c r="C553" s="1" t="n">
        <v>45172</v>
      </c>
      <c r="D553" t="inlineStr">
        <is>
          <t>VÄSTERBOTTENS LÄN</t>
        </is>
      </c>
      <c r="E553" t="inlineStr">
        <is>
          <t>UMEÅ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25068-2022</t>
        </is>
      </c>
      <c r="B554" s="1" t="n">
        <v>44729</v>
      </c>
      <c r="C554" s="1" t="n">
        <v>45172</v>
      </c>
      <c r="D554" t="inlineStr">
        <is>
          <t>VÄSTERBOTTENS LÄN</t>
        </is>
      </c>
      <c r="E554" t="inlineStr">
        <is>
          <t>UMEÅ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25093-2022</t>
        </is>
      </c>
      <c r="B555" s="1" t="n">
        <v>44729</v>
      </c>
      <c r="C555" s="1" t="n">
        <v>45172</v>
      </c>
      <c r="D555" t="inlineStr">
        <is>
          <t>VÄSTERBOTTENS LÄN</t>
        </is>
      </c>
      <c r="E555" t="inlineStr">
        <is>
          <t>UMEÅ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25966-2022</t>
        </is>
      </c>
      <c r="B556" s="1" t="n">
        <v>44734</v>
      </c>
      <c r="C556" s="1" t="n">
        <v>45172</v>
      </c>
      <c r="D556" t="inlineStr">
        <is>
          <t>VÄSTERBOTTENS LÄN</t>
        </is>
      </c>
      <c r="E556" t="inlineStr">
        <is>
          <t>UMEÅ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26872-2022</t>
        </is>
      </c>
      <c r="B557" s="1" t="n">
        <v>44740</v>
      </c>
      <c r="C557" s="1" t="n">
        <v>45172</v>
      </c>
      <c r="D557" t="inlineStr">
        <is>
          <t>VÄSTERBOTTENS LÄN</t>
        </is>
      </c>
      <c r="E557" t="inlineStr">
        <is>
          <t>UMEÅ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26919-2022</t>
        </is>
      </c>
      <c r="B558" s="1" t="n">
        <v>44740</v>
      </c>
      <c r="C558" s="1" t="n">
        <v>45172</v>
      </c>
      <c r="D558" t="inlineStr">
        <is>
          <t>VÄSTERBOTTENS LÄN</t>
        </is>
      </c>
      <c r="E558" t="inlineStr">
        <is>
          <t>UMEÅ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26878-2022</t>
        </is>
      </c>
      <c r="B559" s="1" t="n">
        <v>44740</v>
      </c>
      <c r="C559" s="1" t="n">
        <v>45172</v>
      </c>
      <c r="D559" t="inlineStr">
        <is>
          <t>VÄSTERBOTTENS LÄN</t>
        </is>
      </c>
      <c r="E559" t="inlineStr">
        <is>
          <t>UMEÅ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27104-2022</t>
        </is>
      </c>
      <c r="B560" s="1" t="n">
        <v>44741</v>
      </c>
      <c r="C560" s="1" t="n">
        <v>45172</v>
      </c>
      <c r="D560" t="inlineStr">
        <is>
          <t>VÄSTERBOTTENS LÄN</t>
        </is>
      </c>
      <c r="E560" t="inlineStr">
        <is>
          <t>UMEÅ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27620-2022</t>
        </is>
      </c>
      <c r="B561" s="1" t="n">
        <v>44742</v>
      </c>
      <c r="C561" s="1" t="n">
        <v>45172</v>
      </c>
      <c r="D561" t="inlineStr">
        <is>
          <t>VÄSTERBOTTENS LÄN</t>
        </is>
      </c>
      <c r="E561" t="inlineStr">
        <is>
          <t>UMEÅ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29969-2022</t>
        </is>
      </c>
      <c r="B562" s="1" t="n">
        <v>44756</v>
      </c>
      <c r="C562" s="1" t="n">
        <v>45172</v>
      </c>
      <c r="D562" t="inlineStr">
        <is>
          <t>VÄSTERBOTTENS LÄN</t>
        </is>
      </c>
      <c r="E562" t="inlineStr">
        <is>
          <t>UMEÅ</t>
        </is>
      </c>
      <c r="F562" t="inlineStr">
        <is>
          <t>Holmen skog AB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31318-2022</t>
        </is>
      </c>
      <c r="B563" s="1" t="n">
        <v>44772</v>
      </c>
      <c r="C563" s="1" t="n">
        <v>45172</v>
      </c>
      <c r="D563" t="inlineStr">
        <is>
          <t>VÄSTERBOTTENS LÄN</t>
        </is>
      </c>
      <c r="E563" t="inlineStr">
        <is>
          <t>UMEÅ</t>
        </is>
      </c>
      <c r="G563" t="n">
        <v>11.3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31337-2022</t>
        </is>
      </c>
      <c r="B564" s="1" t="n">
        <v>44774</v>
      </c>
      <c r="C564" s="1" t="n">
        <v>45172</v>
      </c>
      <c r="D564" t="inlineStr">
        <is>
          <t>VÄSTERBOTTENS LÄN</t>
        </is>
      </c>
      <c r="E564" t="inlineStr">
        <is>
          <t>UMEÅ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32316-2022</t>
        </is>
      </c>
      <c r="B565" s="1" t="n">
        <v>44781</v>
      </c>
      <c r="C565" s="1" t="n">
        <v>45172</v>
      </c>
      <c r="D565" t="inlineStr">
        <is>
          <t>VÄSTERBOTTENS LÄN</t>
        </is>
      </c>
      <c r="E565" t="inlineStr">
        <is>
          <t>UMEÅ</t>
        </is>
      </c>
      <c r="F565" t="inlineStr">
        <is>
          <t>Holmen skog AB</t>
        </is>
      </c>
      <c r="G565" t="n">
        <v>6.4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33409-2022</t>
        </is>
      </c>
      <c r="B566" s="1" t="n">
        <v>44788</v>
      </c>
      <c r="C566" s="1" t="n">
        <v>45172</v>
      </c>
      <c r="D566" t="inlineStr">
        <is>
          <t>VÄSTERBOTTENS LÄN</t>
        </is>
      </c>
      <c r="E566" t="inlineStr">
        <is>
          <t>UMEÅ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33952-2022</t>
        </is>
      </c>
      <c r="B567" s="1" t="n">
        <v>44790</v>
      </c>
      <c r="C567" s="1" t="n">
        <v>45172</v>
      </c>
      <c r="D567" t="inlineStr">
        <is>
          <t>VÄSTERBOTTENS LÄN</t>
        </is>
      </c>
      <c r="E567" t="inlineStr">
        <is>
          <t>UMEÅ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35878-2022</t>
        </is>
      </c>
      <c r="B568" s="1" t="n">
        <v>44802</v>
      </c>
      <c r="C568" s="1" t="n">
        <v>45172</v>
      </c>
      <c r="D568" t="inlineStr">
        <is>
          <t>VÄSTERBOTTENS LÄN</t>
        </is>
      </c>
      <c r="E568" t="inlineStr">
        <is>
          <t>UMEÅ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37644-2022</t>
        </is>
      </c>
      <c r="B569" s="1" t="n">
        <v>44810</v>
      </c>
      <c r="C569" s="1" t="n">
        <v>45172</v>
      </c>
      <c r="D569" t="inlineStr">
        <is>
          <t>VÄSTERBOTTENS LÄN</t>
        </is>
      </c>
      <c r="E569" t="inlineStr">
        <is>
          <t>UMEÅ</t>
        </is>
      </c>
      <c r="G569" t="n">
        <v>16.9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37951-2022</t>
        </is>
      </c>
      <c r="B570" s="1" t="n">
        <v>44811</v>
      </c>
      <c r="C570" s="1" t="n">
        <v>45172</v>
      </c>
      <c r="D570" t="inlineStr">
        <is>
          <t>VÄSTERBOTTENS LÄN</t>
        </is>
      </c>
      <c r="E570" t="inlineStr">
        <is>
          <t>UMEÅ</t>
        </is>
      </c>
      <c r="F570" t="inlineStr">
        <is>
          <t>Holmen skog AB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38571-2022</t>
        </is>
      </c>
      <c r="B571" s="1" t="n">
        <v>44813</v>
      </c>
      <c r="C571" s="1" t="n">
        <v>45172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38646-2022</t>
        </is>
      </c>
      <c r="B572" s="1" t="n">
        <v>44813</v>
      </c>
      <c r="C572" s="1" t="n">
        <v>45172</v>
      </c>
      <c r="D572" t="inlineStr">
        <is>
          <t>VÄSTERBOTTENS LÄN</t>
        </is>
      </c>
      <c r="E572" t="inlineStr">
        <is>
          <t>UMEÅ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38959-2022</t>
        </is>
      </c>
      <c r="B573" s="1" t="n">
        <v>44816</v>
      </c>
      <c r="C573" s="1" t="n">
        <v>45172</v>
      </c>
      <c r="D573" t="inlineStr">
        <is>
          <t>VÄSTERBOTTENS LÄN</t>
        </is>
      </c>
      <c r="E573" t="inlineStr">
        <is>
          <t>UMEÅ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39482-2022</t>
        </is>
      </c>
      <c r="B574" s="1" t="n">
        <v>44818</v>
      </c>
      <c r="C574" s="1" t="n">
        <v>45172</v>
      </c>
      <c r="D574" t="inlineStr">
        <is>
          <t>VÄSTERBOTTENS LÄN</t>
        </is>
      </c>
      <c r="E574" t="inlineStr">
        <is>
          <t>UMEÅ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41267-2022</t>
        </is>
      </c>
      <c r="B575" s="1" t="n">
        <v>44825</v>
      </c>
      <c r="C575" s="1" t="n">
        <v>45172</v>
      </c>
      <c r="D575" t="inlineStr">
        <is>
          <t>VÄSTERBOTTENS LÄN</t>
        </is>
      </c>
      <c r="E575" t="inlineStr">
        <is>
          <t>UMEÅ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41213-2022</t>
        </is>
      </c>
      <c r="B576" s="1" t="n">
        <v>44825</v>
      </c>
      <c r="C576" s="1" t="n">
        <v>45172</v>
      </c>
      <c r="D576" t="inlineStr">
        <is>
          <t>VÄSTERBOTTENS LÄN</t>
        </is>
      </c>
      <c r="E576" t="inlineStr">
        <is>
          <t>UMEÅ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42043-2022</t>
        </is>
      </c>
      <c r="B577" s="1" t="n">
        <v>44830</v>
      </c>
      <c r="C577" s="1" t="n">
        <v>45172</v>
      </c>
      <c r="D577" t="inlineStr">
        <is>
          <t>VÄSTERBOTTENS LÄN</t>
        </is>
      </c>
      <c r="E577" t="inlineStr">
        <is>
          <t>UMEÅ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44375-2022</t>
        </is>
      </c>
      <c r="B578" s="1" t="n">
        <v>44838</v>
      </c>
      <c r="C578" s="1" t="n">
        <v>45172</v>
      </c>
      <c r="D578" t="inlineStr">
        <is>
          <t>VÄSTERBOTTENS LÄN</t>
        </is>
      </c>
      <c r="E578" t="inlineStr">
        <is>
          <t>UMEÅ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44334-2022</t>
        </is>
      </c>
      <c r="B579" s="1" t="n">
        <v>44839</v>
      </c>
      <c r="C579" s="1" t="n">
        <v>45172</v>
      </c>
      <c r="D579" t="inlineStr">
        <is>
          <t>VÄSTERBOTTENS LÄN</t>
        </is>
      </c>
      <c r="E579" t="inlineStr">
        <is>
          <t>UMEÅ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44121-2022</t>
        </is>
      </c>
      <c r="B580" s="1" t="n">
        <v>44839</v>
      </c>
      <c r="C580" s="1" t="n">
        <v>45172</v>
      </c>
      <c r="D580" t="inlineStr">
        <is>
          <t>VÄSTERBOTTENS LÄN</t>
        </is>
      </c>
      <c r="E580" t="inlineStr">
        <is>
          <t>UMEÅ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44684-2022</t>
        </is>
      </c>
      <c r="B581" s="1" t="n">
        <v>44839</v>
      </c>
      <c r="C581" s="1" t="n">
        <v>45172</v>
      </c>
      <c r="D581" t="inlineStr">
        <is>
          <t>VÄSTERBOTTENS LÄN</t>
        </is>
      </c>
      <c r="E581" t="inlineStr">
        <is>
          <t>UMEÅ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44481-2022</t>
        </is>
      </c>
      <c r="B582" s="1" t="n">
        <v>44840</v>
      </c>
      <c r="C582" s="1" t="n">
        <v>45172</v>
      </c>
      <c r="D582" t="inlineStr">
        <is>
          <t>VÄSTERBOTTENS LÄN</t>
        </is>
      </c>
      <c r="E582" t="inlineStr">
        <is>
          <t>UMEÅ</t>
        </is>
      </c>
      <c r="F582" t="inlineStr">
        <is>
          <t>Holmen skog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44729-2022</t>
        </is>
      </c>
      <c r="B583" s="1" t="n">
        <v>44840</v>
      </c>
      <c r="C583" s="1" t="n">
        <v>45172</v>
      </c>
      <c r="D583" t="inlineStr">
        <is>
          <t>VÄSTERBOTTENS LÄN</t>
        </is>
      </c>
      <c r="E583" t="inlineStr">
        <is>
          <t>UMEÅ</t>
        </is>
      </c>
      <c r="G583" t="n">
        <v>10.5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44957-2022</t>
        </is>
      </c>
      <c r="B584" s="1" t="n">
        <v>44840</v>
      </c>
      <c r="C584" s="1" t="n">
        <v>45172</v>
      </c>
      <c r="D584" t="inlineStr">
        <is>
          <t>VÄSTERBOTTENS LÄN</t>
        </is>
      </c>
      <c r="E584" t="inlineStr">
        <is>
          <t>UMEÅ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44730-2022</t>
        </is>
      </c>
      <c r="B585" s="1" t="n">
        <v>44840</v>
      </c>
      <c r="C585" s="1" t="n">
        <v>45172</v>
      </c>
      <c r="D585" t="inlineStr">
        <is>
          <t>VÄSTERBOTTENS LÄN</t>
        </is>
      </c>
      <c r="E585" t="inlineStr">
        <is>
          <t>UMEÅ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44968-2022</t>
        </is>
      </c>
      <c r="B586" s="1" t="n">
        <v>44840</v>
      </c>
      <c r="C586" s="1" t="n">
        <v>45172</v>
      </c>
      <c r="D586" t="inlineStr">
        <is>
          <t>VÄSTERBOTTENS LÄN</t>
        </is>
      </c>
      <c r="E586" t="inlineStr">
        <is>
          <t>UMEÅ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44983-2022</t>
        </is>
      </c>
      <c r="B587" s="1" t="n">
        <v>44841</v>
      </c>
      <c r="C587" s="1" t="n">
        <v>45172</v>
      </c>
      <c r="D587" t="inlineStr">
        <is>
          <t>VÄSTERBOTTENS LÄN</t>
        </is>
      </c>
      <c r="E587" t="inlineStr">
        <is>
          <t>UMEÅ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44830-2022</t>
        </is>
      </c>
      <c r="B588" s="1" t="n">
        <v>44841</v>
      </c>
      <c r="C588" s="1" t="n">
        <v>45172</v>
      </c>
      <c r="D588" t="inlineStr">
        <is>
          <t>VÄSTERBOTTENS LÄN</t>
        </is>
      </c>
      <c r="E588" t="inlineStr">
        <is>
          <t>UMEÅ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45907-2022</t>
        </is>
      </c>
      <c r="B589" s="1" t="n">
        <v>44846</v>
      </c>
      <c r="C589" s="1" t="n">
        <v>45172</v>
      </c>
      <c r="D589" t="inlineStr">
        <is>
          <t>VÄSTERBOTTENS LÄN</t>
        </is>
      </c>
      <c r="E589" t="inlineStr">
        <is>
          <t>UMEÅ</t>
        </is>
      </c>
      <c r="G589" t="n">
        <v>0.2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46413-2022</t>
        </is>
      </c>
      <c r="B590" s="1" t="n">
        <v>44846</v>
      </c>
      <c r="C590" s="1" t="n">
        <v>45172</v>
      </c>
      <c r="D590" t="inlineStr">
        <is>
          <t>VÄSTERBOTTENS LÄN</t>
        </is>
      </c>
      <c r="E590" t="inlineStr">
        <is>
          <t>UMEÅ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45902-2022</t>
        </is>
      </c>
      <c r="B591" s="1" t="n">
        <v>44846</v>
      </c>
      <c r="C591" s="1" t="n">
        <v>45172</v>
      </c>
      <c r="D591" t="inlineStr">
        <is>
          <t>VÄSTERBOTTENS LÄN</t>
        </is>
      </c>
      <c r="E591" t="inlineStr">
        <is>
          <t>UMEÅ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45881-2022</t>
        </is>
      </c>
      <c r="B592" s="1" t="n">
        <v>44846</v>
      </c>
      <c r="C592" s="1" t="n">
        <v>45172</v>
      </c>
      <c r="D592" t="inlineStr">
        <is>
          <t>VÄSTERBOTTENS LÄN</t>
        </is>
      </c>
      <c r="E592" t="inlineStr">
        <is>
          <t>UMEÅ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46408-2022</t>
        </is>
      </c>
      <c r="B593" s="1" t="n">
        <v>44846</v>
      </c>
      <c r="C593" s="1" t="n">
        <v>45172</v>
      </c>
      <c r="D593" t="inlineStr">
        <is>
          <t>VÄSTERBOTTENS LÄN</t>
        </is>
      </c>
      <c r="E593" t="inlineStr">
        <is>
          <t>UMEÅ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46410-2022</t>
        </is>
      </c>
      <c r="B594" s="1" t="n">
        <v>44846</v>
      </c>
      <c r="C594" s="1" t="n">
        <v>45172</v>
      </c>
      <c r="D594" t="inlineStr">
        <is>
          <t>VÄSTERBOTTENS LÄN</t>
        </is>
      </c>
      <c r="E594" t="inlineStr">
        <is>
          <t>UMEÅ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46573-2022</t>
        </is>
      </c>
      <c r="B595" s="1" t="n">
        <v>44847</v>
      </c>
      <c r="C595" s="1" t="n">
        <v>45172</v>
      </c>
      <c r="D595" t="inlineStr">
        <is>
          <t>VÄSTERBOTTENS LÄN</t>
        </is>
      </c>
      <c r="E595" t="inlineStr">
        <is>
          <t>UMEÅ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46287-2022</t>
        </is>
      </c>
      <c r="B596" s="1" t="n">
        <v>44847</v>
      </c>
      <c r="C596" s="1" t="n">
        <v>45172</v>
      </c>
      <c r="D596" t="inlineStr">
        <is>
          <t>VÄSTERBOTTENS LÄN</t>
        </is>
      </c>
      <c r="E596" t="inlineStr">
        <is>
          <t>UMEÅ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46439-2022</t>
        </is>
      </c>
      <c r="B597" s="1" t="n">
        <v>44848</v>
      </c>
      <c r="C597" s="1" t="n">
        <v>45172</v>
      </c>
      <c r="D597" t="inlineStr">
        <is>
          <t>VÄSTERBOTTENS LÄN</t>
        </is>
      </c>
      <c r="E597" t="inlineStr">
        <is>
          <t>UMEÅ</t>
        </is>
      </c>
      <c r="F597" t="inlineStr">
        <is>
          <t>Holmen skog AB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46450-2022</t>
        </is>
      </c>
      <c r="B598" s="1" t="n">
        <v>44848</v>
      </c>
      <c r="C598" s="1" t="n">
        <v>45172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47124-2022</t>
        </is>
      </c>
      <c r="B599" s="1" t="n">
        <v>44851</v>
      </c>
      <c r="C599" s="1" t="n">
        <v>45172</v>
      </c>
      <c r="D599" t="inlineStr">
        <is>
          <t>VÄSTERBOTTENS LÄN</t>
        </is>
      </c>
      <c r="E599" t="inlineStr">
        <is>
          <t>UMEÅ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48043-2022</t>
        </is>
      </c>
      <c r="B600" s="1" t="n">
        <v>44855</v>
      </c>
      <c r="C600" s="1" t="n">
        <v>45172</v>
      </c>
      <c r="D600" t="inlineStr">
        <is>
          <t>VÄSTERBOTTENS LÄN</t>
        </is>
      </c>
      <c r="E600" t="inlineStr">
        <is>
          <t>UMEÅ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48156-2022</t>
        </is>
      </c>
      <c r="B601" s="1" t="n">
        <v>44858</v>
      </c>
      <c r="C601" s="1" t="n">
        <v>45172</v>
      </c>
      <c r="D601" t="inlineStr">
        <is>
          <t>VÄSTERBOTTENS LÄN</t>
        </is>
      </c>
      <c r="E601" t="inlineStr">
        <is>
          <t>UMEÅ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49027-2022</t>
        </is>
      </c>
      <c r="B602" s="1" t="n">
        <v>44860</v>
      </c>
      <c r="C602" s="1" t="n">
        <v>45172</v>
      </c>
      <c r="D602" t="inlineStr">
        <is>
          <t>VÄSTERBOTTENS LÄN</t>
        </is>
      </c>
      <c r="E602" t="inlineStr">
        <is>
          <t>UMEÅ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49447-2022</t>
        </is>
      </c>
      <c r="B603" s="1" t="n">
        <v>44861</v>
      </c>
      <c r="C603" s="1" t="n">
        <v>45172</v>
      </c>
      <c r="D603" t="inlineStr">
        <is>
          <t>VÄSTERBOTTENS LÄN</t>
        </is>
      </c>
      <c r="E603" t="inlineStr">
        <is>
          <t>UMEÅ</t>
        </is>
      </c>
      <c r="F603" t="inlineStr">
        <is>
          <t>Holmen skog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49248-2022</t>
        </is>
      </c>
      <c r="B604" s="1" t="n">
        <v>44861</v>
      </c>
      <c r="C604" s="1" t="n">
        <v>45172</v>
      </c>
      <c r="D604" t="inlineStr">
        <is>
          <t>VÄSTERBOTTENS LÄN</t>
        </is>
      </c>
      <c r="E604" t="inlineStr">
        <is>
          <t>UMEÅ</t>
        </is>
      </c>
      <c r="F604" t="inlineStr">
        <is>
          <t>Sveaskog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50206-2022</t>
        </is>
      </c>
      <c r="B605" s="1" t="n">
        <v>44865</v>
      </c>
      <c r="C605" s="1" t="n">
        <v>45172</v>
      </c>
      <c r="D605" t="inlineStr">
        <is>
          <t>VÄSTERBOTTENS LÄN</t>
        </is>
      </c>
      <c r="E605" t="inlineStr">
        <is>
          <t>UMEÅ</t>
        </is>
      </c>
      <c r="F605" t="inlineStr">
        <is>
          <t>Holmen skog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52836-2022</t>
        </is>
      </c>
      <c r="B606" s="1" t="n">
        <v>44872</v>
      </c>
      <c r="C606" s="1" t="n">
        <v>45172</v>
      </c>
      <c r="D606" t="inlineStr">
        <is>
          <t>VÄSTERBOTTENS LÄN</t>
        </is>
      </c>
      <c r="E606" t="inlineStr">
        <is>
          <t>UMEÅ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52881-2022</t>
        </is>
      </c>
      <c r="B607" s="1" t="n">
        <v>44872</v>
      </c>
      <c r="C607" s="1" t="n">
        <v>45172</v>
      </c>
      <c r="D607" t="inlineStr">
        <is>
          <t>VÄSTERBOTTENS LÄN</t>
        </is>
      </c>
      <c r="E607" t="inlineStr">
        <is>
          <t>UMEÅ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52862-2022</t>
        </is>
      </c>
      <c r="B608" s="1" t="n">
        <v>44872</v>
      </c>
      <c r="C608" s="1" t="n">
        <v>45172</v>
      </c>
      <c r="D608" t="inlineStr">
        <is>
          <t>VÄSTERBOTTENS LÄN</t>
        </is>
      </c>
      <c r="E608" t="inlineStr">
        <is>
          <t>UMEÅ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52162-2022</t>
        </is>
      </c>
      <c r="B609" s="1" t="n">
        <v>44873</v>
      </c>
      <c r="C609" s="1" t="n">
        <v>45172</v>
      </c>
      <c r="D609" t="inlineStr">
        <is>
          <t>VÄSTERBOTTENS LÄN</t>
        </is>
      </c>
      <c r="E609" t="inlineStr">
        <is>
          <t>UMEÅ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52312-2022</t>
        </is>
      </c>
      <c r="B610" s="1" t="n">
        <v>44873</v>
      </c>
      <c r="C610" s="1" t="n">
        <v>45172</v>
      </c>
      <c r="D610" t="inlineStr">
        <is>
          <t>VÄSTERBOTTENS LÄN</t>
        </is>
      </c>
      <c r="E610" t="inlineStr">
        <is>
          <t>UMEÅ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52680-2022</t>
        </is>
      </c>
      <c r="B611" s="1" t="n">
        <v>44874</v>
      </c>
      <c r="C611" s="1" t="n">
        <v>45172</v>
      </c>
      <c r="D611" t="inlineStr">
        <is>
          <t>VÄSTERBOTTENS LÄN</t>
        </is>
      </c>
      <c r="E611" t="inlineStr">
        <is>
          <t>UMEÅ</t>
        </is>
      </c>
      <c r="F611" t="inlineStr">
        <is>
          <t>Sveaskog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52679-2022</t>
        </is>
      </c>
      <c r="B612" s="1" t="n">
        <v>44874</v>
      </c>
      <c r="C612" s="1" t="n">
        <v>45172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52681-2022</t>
        </is>
      </c>
      <c r="B613" s="1" t="n">
        <v>44874</v>
      </c>
      <c r="C613" s="1" t="n">
        <v>45172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53160-2022</t>
        </is>
      </c>
      <c r="B614" s="1" t="n">
        <v>44876</v>
      </c>
      <c r="C614" s="1" t="n">
        <v>45172</v>
      </c>
      <c r="D614" t="inlineStr">
        <is>
          <t>VÄSTERBOTTENS LÄN</t>
        </is>
      </c>
      <c r="E614" t="inlineStr">
        <is>
          <t>UMEÅ</t>
        </is>
      </c>
      <c r="G614" t="n">
        <v>11.5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53106-2022</t>
        </is>
      </c>
      <c r="B615" s="1" t="n">
        <v>44876</v>
      </c>
      <c r="C615" s="1" t="n">
        <v>45172</v>
      </c>
      <c r="D615" t="inlineStr">
        <is>
          <t>VÄSTERBOTTENS LÄN</t>
        </is>
      </c>
      <c r="E615" t="inlineStr">
        <is>
          <t>UMEÅ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57572-2022</t>
        </is>
      </c>
      <c r="B616" s="1" t="n">
        <v>44896</v>
      </c>
      <c r="C616" s="1" t="n">
        <v>45172</v>
      </c>
      <c r="D616" t="inlineStr">
        <is>
          <t>VÄSTERBOTTENS LÄN</t>
        </is>
      </c>
      <c r="E616" t="inlineStr">
        <is>
          <t>UMEÅ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57317-2022</t>
        </is>
      </c>
      <c r="B617" s="1" t="n">
        <v>44896</v>
      </c>
      <c r="C617" s="1" t="n">
        <v>45172</v>
      </c>
      <c r="D617" t="inlineStr">
        <is>
          <t>VÄSTERBOTTENS LÄN</t>
        </is>
      </c>
      <c r="E617" t="inlineStr">
        <is>
          <t>UMEÅ</t>
        </is>
      </c>
      <c r="F617" t="inlineStr">
        <is>
          <t>Holmen skog AB</t>
        </is>
      </c>
      <c r="G617" t="n">
        <v>8.9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58196-2022</t>
        </is>
      </c>
      <c r="B618" s="1" t="n">
        <v>44900</v>
      </c>
      <c r="C618" s="1" t="n">
        <v>45172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58722-2022</t>
        </is>
      </c>
      <c r="B619" s="1" t="n">
        <v>44902</v>
      </c>
      <c r="C619" s="1" t="n">
        <v>45172</v>
      </c>
      <c r="D619" t="inlineStr">
        <is>
          <t>VÄSTERBOTTENS LÄN</t>
        </is>
      </c>
      <c r="E619" t="inlineStr">
        <is>
          <t>UMEÅ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59080-2022</t>
        </is>
      </c>
      <c r="B620" s="1" t="n">
        <v>44904</v>
      </c>
      <c r="C620" s="1" t="n">
        <v>45172</v>
      </c>
      <c r="D620" t="inlineStr">
        <is>
          <t>VÄSTERBOTTENS LÄN</t>
        </is>
      </c>
      <c r="E620" t="inlineStr">
        <is>
          <t>UMEÅ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61034-2022</t>
        </is>
      </c>
      <c r="B621" s="1" t="n">
        <v>44914</v>
      </c>
      <c r="C621" s="1" t="n">
        <v>45172</v>
      </c>
      <c r="D621" t="inlineStr">
        <is>
          <t>VÄSTERBOTTENS LÄN</t>
        </is>
      </c>
      <c r="E621" t="inlineStr">
        <is>
          <t>UMEÅ</t>
        </is>
      </c>
      <c r="G621" t="n">
        <v>16.7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62307-2022</t>
        </is>
      </c>
      <c r="B622" s="1" t="n">
        <v>44916</v>
      </c>
      <c r="C622" s="1" t="n">
        <v>45172</v>
      </c>
      <c r="D622" t="inlineStr">
        <is>
          <t>VÄSTERBOTTENS LÄN</t>
        </is>
      </c>
      <c r="E622" t="inlineStr">
        <is>
          <t>UMEÅ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62540-2022</t>
        </is>
      </c>
      <c r="B623" s="1" t="n">
        <v>44917</v>
      </c>
      <c r="C623" s="1" t="n">
        <v>45172</v>
      </c>
      <c r="D623" t="inlineStr">
        <is>
          <t>VÄSTERBOTTENS LÄN</t>
        </is>
      </c>
      <c r="E623" t="inlineStr">
        <is>
          <t>UMEÅ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62106-2022</t>
        </is>
      </c>
      <c r="B624" s="1" t="n">
        <v>44920</v>
      </c>
      <c r="C624" s="1" t="n">
        <v>45172</v>
      </c>
      <c r="D624" t="inlineStr">
        <is>
          <t>VÄSTERBOTTENS LÄN</t>
        </is>
      </c>
      <c r="E624" t="inlineStr">
        <is>
          <t>UMEÅ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759-2023</t>
        </is>
      </c>
      <c r="B625" s="1" t="n">
        <v>44931</v>
      </c>
      <c r="C625" s="1" t="n">
        <v>45172</v>
      </c>
      <c r="D625" t="inlineStr">
        <is>
          <t>VÄSTERBOTTENS LÄN</t>
        </is>
      </c>
      <c r="E625" t="inlineStr">
        <is>
          <t>UMEÅ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1480-2023</t>
        </is>
      </c>
      <c r="B626" s="1" t="n">
        <v>44937</v>
      </c>
      <c r="C626" s="1" t="n">
        <v>45172</v>
      </c>
      <c r="D626" t="inlineStr">
        <is>
          <t>VÄSTERBOTTENS LÄN</t>
        </is>
      </c>
      <c r="E626" t="inlineStr">
        <is>
          <t>UMEÅ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2048-2023</t>
        </is>
      </c>
      <c r="B627" s="1" t="n">
        <v>44939</v>
      </c>
      <c r="C627" s="1" t="n">
        <v>45172</v>
      </c>
      <c r="D627" t="inlineStr">
        <is>
          <t>VÄSTERBOTTENS LÄN</t>
        </is>
      </c>
      <c r="E627" t="inlineStr">
        <is>
          <t>UMEÅ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2762-2023</t>
        </is>
      </c>
      <c r="B628" s="1" t="n">
        <v>44943</v>
      </c>
      <c r="C628" s="1" t="n">
        <v>45172</v>
      </c>
      <c r="D628" t="inlineStr">
        <is>
          <t>VÄSTERBOTTENS LÄN</t>
        </is>
      </c>
      <c r="E628" t="inlineStr">
        <is>
          <t>UMEÅ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2632-2023</t>
        </is>
      </c>
      <c r="B629" s="1" t="n">
        <v>44944</v>
      </c>
      <c r="C629" s="1" t="n">
        <v>45172</v>
      </c>
      <c r="D629" t="inlineStr">
        <is>
          <t>VÄSTERBOTTENS LÄN</t>
        </is>
      </c>
      <c r="E629" t="inlineStr">
        <is>
          <t>UMEÅ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2737-2023</t>
        </is>
      </c>
      <c r="B630" s="1" t="n">
        <v>44944</v>
      </c>
      <c r="C630" s="1" t="n">
        <v>45172</v>
      </c>
      <c r="D630" t="inlineStr">
        <is>
          <t>VÄSTERBOTTENS LÄN</t>
        </is>
      </c>
      <c r="E630" t="inlineStr">
        <is>
          <t>UMEÅ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2659-2023</t>
        </is>
      </c>
      <c r="B631" s="1" t="n">
        <v>44944</v>
      </c>
      <c r="C631" s="1" t="n">
        <v>45172</v>
      </c>
      <c r="D631" t="inlineStr">
        <is>
          <t>VÄSTERBOTTENS LÄN</t>
        </is>
      </c>
      <c r="E631" t="inlineStr">
        <is>
          <t>UMEÅ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2695-2023</t>
        </is>
      </c>
      <c r="B632" s="1" t="n">
        <v>44944</v>
      </c>
      <c r="C632" s="1" t="n">
        <v>45172</v>
      </c>
      <c r="D632" t="inlineStr">
        <is>
          <t>VÄSTERBOTTENS LÄN</t>
        </is>
      </c>
      <c r="E632" t="inlineStr">
        <is>
          <t>UMEÅ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4725-2023</t>
        </is>
      </c>
      <c r="B633" s="1" t="n">
        <v>44953</v>
      </c>
      <c r="C633" s="1" t="n">
        <v>45172</v>
      </c>
      <c r="D633" t="inlineStr">
        <is>
          <t>VÄSTERBOTTENS LÄN</t>
        </is>
      </c>
      <c r="E633" t="inlineStr">
        <is>
          <t>UMEÅ</t>
        </is>
      </c>
      <c r="F633" t="inlineStr">
        <is>
          <t>Övriga statliga verk och myndigheter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4730-2023</t>
        </is>
      </c>
      <c r="B634" s="1" t="n">
        <v>44957</v>
      </c>
      <c r="C634" s="1" t="n">
        <v>45172</v>
      </c>
      <c r="D634" t="inlineStr">
        <is>
          <t>VÄSTERBOTTENS LÄN</t>
        </is>
      </c>
      <c r="E634" t="inlineStr">
        <is>
          <t>UMEÅ</t>
        </is>
      </c>
      <c r="F634" t="inlineStr">
        <is>
          <t>Holmen skog AB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5840-2023</t>
        </is>
      </c>
      <c r="B635" s="1" t="n">
        <v>44958</v>
      </c>
      <c r="C635" s="1" t="n">
        <v>45172</v>
      </c>
      <c r="D635" t="inlineStr">
        <is>
          <t>VÄSTERBOTTENS LÄN</t>
        </is>
      </c>
      <c r="E635" t="inlineStr">
        <is>
          <t>UMEÅ</t>
        </is>
      </c>
      <c r="G635" t="n">
        <v>8.6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5844-2023</t>
        </is>
      </c>
      <c r="B636" s="1" t="n">
        <v>44958</v>
      </c>
      <c r="C636" s="1" t="n">
        <v>45172</v>
      </c>
      <c r="D636" t="inlineStr">
        <is>
          <t>VÄSTERBOTTENS LÄN</t>
        </is>
      </c>
      <c r="E636" t="inlineStr">
        <is>
          <t>UMEÅ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6090-2023</t>
        </is>
      </c>
      <c r="B637" s="1" t="n">
        <v>44964</v>
      </c>
      <c r="C637" s="1" t="n">
        <v>45172</v>
      </c>
      <c r="D637" t="inlineStr">
        <is>
          <t>VÄSTERBOTTENS LÄN</t>
        </is>
      </c>
      <c r="E637" t="inlineStr">
        <is>
          <t>UMEÅ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8539-2023</t>
        </is>
      </c>
      <c r="B638" s="1" t="n">
        <v>44972</v>
      </c>
      <c r="C638" s="1" t="n">
        <v>45172</v>
      </c>
      <c r="D638" t="inlineStr">
        <is>
          <t>VÄSTERBOTTENS LÄN</t>
        </is>
      </c>
      <c r="E638" t="inlineStr">
        <is>
          <t>UMEÅ</t>
        </is>
      </c>
      <c r="G638" t="n">
        <v>21.8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9229-2023</t>
        </is>
      </c>
      <c r="B639" s="1" t="n">
        <v>44977</v>
      </c>
      <c r="C639" s="1" t="n">
        <v>45172</v>
      </c>
      <c r="D639" t="inlineStr">
        <is>
          <t>VÄSTERBOTTENS LÄN</t>
        </is>
      </c>
      <c r="E639" t="inlineStr">
        <is>
          <t>UMEÅ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10357-2023</t>
        </is>
      </c>
      <c r="B640" s="1" t="n">
        <v>44980</v>
      </c>
      <c r="C640" s="1" t="n">
        <v>45172</v>
      </c>
      <c r="D640" t="inlineStr">
        <is>
          <t>VÄSTERBOTTENS LÄN</t>
        </is>
      </c>
      <c r="E640" t="inlineStr">
        <is>
          <t>UMEÅ</t>
        </is>
      </c>
      <c r="F640" t="inlineStr">
        <is>
          <t>Kommuner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9304-2023</t>
        </is>
      </c>
      <c r="B641" s="1" t="n">
        <v>44980</v>
      </c>
      <c r="C641" s="1" t="n">
        <v>45172</v>
      </c>
      <c r="D641" t="inlineStr">
        <is>
          <t>VÄSTERBOTTENS LÄN</t>
        </is>
      </c>
      <c r="E641" t="inlineStr">
        <is>
          <t>UMEÅ</t>
        </is>
      </c>
      <c r="F641" t="inlineStr">
        <is>
          <t>Holmen skog AB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10487-2023</t>
        </is>
      </c>
      <c r="B642" s="1" t="n">
        <v>44981</v>
      </c>
      <c r="C642" s="1" t="n">
        <v>45172</v>
      </c>
      <c r="D642" t="inlineStr">
        <is>
          <t>VÄSTERBOTTENS LÄN</t>
        </is>
      </c>
      <c r="E642" t="inlineStr">
        <is>
          <t>UMEÅ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9531-2023</t>
        </is>
      </c>
      <c r="B643" s="1" t="n">
        <v>44981</v>
      </c>
      <c r="C643" s="1" t="n">
        <v>45172</v>
      </c>
      <c r="D643" t="inlineStr">
        <is>
          <t>VÄSTERBOTTENS LÄN</t>
        </is>
      </c>
      <c r="E643" t="inlineStr">
        <is>
          <t>UMEÅ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9607-2023</t>
        </is>
      </c>
      <c r="B644" s="1" t="n">
        <v>44983</v>
      </c>
      <c r="C644" s="1" t="n">
        <v>45172</v>
      </c>
      <c r="D644" t="inlineStr">
        <is>
          <t>VÄSTERBOTTENS LÄN</t>
        </is>
      </c>
      <c r="E644" t="inlineStr">
        <is>
          <t>UMEÅ</t>
        </is>
      </c>
      <c r="F644" t="inlineStr">
        <is>
          <t>Holmen skog AB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10636-2023</t>
        </is>
      </c>
      <c r="B645" s="1" t="n">
        <v>44984</v>
      </c>
      <c r="C645" s="1" t="n">
        <v>45172</v>
      </c>
      <c r="D645" t="inlineStr">
        <is>
          <t>VÄSTERBOTTENS LÄN</t>
        </is>
      </c>
      <c r="E645" t="inlineStr">
        <is>
          <t>UMEÅ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10587-2023</t>
        </is>
      </c>
      <c r="B646" s="1" t="n">
        <v>44984</v>
      </c>
      <c r="C646" s="1" t="n">
        <v>45172</v>
      </c>
      <c r="D646" t="inlineStr">
        <is>
          <t>VÄSTERBOTTENS LÄN</t>
        </is>
      </c>
      <c r="E646" t="inlineStr">
        <is>
          <t>UMEÅ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10532-2023</t>
        </is>
      </c>
      <c r="B647" s="1" t="n">
        <v>44987</v>
      </c>
      <c r="C647" s="1" t="n">
        <v>45172</v>
      </c>
      <c r="D647" t="inlineStr">
        <is>
          <t>VÄSTERBOTTENS LÄN</t>
        </is>
      </c>
      <c r="E647" t="inlineStr">
        <is>
          <t>UMEÅ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13768-2023</t>
        </is>
      </c>
      <c r="B648" s="1" t="n">
        <v>45006</v>
      </c>
      <c r="C648" s="1" t="n">
        <v>45172</v>
      </c>
      <c r="D648" t="inlineStr">
        <is>
          <t>VÄSTERBOTTENS LÄN</t>
        </is>
      </c>
      <c r="E648" t="inlineStr">
        <is>
          <t>UMEÅ</t>
        </is>
      </c>
      <c r="F648" t="inlineStr">
        <is>
          <t>Kommuner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14091-2023</t>
        </is>
      </c>
      <c r="B649" s="1" t="n">
        <v>45007</v>
      </c>
      <c r="C649" s="1" t="n">
        <v>45172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14242-2023</t>
        </is>
      </c>
      <c r="B650" s="1" t="n">
        <v>45009</v>
      </c>
      <c r="C650" s="1" t="n">
        <v>45172</v>
      </c>
      <c r="D650" t="inlineStr">
        <is>
          <t>VÄSTERBOTTENS LÄN</t>
        </is>
      </c>
      <c r="E650" t="inlineStr">
        <is>
          <t>UMEÅ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14734-2023</t>
        </is>
      </c>
      <c r="B651" s="1" t="n">
        <v>45013</v>
      </c>
      <c r="C651" s="1" t="n">
        <v>45172</v>
      </c>
      <c r="D651" t="inlineStr">
        <is>
          <t>VÄSTERBOTTENS LÄN</t>
        </is>
      </c>
      <c r="E651" t="inlineStr">
        <is>
          <t>UMEÅ</t>
        </is>
      </c>
      <c r="G651" t="n">
        <v>14.4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14928-2023</t>
        </is>
      </c>
      <c r="B652" s="1" t="n">
        <v>45014</v>
      </c>
      <c r="C652" s="1" t="n">
        <v>45172</v>
      </c>
      <c r="D652" t="inlineStr">
        <is>
          <t>VÄSTERBOTTENS LÄN</t>
        </is>
      </c>
      <c r="E652" t="inlineStr">
        <is>
          <t>UMEÅ</t>
        </is>
      </c>
      <c r="F652" t="inlineStr">
        <is>
          <t>Kommuner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15031-2023</t>
        </is>
      </c>
      <c r="B653" s="1" t="n">
        <v>45015</v>
      </c>
      <c r="C653" s="1" t="n">
        <v>45172</v>
      </c>
      <c r="D653" t="inlineStr">
        <is>
          <t>VÄSTERBOTTENS LÄN</t>
        </is>
      </c>
      <c r="E653" t="inlineStr">
        <is>
          <t>UMEÅ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15347-2023</t>
        </is>
      </c>
      <c r="B654" s="1" t="n">
        <v>45016</v>
      </c>
      <c r="C654" s="1" t="n">
        <v>45172</v>
      </c>
      <c r="D654" t="inlineStr">
        <is>
          <t>VÄSTERBOTTENS LÄN</t>
        </is>
      </c>
      <c r="E654" t="inlineStr">
        <is>
          <t>UMEÅ</t>
        </is>
      </c>
      <c r="F654" t="inlineStr">
        <is>
          <t>Kommuner</t>
        </is>
      </c>
      <c r="G654" t="n">
        <v>9.699999999999999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15465-2023</t>
        </is>
      </c>
      <c r="B655" s="1" t="n">
        <v>45016</v>
      </c>
      <c r="C655" s="1" t="n">
        <v>45172</v>
      </c>
      <c r="D655" t="inlineStr">
        <is>
          <t>VÄSTERBOTTENS LÄN</t>
        </is>
      </c>
      <c r="E655" t="inlineStr">
        <is>
          <t>UMEÅ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15358-2023</t>
        </is>
      </c>
      <c r="B656" s="1" t="n">
        <v>45016</v>
      </c>
      <c r="C656" s="1" t="n">
        <v>45172</v>
      </c>
      <c r="D656" t="inlineStr">
        <is>
          <t>VÄSTERBOTTENS LÄN</t>
        </is>
      </c>
      <c r="E656" t="inlineStr">
        <is>
          <t>UMEÅ</t>
        </is>
      </c>
      <c r="F656" t="inlineStr">
        <is>
          <t>Kommuner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15352-2023</t>
        </is>
      </c>
      <c r="B657" s="1" t="n">
        <v>45016</v>
      </c>
      <c r="C657" s="1" t="n">
        <v>45172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15411-2023</t>
        </is>
      </c>
      <c r="B658" s="1" t="n">
        <v>45016</v>
      </c>
      <c r="C658" s="1" t="n">
        <v>45172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15453-2023</t>
        </is>
      </c>
      <c r="B659" s="1" t="n">
        <v>45016</v>
      </c>
      <c r="C659" s="1" t="n">
        <v>45172</v>
      </c>
      <c r="D659" t="inlineStr">
        <is>
          <t>VÄSTERBOTTENS LÄN</t>
        </is>
      </c>
      <c r="E659" t="inlineStr">
        <is>
          <t>UMEÅ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15199-2023</t>
        </is>
      </c>
      <c r="B660" s="1" t="n">
        <v>45017</v>
      </c>
      <c r="C660" s="1" t="n">
        <v>45172</v>
      </c>
      <c r="D660" t="inlineStr">
        <is>
          <t>VÄSTERBOTTENS LÄN</t>
        </is>
      </c>
      <c r="E660" t="inlineStr">
        <is>
          <t>UMEÅ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15591-2023</t>
        </is>
      </c>
      <c r="B661" s="1" t="n">
        <v>45019</v>
      </c>
      <c r="C661" s="1" t="n">
        <v>45172</v>
      </c>
      <c r="D661" t="inlineStr">
        <is>
          <t>VÄSTERBOTTENS LÄN</t>
        </is>
      </c>
      <c r="E661" t="inlineStr">
        <is>
          <t>UMEÅ</t>
        </is>
      </c>
      <c r="F661" t="inlineStr">
        <is>
          <t>Kommuner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15656-2023</t>
        </is>
      </c>
      <c r="B662" s="1" t="n">
        <v>45019</v>
      </c>
      <c r="C662" s="1" t="n">
        <v>45172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15478-2023</t>
        </is>
      </c>
      <c r="B663" s="1" t="n">
        <v>45020</v>
      </c>
      <c r="C663" s="1" t="n">
        <v>45172</v>
      </c>
      <c r="D663" t="inlineStr">
        <is>
          <t>VÄSTERBOTTENS LÄN</t>
        </is>
      </c>
      <c r="E663" t="inlineStr">
        <is>
          <t>UMEÅ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15886-2023</t>
        </is>
      </c>
      <c r="B664" s="1" t="n">
        <v>45022</v>
      </c>
      <c r="C664" s="1" t="n">
        <v>45172</v>
      </c>
      <c r="D664" t="inlineStr">
        <is>
          <t>VÄSTERBOTTENS LÄN</t>
        </is>
      </c>
      <c r="E664" t="inlineStr">
        <is>
          <t>UMEÅ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15902-2023</t>
        </is>
      </c>
      <c r="B665" s="1" t="n">
        <v>45022</v>
      </c>
      <c r="C665" s="1" t="n">
        <v>45172</v>
      </c>
      <c r="D665" t="inlineStr">
        <is>
          <t>VÄSTERBOTTENS LÄN</t>
        </is>
      </c>
      <c r="E665" t="inlineStr">
        <is>
          <t>UMEÅ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16330-2023</t>
        </is>
      </c>
      <c r="B666" s="1" t="n">
        <v>45028</v>
      </c>
      <c r="C666" s="1" t="n">
        <v>45172</v>
      </c>
      <c r="D666" t="inlineStr">
        <is>
          <t>VÄSTERBOTTENS LÄN</t>
        </is>
      </c>
      <c r="E666" t="inlineStr">
        <is>
          <t>UMEÅ</t>
        </is>
      </c>
      <c r="F666" t="inlineStr">
        <is>
          <t>Holmen skog AB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17110-2023</t>
        </is>
      </c>
      <c r="B667" s="1" t="n">
        <v>45030</v>
      </c>
      <c r="C667" s="1" t="n">
        <v>45172</v>
      </c>
      <c r="D667" t="inlineStr">
        <is>
          <t>VÄSTERBOTTENS LÄN</t>
        </is>
      </c>
      <c r="E667" t="inlineStr">
        <is>
          <t>UMEÅ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17359-2023</t>
        </is>
      </c>
      <c r="B668" s="1" t="n">
        <v>45033</v>
      </c>
      <c r="C668" s="1" t="n">
        <v>45172</v>
      </c>
      <c r="D668" t="inlineStr">
        <is>
          <t>VÄSTERBOTTENS LÄN</t>
        </is>
      </c>
      <c r="E668" t="inlineStr">
        <is>
          <t>UMEÅ</t>
        </is>
      </c>
      <c r="F668" t="inlineStr">
        <is>
          <t>Kommuner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16827-2023</t>
        </is>
      </c>
      <c r="B669" s="1" t="n">
        <v>45033</v>
      </c>
      <c r="C669" s="1" t="n">
        <v>45172</v>
      </c>
      <c r="D669" t="inlineStr">
        <is>
          <t>VÄSTERBOTTENS LÄN</t>
        </is>
      </c>
      <c r="E669" t="inlineStr">
        <is>
          <t>UMEÅ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17352-2023</t>
        </is>
      </c>
      <c r="B670" s="1" t="n">
        <v>45033</v>
      </c>
      <c r="C670" s="1" t="n">
        <v>45172</v>
      </c>
      <c r="D670" t="inlineStr">
        <is>
          <t>VÄSTERBOTTENS LÄN</t>
        </is>
      </c>
      <c r="E670" t="inlineStr">
        <is>
          <t>UMEÅ</t>
        </is>
      </c>
      <c r="F670" t="inlineStr">
        <is>
          <t>Kommuner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17528-2023</t>
        </is>
      </c>
      <c r="B671" s="1" t="n">
        <v>45034</v>
      </c>
      <c r="C671" s="1" t="n">
        <v>45172</v>
      </c>
      <c r="D671" t="inlineStr">
        <is>
          <t>VÄSTERBOTTENS LÄN</t>
        </is>
      </c>
      <c r="E671" t="inlineStr">
        <is>
          <t>UMEÅ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17562-2023</t>
        </is>
      </c>
      <c r="B672" s="1" t="n">
        <v>45034</v>
      </c>
      <c r="C672" s="1" t="n">
        <v>45172</v>
      </c>
      <c r="D672" t="inlineStr">
        <is>
          <t>VÄSTERBOTTENS LÄN</t>
        </is>
      </c>
      <c r="E672" t="inlineStr">
        <is>
          <t>UMEÅ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17537-2023</t>
        </is>
      </c>
      <c r="B673" s="1" t="n">
        <v>45034</v>
      </c>
      <c r="C673" s="1" t="n">
        <v>45172</v>
      </c>
      <c r="D673" t="inlineStr">
        <is>
          <t>VÄSTERBOTTENS LÄN</t>
        </is>
      </c>
      <c r="E673" t="inlineStr">
        <is>
          <t>UMEÅ</t>
        </is>
      </c>
      <c r="G673" t="n">
        <v>4.6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17924-2023</t>
        </is>
      </c>
      <c r="B674" s="1" t="n">
        <v>45037</v>
      </c>
      <c r="C674" s="1" t="n">
        <v>45172</v>
      </c>
      <c r="D674" t="inlineStr">
        <is>
          <t>VÄSTERBOTTENS LÄN</t>
        </is>
      </c>
      <c r="E674" t="inlineStr">
        <is>
          <t>UMEÅ</t>
        </is>
      </c>
      <c r="F674" t="inlineStr">
        <is>
          <t>Kommuner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17945-2023</t>
        </is>
      </c>
      <c r="B675" s="1" t="n">
        <v>45037</v>
      </c>
      <c r="C675" s="1" t="n">
        <v>45172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17928-2023</t>
        </is>
      </c>
      <c r="B676" s="1" t="n">
        <v>45037</v>
      </c>
      <c r="C676" s="1" t="n">
        <v>45172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17949-2023</t>
        </is>
      </c>
      <c r="B677" s="1" t="n">
        <v>45037</v>
      </c>
      <c r="C677" s="1" t="n">
        <v>45172</v>
      </c>
      <c r="D677" t="inlineStr">
        <is>
          <t>VÄSTERBOTTENS LÄN</t>
        </is>
      </c>
      <c r="E677" t="inlineStr">
        <is>
          <t>UMEÅ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17989-2023</t>
        </is>
      </c>
      <c r="B678" s="1" t="n">
        <v>45040</v>
      </c>
      <c r="C678" s="1" t="n">
        <v>45172</v>
      </c>
      <c r="D678" t="inlineStr">
        <is>
          <t>VÄSTERBOTTENS LÄN</t>
        </is>
      </c>
      <c r="E678" t="inlineStr">
        <is>
          <t>UMEÅ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18520-2023</t>
        </is>
      </c>
      <c r="B679" s="1" t="n">
        <v>45041</v>
      </c>
      <c r="C679" s="1" t="n">
        <v>45172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18527-2023</t>
        </is>
      </c>
      <c r="B680" s="1" t="n">
        <v>45041</v>
      </c>
      <c r="C680" s="1" t="n">
        <v>45172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18448-2023</t>
        </is>
      </c>
      <c r="B681" s="1" t="n">
        <v>45042</v>
      </c>
      <c r="C681" s="1" t="n">
        <v>45172</v>
      </c>
      <c r="D681" t="inlineStr">
        <is>
          <t>VÄSTERBOTTENS LÄN</t>
        </is>
      </c>
      <c r="E681" t="inlineStr">
        <is>
          <t>UMEÅ</t>
        </is>
      </c>
      <c r="G681" t="n">
        <v>7.3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18913-2023</t>
        </is>
      </c>
      <c r="B682" s="1" t="n">
        <v>45043</v>
      </c>
      <c r="C682" s="1" t="n">
        <v>45172</v>
      </c>
      <c r="D682" t="inlineStr">
        <is>
          <t>VÄSTERBOTTENS LÄN</t>
        </is>
      </c>
      <c r="E682" t="inlineStr">
        <is>
          <t>UMEÅ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19119-2023</t>
        </is>
      </c>
      <c r="B683" s="1" t="n">
        <v>45043</v>
      </c>
      <c r="C683" s="1" t="n">
        <v>45172</v>
      </c>
      <c r="D683" t="inlineStr">
        <is>
          <t>VÄSTERBOTTENS LÄN</t>
        </is>
      </c>
      <c r="E683" t="inlineStr">
        <is>
          <t>UMEÅ</t>
        </is>
      </c>
      <c r="G683" t="n">
        <v>10.1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18907-2023</t>
        </is>
      </c>
      <c r="B684" s="1" t="n">
        <v>45043</v>
      </c>
      <c r="C684" s="1" t="n">
        <v>45172</v>
      </c>
      <c r="D684" t="inlineStr">
        <is>
          <t>VÄSTERBOTTENS LÄN</t>
        </is>
      </c>
      <c r="E684" t="inlineStr">
        <is>
          <t>UMEÅ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19053-2023</t>
        </is>
      </c>
      <c r="B685" s="1" t="n">
        <v>45047</v>
      </c>
      <c r="C685" s="1" t="n">
        <v>45172</v>
      </c>
      <c r="D685" t="inlineStr">
        <is>
          <t>VÄSTERBOTTENS LÄN</t>
        </is>
      </c>
      <c r="E685" t="inlineStr">
        <is>
          <t>UMEÅ</t>
        </is>
      </c>
      <c r="G685" t="n">
        <v>4.8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19199-2023</t>
        </is>
      </c>
      <c r="B686" s="1" t="n">
        <v>45048</v>
      </c>
      <c r="C686" s="1" t="n">
        <v>45172</v>
      </c>
      <c r="D686" t="inlineStr">
        <is>
          <t>VÄSTERBOTTENS LÄN</t>
        </is>
      </c>
      <c r="E686" t="inlineStr">
        <is>
          <t>UMEÅ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19200-2023</t>
        </is>
      </c>
      <c r="B687" s="1" t="n">
        <v>45048</v>
      </c>
      <c r="C687" s="1" t="n">
        <v>45172</v>
      </c>
      <c r="D687" t="inlineStr">
        <is>
          <t>VÄSTERBOTTENS LÄN</t>
        </is>
      </c>
      <c r="E687" t="inlineStr">
        <is>
          <t>UMEÅ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20809-2023</t>
        </is>
      </c>
      <c r="B688" s="1" t="n">
        <v>45055</v>
      </c>
      <c r="C688" s="1" t="n">
        <v>45172</v>
      </c>
      <c r="D688" t="inlineStr">
        <is>
          <t>VÄSTERBOTTENS LÄN</t>
        </is>
      </c>
      <c r="E688" t="inlineStr">
        <is>
          <t>UMEÅ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20795-2023</t>
        </is>
      </c>
      <c r="B689" s="1" t="n">
        <v>45055</v>
      </c>
      <c r="C689" s="1" t="n">
        <v>45172</v>
      </c>
      <c r="D689" t="inlineStr">
        <is>
          <t>VÄSTERBOTTENS LÄN</t>
        </is>
      </c>
      <c r="E689" t="inlineStr">
        <is>
          <t>UMEÅ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20991-2023</t>
        </is>
      </c>
      <c r="B690" s="1" t="n">
        <v>45056</v>
      </c>
      <c r="C690" s="1" t="n">
        <v>45172</v>
      </c>
      <c r="D690" t="inlineStr">
        <is>
          <t>VÄSTERBOTTENS LÄN</t>
        </is>
      </c>
      <c r="E690" t="inlineStr">
        <is>
          <t>UMEÅ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21013-2023</t>
        </is>
      </c>
      <c r="B691" s="1" t="n">
        <v>45056</v>
      </c>
      <c r="C691" s="1" t="n">
        <v>45172</v>
      </c>
      <c r="D691" t="inlineStr">
        <is>
          <t>VÄSTERBOTTENS LÄN</t>
        </is>
      </c>
      <c r="E691" t="inlineStr">
        <is>
          <t>UMEÅ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20858-2023</t>
        </is>
      </c>
      <c r="B692" s="1" t="n">
        <v>45058</v>
      </c>
      <c r="C692" s="1" t="n">
        <v>45172</v>
      </c>
      <c r="D692" t="inlineStr">
        <is>
          <t>VÄSTERBOTTENS LÄN</t>
        </is>
      </c>
      <c r="E692" t="inlineStr">
        <is>
          <t>UMEÅ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21917-2023</t>
        </is>
      </c>
      <c r="B693" s="1" t="n">
        <v>45065</v>
      </c>
      <c r="C693" s="1" t="n">
        <v>45172</v>
      </c>
      <c r="D693" t="inlineStr">
        <is>
          <t>VÄSTERBOTTENS LÄN</t>
        </is>
      </c>
      <c r="E693" t="inlineStr">
        <is>
          <t>UMEÅ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22003-2023</t>
        </is>
      </c>
      <c r="B694" s="1" t="n">
        <v>45068</v>
      </c>
      <c r="C694" s="1" t="n">
        <v>45172</v>
      </c>
      <c r="D694" t="inlineStr">
        <is>
          <t>VÄSTERBOTTENS LÄN</t>
        </is>
      </c>
      <c r="E694" t="inlineStr">
        <is>
          <t>UMEÅ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22292-2023</t>
        </is>
      </c>
      <c r="B695" s="1" t="n">
        <v>45070</v>
      </c>
      <c r="C695" s="1" t="n">
        <v>45172</v>
      </c>
      <c r="D695" t="inlineStr">
        <is>
          <t>VÄSTERBOTTENS LÄN</t>
        </is>
      </c>
      <c r="E695" t="inlineStr">
        <is>
          <t>UMEÅ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22291-2023</t>
        </is>
      </c>
      <c r="B696" s="1" t="n">
        <v>45070</v>
      </c>
      <c r="C696" s="1" t="n">
        <v>45172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23340-2023</t>
        </is>
      </c>
      <c r="B697" s="1" t="n">
        <v>45071</v>
      </c>
      <c r="C697" s="1" t="n">
        <v>45172</v>
      </c>
      <c r="D697" t="inlineStr">
        <is>
          <t>VÄSTERBOTTENS LÄN</t>
        </is>
      </c>
      <c r="E697" t="inlineStr">
        <is>
          <t>UMEÅ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23343-2023</t>
        </is>
      </c>
      <c r="B698" s="1" t="n">
        <v>45071</v>
      </c>
      <c r="C698" s="1" t="n">
        <v>45172</v>
      </c>
      <c r="D698" t="inlineStr">
        <is>
          <t>VÄSTERBOTTENS LÄN</t>
        </is>
      </c>
      <c r="E698" t="inlineStr">
        <is>
          <t>UMEÅ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24392-2023</t>
        </is>
      </c>
      <c r="B699" s="1" t="n">
        <v>45076</v>
      </c>
      <c r="C699" s="1" t="n">
        <v>45172</v>
      </c>
      <c r="D699" t="inlineStr">
        <is>
          <t>VÄSTERBOTTENS LÄN</t>
        </is>
      </c>
      <c r="E699" t="inlineStr">
        <is>
          <t>UMEÅ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23540-2023</t>
        </is>
      </c>
      <c r="B700" s="1" t="n">
        <v>45077</v>
      </c>
      <c r="C700" s="1" t="n">
        <v>45172</v>
      </c>
      <c r="D700" t="inlineStr">
        <is>
          <t>VÄSTERBOTTENS LÄN</t>
        </is>
      </c>
      <c r="E700" t="inlineStr">
        <is>
          <t>UMEÅ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23733-2023</t>
        </is>
      </c>
      <c r="B701" s="1" t="n">
        <v>45077</v>
      </c>
      <c r="C701" s="1" t="n">
        <v>45172</v>
      </c>
      <c r="D701" t="inlineStr">
        <is>
          <t>VÄSTERBOTTENS LÄN</t>
        </is>
      </c>
      <c r="E701" t="inlineStr">
        <is>
          <t>UMEÅ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24875-2023</t>
        </is>
      </c>
      <c r="B702" s="1" t="n">
        <v>45078</v>
      </c>
      <c r="C702" s="1" t="n">
        <v>45172</v>
      </c>
      <c r="D702" t="inlineStr">
        <is>
          <t>VÄSTERBOTTENS LÄN</t>
        </is>
      </c>
      <c r="E702" t="inlineStr">
        <is>
          <t>UMEÅ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23888-2023</t>
        </is>
      </c>
      <c r="B703" s="1" t="n">
        <v>45078</v>
      </c>
      <c r="C703" s="1" t="n">
        <v>45172</v>
      </c>
      <c r="D703" t="inlineStr">
        <is>
          <t>VÄSTERBOTTENS LÄN</t>
        </is>
      </c>
      <c r="E703" t="inlineStr">
        <is>
          <t>UMEÅ</t>
        </is>
      </c>
      <c r="F703" t="inlineStr">
        <is>
          <t>Holmen skog AB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23983-2023</t>
        </is>
      </c>
      <c r="B704" s="1" t="n">
        <v>45078</v>
      </c>
      <c r="C704" s="1" t="n">
        <v>45172</v>
      </c>
      <c r="D704" t="inlineStr">
        <is>
          <t>VÄSTERBOTTENS LÄN</t>
        </is>
      </c>
      <c r="E704" t="inlineStr">
        <is>
          <t>UMEÅ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24879-2023</t>
        </is>
      </c>
      <c r="B705" s="1" t="n">
        <v>45078</v>
      </c>
      <c r="C705" s="1" t="n">
        <v>45172</v>
      </c>
      <c r="D705" t="inlineStr">
        <is>
          <t>VÄSTERBOTTENS LÄN</t>
        </is>
      </c>
      <c r="E705" t="inlineStr">
        <is>
          <t>UMEÅ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24676-2023</t>
        </is>
      </c>
      <c r="B706" s="1" t="n">
        <v>45082</v>
      </c>
      <c r="C706" s="1" t="n">
        <v>45172</v>
      </c>
      <c r="D706" t="inlineStr">
        <is>
          <t>VÄSTERBOTTENS LÄN</t>
        </is>
      </c>
      <c r="E706" t="inlineStr">
        <is>
          <t>UMEÅ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24816-2023</t>
        </is>
      </c>
      <c r="B707" s="1" t="n">
        <v>45084</v>
      </c>
      <c r="C707" s="1" t="n">
        <v>45172</v>
      </c>
      <c r="D707" t="inlineStr">
        <is>
          <t>VÄSTERBOTTENS LÄN</t>
        </is>
      </c>
      <c r="E707" t="inlineStr">
        <is>
          <t>UMEÅ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25872-2023</t>
        </is>
      </c>
      <c r="B708" s="1" t="n">
        <v>45085</v>
      </c>
      <c r="C708" s="1" t="n">
        <v>45172</v>
      </c>
      <c r="D708" t="inlineStr">
        <is>
          <t>VÄSTERBOTTENS LÄN</t>
        </is>
      </c>
      <c r="E708" t="inlineStr">
        <is>
          <t>UMEÅ</t>
        </is>
      </c>
      <c r="G708" t="n">
        <v>8.5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25889-2023</t>
        </is>
      </c>
      <c r="B709" s="1" t="n">
        <v>45085</v>
      </c>
      <c r="C709" s="1" t="n">
        <v>45172</v>
      </c>
      <c r="D709" t="inlineStr">
        <is>
          <t>VÄSTERBOTTENS LÄN</t>
        </is>
      </c>
      <c r="E709" t="inlineStr">
        <is>
          <t>UMEÅ</t>
        </is>
      </c>
      <c r="G709" t="n">
        <v>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26250-2023</t>
        </is>
      </c>
      <c r="B710" s="1" t="n">
        <v>45086</v>
      </c>
      <c r="C710" s="1" t="n">
        <v>45172</v>
      </c>
      <c r="D710" t="inlineStr">
        <is>
          <t>VÄSTERBOTTENS LÄN</t>
        </is>
      </c>
      <c r="E710" t="inlineStr">
        <is>
          <t>UMEÅ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26247-2023</t>
        </is>
      </c>
      <c r="B711" s="1" t="n">
        <v>45086</v>
      </c>
      <c r="C711" s="1" t="n">
        <v>45172</v>
      </c>
      <c r="D711" t="inlineStr">
        <is>
          <t>VÄSTERBOTTENS LÄN</t>
        </is>
      </c>
      <c r="E711" t="inlineStr">
        <is>
          <t>UMEÅ</t>
        </is>
      </c>
      <c r="G711" t="n">
        <v>13.3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25457-2023</t>
        </is>
      </c>
      <c r="B712" s="1" t="n">
        <v>45089</v>
      </c>
      <c r="C712" s="1" t="n">
        <v>45172</v>
      </c>
      <c r="D712" t="inlineStr">
        <is>
          <t>VÄSTERBOTTENS LÄN</t>
        </is>
      </c>
      <c r="E712" t="inlineStr">
        <is>
          <t>UMEÅ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26177-2023</t>
        </is>
      </c>
      <c r="B713" s="1" t="n">
        <v>45091</v>
      </c>
      <c r="C713" s="1" t="n">
        <v>45172</v>
      </c>
      <c r="D713" t="inlineStr">
        <is>
          <t>VÄSTERBOTTENS LÄN</t>
        </is>
      </c>
      <c r="E713" t="inlineStr">
        <is>
          <t>UMEÅ</t>
        </is>
      </c>
      <c r="G713" t="n">
        <v>12.7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26138-2023</t>
        </is>
      </c>
      <c r="B714" s="1" t="n">
        <v>45091</v>
      </c>
      <c r="C714" s="1" t="n">
        <v>45172</v>
      </c>
      <c r="D714" t="inlineStr">
        <is>
          <t>VÄSTERBOTTENS LÄN</t>
        </is>
      </c>
      <c r="E714" t="inlineStr">
        <is>
          <t>UMEÅ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26970-2023</t>
        </is>
      </c>
      <c r="B715" s="1" t="n">
        <v>45091</v>
      </c>
      <c r="C715" s="1" t="n">
        <v>45172</v>
      </c>
      <c r="D715" t="inlineStr">
        <is>
          <t>VÄSTERBOTTENS LÄN</t>
        </is>
      </c>
      <c r="E715" t="inlineStr">
        <is>
          <t>UMEÅ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26137-2023</t>
        </is>
      </c>
      <c r="B716" s="1" t="n">
        <v>45091</v>
      </c>
      <c r="C716" s="1" t="n">
        <v>45172</v>
      </c>
      <c r="D716" t="inlineStr">
        <is>
          <t>VÄSTERBOTTENS LÄN</t>
        </is>
      </c>
      <c r="E716" t="inlineStr">
        <is>
          <t>UMEÅ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26967-2023</t>
        </is>
      </c>
      <c r="B717" s="1" t="n">
        <v>45091</v>
      </c>
      <c r="C717" s="1" t="n">
        <v>45172</v>
      </c>
      <c r="D717" t="inlineStr">
        <is>
          <t>VÄSTERBOTTENS LÄN</t>
        </is>
      </c>
      <c r="E717" t="inlineStr">
        <is>
          <t>UMEÅ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28950-2023</t>
        </is>
      </c>
      <c r="B718" s="1" t="n">
        <v>45096</v>
      </c>
      <c r="C718" s="1" t="n">
        <v>45172</v>
      </c>
      <c r="D718" t="inlineStr">
        <is>
          <t>VÄSTERBOTTENS LÄN</t>
        </is>
      </c>
      <c r="E718" t="inlineStr">
        <is>
          <t>UMEÅ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28877-2023</t>
        </is>
      </c>
      <c r="B719" s="1" t="n">
        <v>45096</v>
      </c>
      <c r="C719" s="1" t="n">
        <v>45172</v>
      </c>
      <c r="D719" t="inlineStr">
        <is>
          <t>VÄSTERBOTTENS LÄN</t>
        </is>
      </c>
      <c r="E719" t="inlineStr">
        <is>
          <t>UMEÅ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28970-2023</t>
        </is>
      </c>
      <c r="B720" s="1" t="n">
        <v>45096</v>
      </c>
      <c r="C720" s="1" t="n">
        <v>45172</v>
      </c>
      <c r="D720" t="inlineStr">
        <is>
          <t>VÄSTERBOTTENS LÄN</t>
        </is>
      </c>
      <c r="E720" t="inlineStr">
        <is>
          <t>UMEÅ</t>
        </is>
      </c>
      <c r="G720" t="n">
        <v>6.7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27338-2023</t>
        </is>
      </c>
      <c r="B721" s="1" t="n">
        <v>45096</v>
      </c>
      <c r="C721" s="1" t="n">
        <v>45172</v>
      </c>
      <c r="D721" t="inlineStr">
        <is>
          <t>VÄSTERBOTTENS LÄN</t>
        </is>
      </c>
      <c r="E721" t="inlineStr">
        <is>
          <t>UMEÅ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28961-2023</t>
        </is>
      </c>
      <c r="B722" s="1" t="n">
        <v>45096</v>
      </c>
      <c r="C722" s="1" t="n">
        <v>45172</v>
      </c>
      <c r="D722" t="inlineStr">
        <is>
          <t>VÄSTERBOTTENS LÄN</t>
        </is>
      </c>
      <c r="E722" t="inlineStr">
        <is>
          <t>UMEÅ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29447-2023</t>
        </is>
      </c>
      <c r="B723" s="1" t="n">
        <v>45096</v>
      </c>
      <c r="C723" s="1" t="n">
        <v>45172</v>
      </c>
      <c r="D723" t="inlineStr">
        <is>
          <t>VÄSTERBOTTENS LÄN</t>
        </is>
      </c>
      <c r="E723" t="inlineStr">
        <is>
          <t>UMEÅ</t>
        </is>
      </c>
      <c r="G723" t="n">
        <v>19.7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28679-2023</t>
        </is>
      </c>
      <c r="B724" s="1" t="n">
        <v>45096</v>
      </c>
      <c r="C724" s="1" t="n">
        <v>45172</v>
      </c>
      <c r="D724" t="inlineStr">
        <is>
          <t>VÄSTERBOTTENS LÄN</t>
        </is>
      </c>
      <c r="E724" t="inlineStr">
        <is>
          <t>UMEÅ</t>
        </is>
      </c>
      <c r="G724" t="n">
        <v>13.3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29454-2023</t>
        </is>
      </c>
      <c r="B725" s="1" t="n">
        <v>45098</v>
      </c>
      <c r="C725" s="1" t="n">
        <v>45172</v>
      </c>
      <c r="D725" t="inlineStr">
        <is>
          <t>VÄSTERBOTTENS LÄN</t>
        </is>
      </c>
      <c r="E725" t="inlineStr">
        <is>
          <t>UMEÅ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28193-2023</t>
        </is>
      </c>
      <c r="B726" s="1" t="n">
        <v>45099</v>
      </c>
      <c r="C726" s="1" t="n">
        <v>45172</v>
      </c>
      <c r="D726" t="inlineStr">
        <is>
          <t>VÄSTERBOTTENS LÄN</t>
        </is>
      </c>
      <c r="E726" t="inlineStr">
        <is>
          <t>UMEÅ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28099-2023</t>
        </is>
      </c>
      <c r="B727" s="1" t="n">
        <v>45099</v>
      </c>
      <c r="C727" s="1" t="n">
        <v>45172</v>
      </c>
      <c r="D727" t="inlineStr">
        <is>
          <t>VÄSTERBOTTENS LÄN</t>
        </is>
      </c>
      <c r="E727" t="inlineStr">
        <is>
          <t>UMEÅ</t>
        </is>
      </c>
      <c r="F727" t="inlineStr">
        <is>
          <t>Holmen skog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28628-2023</t>
        </is>
      </c>
      <c r="B728" s="1" t="n">
        <v>45103</v>
      </c>
      <c r="C728" s="1" t="n">
        <v>45172</v>
      </c>
      <c r="D728" t="inlineStr">
        <is>
          <t>VÄSTERBOTTENS LÄN</t>
        </is>
      </c>
      <c r="E728" t="inlineStr">
        <is>
          <t>UMEÅ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29640-2023</t>
        </is>
      </c>
      <c r="B729" s="1" t="n">
        <v>45106</v>
      </c>
      <c r="C729" s="1" t="n">
        <v>45172</v>
      </c>
      <c r="D729" t="inlineStr">
        <is>
          <t>VÄSTERBOTTENS LÄN</t>
        </is>
      </c>
      <c r="E729" t="inlineStr">
        <is>
          <t>UMEÅ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29814-2023</t>
        </is>
      </c>
      <c r="B730" s="1" t="n">
        <v>45107</v>
      </c>
      <c r="C730" s="1" t="n">
        <v>45172</v>
      </c>
      <c r="D730" t="inlineStr">
        <is>
          <t>VÄSTERBOTTENS LÄN</t>
        </is>
      </c>
      <c r="E730" t="inlineStr">
        <is>
          <t>UMEÅ</t>
        </is>
      </c>
      <c r="F730" t="inlineStr">
        <is>
          <t>Holmen skog AB</t>
        </is>
      </c>
      <c r="G730" t="n">
        <v>4.7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29827-2023</t>
        </is>
      </c>
      <c r="B731" s="1" t="n">
        <v>45107</v>
      </c>
      <c r="C731" s="1" t="n">
        <v>45172</v>
      </c>
      <c r="D731" t="inlineStr">
        <is>
          <t>VÄSTERBOTTENS LÄN</t>
        </is>
      </c>
      <c r="E731" t="inlineStr">
        <is>
          <t>UMEÅ</t>
        </is>
      </c>
      <c r="G731" t="n">
        <v>11.9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30266-2023</t>
        </is>
      </c>
      <c r="B732" s="1" t="n">
        <v>45110</v>
      </c>
      <c r="C732" s="1" t="n">
        <v>45172</v>
      </c>
      <c r="D732" t="inlineStr">
        <is>
          <t>VÄSTERBOTTENS LÄN</t>
        </is>
      </c>
      <c r="E732" t="inlineStr">
        <is>
          <t>UMEÅ</t>
        </is>
      </c>
      <c r="F732" t="inlineStr">
        <is>
          <t>Holmen skog AB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30553-2023</t>
        </is>
      </c>
      <c r="B733" s="1" t="n">
        <v>45111</v>
      </c>
      <c r="C733" s="1" t="n">
        <v>45172</v>
      </c>
      <c r="D733" t="inlineStr">
        <is>
          <t>VÄSTERBOTTENS LÄN</t>
        </is>
      </c>
      <c r="E733" t="inlineStr">
        <is>
          <t>UMEÅ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32626-2023</t>
        </is>
      </c>
      <c r="B734" s="1" t="n">
        <v>45112</v>
      </c>
      <c r="C734" s="1" t="n">
        <v>45172</v>
      </c>
      <c r="D734" t="inlineStr">
        <is>
          <t>VÄSTERBOTTENS LÄN</t>
        </is>
      </c>
      <c r="E734" t="inlineStr">
        <is>
          <t>UMEÅ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32628-2023</t>
        </is>
      </c>
      <c r="B735" s="1" t="n">
        <v>45112</v>
      </c>
      <c r="C735" s="1" t="n">
        <v>45172</v>
      </c>
      <c r="D735" t="inlineStr">
        <is>
          <t>VÄSTERBOTTENS LÄN</t>
        </is>
      </c>
      <c r="E735" t="inlineStr">
        <is>
          <t>UMEÅ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31068-2023</t>
        </is>
      </c>
      <c r="B736" s="1" t="n">
        <v>45113</v>
      </c>
      <c r="C736" s="1" t="n">
        <v>45172</v>
      </c>
      <c r="D736" t="inlineStr">
        <is>
          <t>VÄSTERBOTTENS LÄN</t>
        </is>
      </c>
      <c r="E736" t="inlineStr">
        <is>
          <t>UMEÅ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33418-2023</t>
        </is>
      </c>
      <c r="B737" s="1" t="n">
        <v>45128</v>
      </c>
      <c r="C737" s="1" t="n">
        <v>45172</v>
      </c>
      <c r="D737" t="inlineStr">
        <is>
          <t>VÄSTERBOTTENS LÄN</t>
        </is>
      </c>
      <c r="E737" t="inlineStr">
        <is>
          <t>UMEÅ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34709-2023</t>
        </is>
      </c>
      <c r="B738" s="1" t="n">
        <v>45141</v>
      </c>
      <c r="C738" s="1" t="n">
        <v>45172</v>
      </c>
      <c r="D738" t="inlineStr">
        <is>
          <t>VÄSTERBOTTENS LÄN</t>
        </is>
      </c>
      <c r="E738" t="inlineStr">
        <is>
          <t>UMEÅ</t>
        </is>
      </c>
      <c r="F738" t="inlineStr">
        <is>
          <t>Holmen skog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35096-2023</t>
        </is>
      </c>
      <c r="B739" s="1" t="n">
        <v>45145</v>
      </c>
      <c r="C739" s="1" t="n">
        <v>45172</v>
      </c>
      <c r="D739" t="inlineStr">
        <is>
          <t>VÄSTERBOTTENS LÄN</t>
        </is>
      </c>
      <c r="E739" t="inlineStr">
        <is>
          <t>UMEÅ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37443-2023</t>
        </is>
      </c>
      <c r="B740" s="1" t="n">
        <v>45147</v>
      </c>
      <c r="C740" s="1" t="n">
        <v>45172</v>
      </c>
      <c r="D740" t="inlineStr">
        <is>
          <t>VÄSTERBOTTENS LÄN</t>
        </is>
      </c>
      <c r="E740" t="inlineStr">
        <is>
          <t>UMEÅ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36120-2023</t>
        </is>
      </c>
      <c r="B741" s="1" t="n">
        <v>45148</v>
      </c>
      <c r="C741" s="1" t="n">
        <v>45172</v>
      </c>
      <c r="D741" t="inlineStr">
        <is>
          <t>VÄSTERBOTTENS LÄN</t>
        </is>
      </c>
      <c r="E741" t="inlineStr">
        <is>
          <t>UMEÅ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36201-2023</t>
        </is>
      </c>
      <c r="B742" s="1" t="n">
        <v>45149</v>
      </c>
      <c r="C742" s="1" t="n">
        <v>45172</v>
      </c>
      <c r="D742" t="inlineStr">
        <is>
          <t>VÄSTERBOTTENS LÄN</t>
        </is>
      </c>
      <c r="E742" t="inlineStr">
        <is>
          <t>UMEÅ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36528-2023</t>
        </is>
      </c>
      <c r="B743" s="1" t="n">
        <v>45152</v>
      </c>
      <c r="C743" s="1" t="n">
        <v>45172</v>
      </c>
      <c r="D743" t="inlineStr">
        <is>
          <t>VÄSTERBOTTENS LÄN</t>
        </is>
      </c>
      <c r="E743" t="inlineStr">
        <is>
          <t>UMEÅ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45172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45172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45172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45172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45172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45172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45172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45172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45172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45172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>
      <c r="A754" t="inlineStr">
        <is>
          <t>A 39945-2023</t>
        </is>
      </c>
      <c r="B754" s="1" t="n">
        <v>45168</v>
      </c>
      <c r="C754" s="1" t="n">
        <v>45172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2023-09-03T04:41:28Z</dcterms:created>
  <dcterms:modified xmlns:dcterms="http://purl.org/dc/terms/" xmlns:xsi="http://www.w3.org/2001/XMLSchema-instance" xsi:type="dcterms:W3CDTF">2023-09-03T04:41:28Z</dcterms:modified>
</cp:coreProperties>
</file>