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45190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45190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31252-2019.xlsx", "A 31252-2019")</f>
        <v/>
      </c>
      <c r="T3">
        <f>HYPERLINK("https://klasma.github.io/Logging_UMEA/kartor/A 31252-2019.png", "A 31252-2019")</f>
        <v/>
      </c>
      <c r="V3">
        <f>HYPERLINK("https://klasma.github.io/Logging_UMEA/klagomål/A 31252-2019.docx", "A 31252-2019")</f>
        <v/>
      </c>
      <c r="W3">
        <f>HYPERLINK("https://klasma.github.io/Logging_UMEA/klagomålsmail/A 31252-2019.docx", "A 31252-2019")</f>
        <v/>
      </c>
      <c r="X3">
        <f>HYPERLINK("https://klasma.github.io/Logging_UMEA/tillsyn/A 31252-2019.docx", "A 31252-2019")</f>
        <v/>
      </c>
      <c r="Y3">
        <f>HYPERLINK("https://klasma.github.io/Logging_UMEA/tillsynsmail/A 31252-2019.docx", "A 31252-2019")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45190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35039-2022.xlsx", "A 35039-2022")</f>
        <v/>
      </c>
      <c r="T4">
        <f>HYPERLINK("https://klasma.github.io/Logging_UMEA/kartor/A 35039-2022.png", "A 35039-2022")</f>
        <v/>
      </c>
      <c r="V4">
        <f>HYPERLINK("https://klasma.github.io/Logging_UMEA/klagomål/A 35039-2022.docx", "A 35039-2022")</f>
        <v/>
      </c>
      <c r="W4">
        <f>HYPERLINK("https://klasma.github.io/Logging_UMEA/klagomålsmail/A 35039-2022.docx", "A 35039-2022")</f>
        <v/>
      </c>
      <c r="X4">
        <f>HYPERLINK("https://klasma.github.io/Logging_UMEA/tillsyn/A 35039-2022.docx", "A 35039-2022")</f>
        <v/>
      </c>
      <c r="Y4">
        <f>HYPERLINK("https://klasma.github.io/Logging_UMEA/tillsynsmail/A 35039-2022.docx", "A 35039-2022")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45190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51198-2022.xlsx", "A 51198-2022")</f>
        <v/>
      </c>
      <c r="T5">
        <f>HYPERLINK("https://klasma.github.io/Logging_UMEA/kartor/A 51198-2022.png", "A 51198-2022")</f>
        <v/>
      </c>
      <c r="V5">
        <f>HYPERLINK("https://klasma.github.io/Logging_UMEA/klagomål/A 51198-2022.docx", "A 51198-2022")</f>
        <v/>
      </c>
      <c r="W5">
        <f>HYPERLINK("https://klasma.github.io/Logging_UMEA/klagomålsmail/A 51198-2022.docx", "A 51198-2022")</f>
        <v/>
      </c>
      <c r="X5">
        <f>HYPERLINK("https://klasma.github.io/Logging_UMEA/tillsyn/A 51198-2022.docx", "A 51198-2022")</f>
        <v/>
      </c>
      <c r="Y5">
        <f>HYPERLINK("https://klasma.github.io/Logging_UMEA/tillsynsmail/A 51198-2022.docx", "A 51198-2022")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45190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8708-2023.xlsx", "A 8708-2023")</f>
        <v/>
      </c>
      <c r="T6">
        <f>HYPERLINK("https://klasma.github.io/Logging_UMEA/kartor/A 8708-2023.png", "A 8708-2023")</f>
        <v/>
      </c>
      <c r="V6">
        <f>HYPERLINK("https://klasma.github.io/Logging_UMEA/klagomål/A 8708-2023.docx", "A 8708-2023")</f>
        <v/>
      </c>
      <c r="W6">
        <f>HYPERLINK("https://klasma.github.io/Logging_UMEA/klagomålsmail/A 8708-2023.docx", "A 8708-2023")</f>
        <v/>
      </c>
      <c r="X6">
        <f>HYPERLINK("https://klasma.github.io/Logging_UMEA/tillsyn/A 8708-2023.docx", "A 8708-2023")</f>
        <v/>
      </c>
      <c r="Y6">
        <f>HYPERLINK("https://klasma.github.io/Logging_UMEA/tillsynsmail/A 8708-2023.docx", "A 8708-2023")</f>
        <v/>
      </c>
    </row>
    <row r="7" ht="15" customHeight="1">
      <c r="A7" t="inlineStr">
        <is>
          <t>A 10371-2023</t>
        </is>
      </c>
      <c r="B7" s="1" t="n">
        <v>44980</v>
      </c>
      <c r="C7" s="1" t="n">
        <v>45190</v>
      </c>
      <c r="D7" t="inlineStr">
        <is>
          <t>VÄSTERBOTTENS LÄN</t>
        </is>
      </c>
      <c r="E7" t="inlineStr">
        <is>
          <t>UMEÅ</t>
        </is>
      </c>
      <c r="F7" t="inlineStr">
        <is>
          <t>Kommuner</t>
        </is>
      </c>
      <c r="G7" t="n">
        <v>3.6</v>
      </c>
      <c r="H7" t="n">
        <v>1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Motaggsvamp
Orange taggsvamp
Skrovlig taggsvamp
Talltaggsvamp
Tretåig hackspett
Bronshjon
Dropptaggsvamp
Skarp dropptaggsvamp</t>
        </is>
      </c>
      <c r="S7">
        <f>HYPERLINK("https://klasma.github.io/Logging_UMEA/artfynd/A 10371-2023.xlsx", "A 10371-2023")</f>
        <v/>
      </c>
      <c r="T7">
        <f>HYPERLINK("https://klasma.github.io/Logging_UMEA/kartor/A 10371-2023.png", "A 10371-2023")</f>
        <v/>
      </c>
      <c r="V7">
        <f>HYPERLINK("https://klasma.github.io/Logging_UMEA/klagomål/A 10371-2023.docx", "A 10371-2023")</f>
        <v/>
      </c>
      <c r="W7">
        <f>HYPERLINK("https://klasma.github.io/Logging_UMEA/klagomålsmail/A 10371-2023.docx", "A 10371-2023")</f>
        <v/>
      </c>
      <c r="X7">
        <f>HYPERLINK("https://klasma.github.io/Logging_UMEA/tillsyn/A 10371-2023.docx", "A 10371-2023")</f>
        <v/>
      </c>
      <c r="Y7">
        <f>HYPERLINK("https://klasma.github.io/Logging_UMEA/tillsynsmail/A 10371-2023.docx", "A 10371-2023")</f>
        <v/>
      </c>
    </row>
    <row r="8" ht="15" customHeight="1">
      <c r="A8" t="inlineStr">
        <is>
          <t>A 41407-2022</t>
        </is>
      </c>
      <c r="B8" s="1" t="n">
        <v>44826</v>
      </c>
      <c r="C8" s="1" t="n">
        <v>45190</v>
      </c>
      <c r="D8" t="inlineStr">
        <is>
          <t>VÄSTERBOTTENS LÄN</t>
        </is>
      </c>
      <c r="E8" t="inlineStr">
        <is>
          <t>UMEÅ</t>
        </is>
      </c>
      <c r="G8" t="n">
        <v>5.6</v>
      </c>
      <c r="H8" t="n">
        <v>2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Leptoporus mollis
Rosenticka
Spillkråka
Stjärntagging
Tretåig hackspett
Ullticka
Vedticka</t>
        </is>
      </c>
      <c r="S8">
        <f>HYPERLINK("https://klasma.github.io/Logging_UMEA/artfynd/A 41407-2022.xlsx", "A 41407-2022")</f>
        <v/>
      </c>
      <c r="T8">
        <f>HYPERLINK("https://klasma.github.io/Logging_UMEA/kartor/A 41407-2022.png", "A 41407-2022")</f>
        <v/>
      </c>
      <c r="V8">
        <f>HYPERLINK("https://klasma.github.io/Logging_UMEA/klagomål/A 41407-2022.docx", "A 41407-2022")</f>
        <v/>
      </c>
      <c r="W8">
        <f>HYPERLINK("https://klasma.github.io/Logging_UMEA/klagomålsmail/A 41407-2022.docx", "A 41407-2022")</f>
        <v/>
      </c>
      <c r="X8">
        <f>HYPERLINK("https://klasma.github.io/Logging_UMEA/tillsyn/A 41407-2022.docx", "A 41407-2022")</f>
        <v/>
      </c>
      <c r="Y8">
        <f>HYPERLINK("https://klasma.github.io/Logging_UMEA/tillsynsmail/A 41407-2022.docx", "A 41407-2022")</f>
        <v/>
      </c>
    </row>
    <row r="9" ht="15" customHeight="1">
      <c r="A9" t="inlineStr">
        <is>
          <t>A 15738-2023</t>
        </is>
      </c>
      <c r="B9" s="1" t="n">
        <v>45020</v>
      </c>
      <c r="C9" s="1" t="n">
        <v>45190</v>
      </c>
      <c r="D9" t="inlineStr">
        <is>
          <t>VÄSTERBOTTENS LÄN</t>
        </is>
      </c>
      <c r="E9" t="inlineStr">
        <is>
          <t>UMEÅ</t>
        </is>
      </c>
      <c r="F9" t="inlineStr">
        <is>
          <t>Kommuner</t>
        </is>
      </c>
      <c r="G9" t="n">
        <v>2.9</v>
      </c>
      <c r="H9" t="n">
        <v>0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Goliatmusseron
Blå taggsvamp
Orange taggsvamp
Svart taggsvamp
Svartvit taggsvamp
Dropptaggsvamp
Skarp dropptaggsvamp
Zontaggsvamp</t>
        </is>
      </c>
      <c r="S9">
        <f>HYPERLINK("https://klasma.github.io/Logging_UMEA/artfynd/A 15738-2023.xlsx", "A 15738-2023")</f>
        <v/>
      </c>
      <c r="T9">
        <f>HYPERLINK("https://klasma.github.io/Logging_UMEA/kartor/A 15738-2023.png", "A 15738-2023")</f>
        <v/>
      </c>
      <c r="V9">
        <f>HYPERLINK("https://klasma.github.io/Logging_UMEA/klagomål/A 15738-2023.docx", "A 15738-2023")</f>
        <v/>
      </c>
      <c r="W9">
        <f>HYPERLINK("https://klasma.github.io/Logging_UMEA/klagomålsmail/A 15738-2023.docx", "A 15738-2023")</f>
        <v/>
      </c>
      <c r="X9">
        <f>HYPERLINK("https://klasma.github.io/Logging_UMEA/tillsyn/A 15738-2023.docx", "A 15738-2023")</f>
        <v/>
      </c>
      <c r="Y9">
        <f>HYPERLINK("https://klasma.github.io/Logging_UMEA/tillsynsmail/A 15738-2023.docx", "A 15738-2023")</f>
        <v/>
      </c>
    </row>
    <row r="10" ht="15" customHeight="1">
      <c r="A10" t="inlineStr">
        <is>
          <t>A 31314-2019</t>
        </is>
      </c>
      <c r="B10" s="1" t="n">
        <v>43641</v>
      </c>
      <c r="C10" s="1" t="n">
        <v>45190</v>
      </c>
      <c r="D10" t="inlineStr">
        <is>
          <t>VÄSTERBOTTENS LÄN</t>
        </is>
      </c>
      <c r="E10" t="inlineStr">
        <is>
          <t>UMEÅ</t>
        </is>
      </c>
      <c r="G10" t="n">
        <v>2.3</v>
      </c>
      <c r="H10" t="n">
        <v>0</v>
      </c>
      <c r="I10" t="n">
        <v>1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7</v>
      </c>
      <c r="R10" s="2" t="inlineStr">
        <is>
          <t>Blanksvart spiklav
Gammelgransskål
Garnlav
Ullticka
Vaddporing
Vedskivlav
Dropptaggsvamp</t>
        </is>
      </c>
      <c r="S10">
        <f>HYPERLINK("https://klasma.github.io/Logging_UMEA/artfynd/A 31314-2019.xlsx", "A 31314-2019")</f>
        <v/>
      </c>
      <c r="T10">
        <f>HYPERLINK("https://klasma.github.io/Logging_UMEA/kartor/A 31314-2019.png", "A 31314-2019")</f>
        <v/>
      </c>
      <c r="V10">
        <f>HYPERLINK("https://klasma.github.io/Logging_UMEA/klagomål/A 31314-2019.docx", "A 31314-2019")</f>
        <v/>
      </c>
      <c r="W10">
        <f>HYPERLINK("https://klasma.github.io/Logging_UMEA/klagomålsmail/A 31314-2019.docx", "A 31314-2019")</f>
        <v/>
      </c>
      <c r="X10">
        <f>HYPERLINK("https://klasma.github.io/Logging_UMEA/tillsyn/A 31314-2019.docx", "A 31314-2019")</f>
        <v/>
      </c>
      <c r="Y10">
        <f>HYPERLINK("https://klasma.github.io/Logging_UMEA/tillsynsmail/A 31314-2019.docx", "A 31314-2019")</f>
        <v/>
      </c>
    </row>
    <row r="11" ht="15" customHeight="1">
      <c r="A11" t="inlineStr">
        <is>
          <t>A 3019-2020</t>
        </is>
      </c>
      <c r="B11" s="1" t="n">
        <v>43851</v>
      </c>
      <c r="C11" s="1" t="n">
        <v>45190</v>
      </c>
      <c r="D11" t="inlineStr">
        <is>
          <t>VÄSTERBOTTENS LÄN</t>
        </is>
      </c>
      <c r="E11" t="inlineStr">
        <is>
          <t>UMEÅ</t>
        </is>
      </c>
      <c r="F11" t="inlineStr">
        <is>
          <t>Kommuner</t>
        </is>
      </c>
      <c r="G11" t="n">
        <v>41.7</v>
      </c>
      <c r="H11" t="n">
        <v>4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Grönsångare
Kråka
Nordfladdermus
Rödvingetrast
Svartvit taggsvamp
Grovticka
Grön jordtunga</t>
        </is>
      </c>
      <c r="S11">
        <f>HYPERLINK("https://klasma.github.io/Logging_UMEA/artfynd/A 3019-2020.xlsx", "A 3019-2020")</f>
        <v/>
      </c>
      <c r="T11">
        <f>HYPERLINK("https://klasma.github.io/Logging_UMEA/kartor/A 3019-2020.png", "A 3019-2020")</f>
        <v/>
      </c>
      <c r="V11">
        <f>HYPERLINK("https://klasma.github.io/Logging_UMEA/klagomål/A 3019-2020.docx", "A 3019-2020")</f>
        <v/>
      </c>
      <c r="W11">
        <f>HYPERLINK("https://klasma.github.io/Logging_UMEA/klagomålsmail/A 3019-2020.docx", "A 3019-2020")</f>
        <v/>
      </c>
      <c r="X11">
        <f>HYPERLINK("https://klasma.github.io/Logging_UMEA/tillsyn/A 3019-2020.docx", "A 3019-2020")</f>
        <v/>
      </c>
      <c r="Y11">
        <f>HYPERLINK("https://klasma.github.io/Logging_UMEA/tillsynsmail/A 3019-2020.docx", "A 3019-2020")</f>
        <v/>
      </c>
    </row>
    <row r="12" ht="15" customHeight="1">
      <c r="A12" t="inlineStr">
        <is>
          <t>A 52153-2020</t>
        </is>
      </c>
      <c r="B12" s="1" t="n">
        <v>44117</v>
      </c>
      <c r="C12" s="1" t="n">
        <v>45190</v>
      </c>
      <c r="D12" t="inlineStr">
        <is>
          <t>VÄSTERBOTTENS LÄN</t>
        </is>
      </c>
      <c r="E12" t="inlineStr">
        <is>
          <t>UMEÅ</t>
        </is>
      </c>
      <c r="F12" t="inlineStr">
        <is>
          <t>Sveaskog</t>
        </is>
      </c>
      <c r="G12" t="n">
        <v>6.4</v>
      </c>
      <c r="H12" t="n">
        <v>3</v>
      </c>
      <c r="I12" t="n">
        <v>0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7</v>
      </c>
      <c r="R12" s="2" t="inlineStr">
        <is>
          <t>Knärot
Garnlav
Granticka
Nordfladdermus
Tretåig hackspett
Ullticka
Vaddporing</t>
        </is>
      </c>
      <c r="S12">
        <f>HYPERLINK("https://klasma.github.io/Logging_UMEA/artfynd/A 52153-2020.xlsx", "A 52153-2020")</f>
        <v/>
      </c>
      <c r="T12">
        <f>HYPERLINK("https://klasma.github.io/Logging_UMEA/kartor/A 52153-2020.png", "A 52153-2020")</f>
        <v/>
      </c>
      <c r="U12">
        <f>HYPERLINK("https://klasma.github.io/Logging_UMEA/knärot/A 52153-2020.png", "A 52153-2020")</f>
        <v/>
      </c>
      <c r="V12">
        <f>HYPERLINK("https://klasma.github.io/Logging_UMEA/klagomål/A 52153-2020.docx", "A 52153-2020")</f>
        <v/>
      </c>
      <c r="W12">
        <f>HYPERLINK("https://klasma.github.io/Logging_UMEA/klagomålsmail/A 52153-2020.docx", "A 52153-2020")</f>
        <v/>
      </c>
      <c r="X12">
        <f>HYPERLINK("https://klasma.github.io/Logging_UMEA/tillsyn/A 52153-2020.docx", "A 52153-2020")</f>
        <v/>
      </c>
      <c r="Y12">
        <f>HYPERLINK("https://klasma.github.io/Logging_UMEA/tillsynsmail/A 52153-2020.docx", "A 52153-2020")</f>
        <v/>
      </c>
    </row>
    <row r="13" ht="15" customHeight="1">
      <c r="A13" t="inlineStr">
        <is>
          <t>A 9245-2022</t>
        </is>
      </c>
      <c r="B13" s="1" t="n">
        <v>44616</v>
      </c>
      <c r="C13" s="1" t="n">
        <v>45190</v>
      </c>
      <c r="D13" t="inlineStr">
        <is>
          <t>VÄSTERBOTTENS LÄN</t>
        </is>
      </c>
      <c r="E13" t="inlineStr">
        <is>
          <t>UMEÅ</t>
        </is>
      </c>
      <c r="G13" t="n">
        <v>2.8</v>
      </c>
      <c r="H13" t="n">
        <v>1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Gropticka
Harticka
Järpe
Ullticka
Violettgrå tagellav
Mörk husmossa
Vedticka</t>
        </is>
      </c>
      <c r="S13">
        <f>HYPERLINK("https://klasma.github.io/Logging_UMEA/artfynd/A 9245-2022.xlsx", "A 9245-2022")</f>
        <v/>
      </c>
      <c r="T13">
        <f>HYPERLINK("https://klasma.github.io/Logging_UMEA/kartor/A 9245-2022.png", "A 9245-2022")</f>
        <v/>
      </c>
      <c r="V13">
        <f>HYPERLINK("https://klasma.github.io/Logging_UMEA/klagomål/A 9245-2022.docx", "A 9245-2022")</f>
        <v/>
      </c>
      <c r="W13">
        <f>HYPERLINK("https://klasma.github.io/Logging_UMEA/klagomålsmail/A 9245-2022.docx", "A 9245-2022")</f>
        <v/>
      </c>
      <c r="X13">
        <f>HYPERLINK("https://klasma.github.io/Logging_UMEA/tillsyn/A 9245-2022.docx", "A 9245-2022")</f>
        <v/>
      </c>
      <c r="Y13">
        <f>HYPERLINK("https://klasma.github.io/Logging_UMEA/tillsynsmail/A 9245-2022.docx", "A 9245-2022")</f>
        <v/>
      </c>
    </row>
    <row r="14" ht="15" customHeight="1">
      <c r="A14" t="inlineStr">
        <is>
          <t>A 17522-2022</t>
        </is>
      </c>
      <c r="B14" s="1" t="n">
        <v>44679</v>
      </c>
      <c r="C14" s="1" t="n">
        <v>45190</v>
      </c>
      <c r="D14" t="inlineStr">
        <is>
          <t>VÄSTERBOTTENS LÄN</t>
        </is>
      </c>
      <c r="E14" t="inlineStr">
        <is>
          <t>UMEÅ</t>
        </is>
      </c>
      <c r="F14" t="inlineStr">
        <is>
          <t>Kyrkan</t>
        </is>
      </c>
      <c r="G14" t="n">
        <v>3.1</v>
      </c>
      <c r="H14" t="n">
        <v>0</v>
      </c>
      <c r="I14" t="n">
        <v>3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7</v>
      </c>
      <c r="R14" s="2" t="inlineStr">
        <is>
          <t>Smalfotad taggsvamp
Blå taggsvamp
Orange taggsvamp
Skrovlig taggsvamp
Dropptaggsvamp
Nästlav
Skarp dropptaggsvamp</t>
        </is>
      </c>
      <c r="S14">
        <f>HYPERLINK("https://klasma.github.io/Logging_UMEA/artfynd/A 17522-2022.xlsx", "A 17522-2022")</f>
        <v/>
      </c>
      <c r="T14">
        <f>HYPERLINK("https://klasma.github.io/Logging_UMEA/kartor/A 17522-2022.png", "A 17522-2022")</f>
        <v/>
      </c>
      <c r="V14">
        <f>HYPERLINK("https://klasma.github.io/Logging_UMEA/klagomål/A 17522-2022.docx", "A 17522-2022")</f>
        <v/>
      </c>
      <c r="W14">
        <f>HYPERLINK("https://klasma.github.io/Logging_UMEA/klagomålsmail/A 17522-2022.docx", "A 17522-2022")</f>
        <v/>
      </c>
      <c r="X14">
        <f>HYPERLINK("https://klasma.github.io/Logging_UMEA/tillsyn/A 17522-2022.docx", "A 17522-2022")</f>
        <v/>
      </c>
      <c r="Y14">
        <f>HYPERLINK("https://klasma.github.io/Logging_UMEA/tillsynsmail/A 17522-2022.docx", "A 17522-2022")</f>
        <v/>
      </c>
    </row>
    <row r="15" ht="15" customHeight="1">
      <c r="A15" t="inlineStr">
        <is>
          <t>A 30187-2023</t>
        </is>
      </c>
      <c r="B15" s="1" t="n">
        <v>45110</v>
      </c>
      <c r="C15" s="1" t="n">
        <v>45190</v>
      </c>
      <c r="D15" t="inlineStr">
        <is>
          <t>VÄSTERBOTTENS LÄN</t>
        </is>
      </c>
      <c r="E15" t="inlineStr">
        <is>
          <t>UMEÅ</t>
        </is>
      </c>
      <c r="G15" t="n">
        <v>12.5</v>
      </c>
      <c r="H15" t="n">
        <v>2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7</v>
      </c>
      <c r="R15" s="2" t="inlineStr">
        <is>
          <t>Garnlav
Spillkråka
Tretåig hackspett
Ullticka
Bronshjon
Stuplav
Vedticka</t>
        </is>
      </c>
      <c r="S15">
        <f>HYPERLINK("https://klasma.github.io/Logging_UMEA/artfynd/A 30187-2023.xlsx", "A 30187-2023")</f>
        <v/>
      </c>
      <c r="T15">
        <f>HYPERLINK("https://klasma.github.io/Logging_UMEA/kartor/A 30187-2023.png", "A 30187-2023")</f>
        <v/>
      </c>
      <c r="V15">
        <f>HYPERLINK("https://klasma.github.io/Logging_UMEA/klagomål/A 30187-2023.docx", "A 30187-2023")</f>
        <v/>
      </c>
      <c r="W15">
        <f>HYPERLINK("https://klasma.github.io/Logging_UMEA/klagomålsmail/A 30187-2023.docx", "A 30187-2023")</f>
        <v/>
      </c>
      <c r="X15">
        <f>HYPERLINK("https://klasma.github.io/Logging_UMEA/tillsyn/A 30187-2023.docx", "A 30187-2023")</f>
        <v/>
      </c>
      <c r="Y15">
        <f>HYPERLINK("https://klasma.github.io/Logging_UMEA/tillsynsmail/A 30187-2023.docx", "A 30187-2023")</f>
        <v/>
      </c>
    </row>
    <row r="16" ht="15" customHeight="1">
      <c r="A16" t="inlineStr">
        <is>
          <t>A 12237-2020</t>
        </is>
      </c>
      <c r="B16" s="1" t="n">
        <v>43895</v>
      </c>
      <c r="C16" s="1" t="n">
        <v>45190</v>
      </c>
      <c r="D16" t="inlineStr">
        <is>
          <t>VÄSTERBOTTENS LÄN</t>
        </is>
      </c>
      <c r="E16" t="inlineStr">
        <is>
          <t>UMEÅ</t>
        </is>
      </c>
      <c r="F16" t="inlineStr">
        <is>
          <t>Holmen skog AB</t>
        </is>
      </c>
      <c r="G16" t="n">
        <v>3.2</v>
      </c>
      <c r="H16" t="n">
        <v>1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Spillkråka
Ullticka
Stuplav
Vedticka</t>
        </is>
      </c>
      <c r="S16">
        <f>HYPERLINK("https://klasma.github.io/Logging_UMEA/artfynd/A 12237-2020.xlsx", "A 12237-2020")</f>
        <v/>
      </c>
      <c r="T16">
        <f>HYPERLINK("https://klasma.github.io/Logging_UMEA/kartor/A 12237-2020.png", "A 12237-2020")</f>
        <v/>
      </c>
      <c r="V16">
        <f>HYPERLINK("https://klasma.github.io/Logging_UMEA/klagomål/A 12237-2020.docx", "A 12237-2020")</f>
        <v/>
      </c>
      <c r="W16">
        <f>HYPERLINK("https://klasma.github.io/Logging_UMEA/klagomålsmail/A 12237-2020.docx", "A 12237-2020")</f>
        <v/>
      </c>
      <c r="X16">
        <f>HYPERLINK("https://klasma.github.io/Logging_UMEA/tillsyn/A 12237-2020.docx", "A 12237-2020")</f>
        <v/>
      </c>
      <c r="Y16">
        <f>HYPERLINK("https://klasma.github.io/Logging_UMEA/tillsynsmail/A 12237-2020.docx", "A 12237-2020")</f>
        <v/>
      </c>
    </row>
    <row r="17" ht="15" customHeight="1">
      <c r="A17" t="inlineStr">
        <is>
          <t>A 42391-2021</t>
        </is>
      </c>
      <c r="B17" s="1" t="n">
        <v>44427</v>
      </c>
      <c r="C17" s="1" t="n">
        <v>45190</v>
      </c>
      <c r="D17" t="inlineStr">
        <is>
          <t>VÄSTERBOTTENS LÄN</t>
        </is>
      </c>
      <c r="E17" t="inlineStr">
        <is>
          <t>UMEÅ</t>
        </is>
      </c>
      <c r="F17" t="inlineStr">
        <is>
          <t>Kommuner</t>
        </is>
      </c>
      <c r="G17" t="n">
        <v>12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Ulltickeporing
Granticka
Talltita
Ullticka
Violettgrå tagellav
Mörk husmossa</t>
        </is>
      </c>
      <c r="S17">
        <f>HYPERLINK("https://klasma.github.io/Logging_UMEA/artfynd/A 42391-2021.xlsx", "A 42391-2021")</f>
        <v/>
      </c>
      <c r="T17">
        <f>HYPERLINK("https://klasma.github.io/Logging_UMEA/kartor/A 42391-2021.png", "A 42391-2021")</f>
        <v/>
      </c>
      <c r="V17">
        <f>HYPERLINK("https://klasma.github.io/Logging_UMEA/klagomål/A 42391-2021.docx", "A 42391-2021")</f>
        <v/>
      </c>
      <c r="W17">
        <f>HYPERLINK("https://klasma.github.io/Logging_UMEA/klagomålsmail/A 42391-2021.docx", "A 42391-2021")</f>
        <v/>
      </c>
      <c r="X17">
        <f>HYPERLINK("https://klasma.github.io/Logging_UMEA/tillsyn/A 42391-2021.docx", "A 42391-2021")</f>
        <v/>
      </c>
      <c r="Y17">
        <f>HYPERLINK("https://klasma.github.io/Logging_UMEA/tillsynsmail/A 42391-2021.docx", "A 42391-2021")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45190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45190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45190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45190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45190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45190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45190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15648-2023</t>
        </is>
      </c>
      <c r="B25" s="1" t="n">
        <v>45019</v>
      </c>
      <c r="C25" s="1" t="n">
        <v>45190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6.9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Gammelgransskål
Garnlav
Granticka
Ullticka
Bollvitmossa</t>
        </is>
      </c>
      <c r="S25">
        <f>HYPERLINK("https://klasma.github.io/Logging_UMEA/artfynd/A 15648-2023.xlsx", "A 15648-2023")</f>
        <v/>
      </c>
      <c r="T25">
        <f>HYPERLINK("https://klasma.github.io/Logging_UMEA/kartor/A 15648-2023.png", "A 15648-2023")</f>
        <v/>
      </c>
      <c r="V25">
        <f>HYPERLINK("https://klasma.github.io/Logging_UMEA/klagomål/A 15648-2023.docx", "A 15648-2023")</f>
        <v/>
      </c>
      <c r="W25">
        <f>HYPERLINK("https://klasma.github.io/Logging_UMEA/klagomålsmail/A 15648-2023.docx", "A 15648-2023")</f>
        <v/>
      </c>
      <c r="X25">
        <f>HYPERLINK("https://klasma.github.io/Logging_UMEA/tillsyn/A 15648-2023.docx", "A 15648-2023")</f>
        <v/>
      </c>
      <c r="Y25">
        <f>HYPERLINK("https://klasma.github.io/Logging_UMEA/tillsynsmail/A 15648-2023.docx", "A 15648-2023")</f>
        <v/>
      </c>
    </row>
    <row r="26" ht="15" customHeight="1">
      <c r="A26" t="inlineStr">
        <is>
          <t>A 22203-2023</t>
        </is>
      </c>
      <c r="B26" s="1" t="n">
        <v>45069</v>
      </c>
      <c r="C26" s="1" t="n">
        <v>45190</v>
      </c>
      <c r="D26" t="inlineStr">
        <is>
          <t>VÄSTERBOTTENS LÄN</t>
        </is>
      </c>
      <c r="E26" t="inlineStr">
        <is>
          <t>UMEÅ</t>
        </is>
      </c>
      <c r="G26" t="n">
        <v>6.2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Granticka
Ullticka
Violettgrå tagellav
Skinnlav</t>
        </is>
      </c>
      <c r="S26">
        <f>HYPERLINK("https://klasma.github.io/Logging_UMEA/artfynd/A 22203-2023.xlsx", "A 22203-2023")</f>
        <v/>
      </c>
      <c r="T26">
        <f>HYPERLINK("https://klasma.github.io/Logging_UMEA/kartor/A 22203-2023.png", "A 22203-2023")</f>
        <v/>
      </c>
      <c r="V26">
        <f>HYPERLINK("https://klasma.github.io/Logging_UMEA/klagomål/A 22203-2023.docx", "A 22203-2023")</f>
        <v/>
      </c>
      <c r="W26">
        <f>HYPERLINK("https://klasma.github.io/Logging_UMEA/klagomålsmail/A 22203-2023.docx", "A 22203-2023")</f>
        <v/>
      </c>
      <c r="X26">
        <f>HYPERLINK("https://klasma.github.io/Logging_UMEA/tillsyn/A 22203-2023.docx", "A 22203-2023")</f>
        <v/>
      </c>
      <c r="Y26">
        <f>HYPERLINK("https://klasma.github.io/Logging_UMEA/tillsynsmail/A 22203-2023.docx", "A 22203-2023")</f>
        <v/>
      </c>
    </row>
    <row r="27" ht="15" customHeight="1">
      <c r="A27" t="inlineStr">
        <is>
          <t>A 2336-2020</t>
        </is>
      </c>
      <c r="B27" s="1" t="n">
        <v>43846</v>
      </c>
      <c r="C27" s="1" t="n">
        <v>45190</v>
      </c>
      <c r="D27" t="inlineStr">
        <is>
          <t>VÄSTERBOTTENS LÄN</t>
        </is>
      </c>
      <c r="E27" t="inlineStr">
        <is>
          <t>UMEÅ</t>
        </is>
      </c>
      <c r="G27" t="n">
        <v>4.7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Stjärntagging
Vedflikmossa</t>
        </is>
      </c>
      <c r="S27">
        <f>HYPERLINK("https://klasma.github.io/Logging_UMEA/artfynd/A 2336-2020.xlsx", "A 2336-2020")</f>
        <v/>
      </c>
      <c r="T27">
        <f>HYPERLINK("https://klasma.github.io/Logging_UMEA/kartor/A 2336-2020.png", "A 2336-2020")</f>
        <v/>
      </c>
      <c r="V27">
        <f>HYPERLINK("https://klasma.github.io/Logging_UMEA/klagomål/A 2336-2020.docx", "A 2336-2020")</f>
        <v/>
      </c>
      <c r="W27">
        <f>HYPERLINK("https://klasma.github.io/Logging_UMEA/klagomålsmail/A 2336-2020.docx", "A 2336-2020")</f>
        <v/>
      </c>
      <c r="X27">
        <f>HYPERLINK("https://klasma.github.io/Logging_UMEA/tillsyn/A 2336-2020.docx", "A 2336-2020")</f>
        <v/>
      </c>
      <c r="Y27">
        <f>HYPERLINK("https://klasma.github.io/Logging_UMEA/tillsynsmail/A 2336-2020.docx", "A 2336-2020")</f>
        <v/>
      </c>
    </row>
    <row r="28" ht="15" customHeight="1">
      <c r="A28" t="inlineStr">
        <is>
          <t>A 13048-2020</t>
        </is>
      </c>
      <c r="B28" s="1" t="n">
        <v>43900</v>
      </c>
      <c r="C28" s="1" t="n">
        <v>45190</v>
      </c>
      <c r="D28" t="inlineStr">
        <is>
          <t>VÄSTERBOTTENS LÄN</t>
        </is>
      </c>
      <c r="E28" t="inlineStr">
        <is>
          <t>UMEÅ</t>
        </is>
      </c>
      <c r="F28" t="inlineStr">
        <is>
          <t>Holmen skog AB</t>
        </is>
      </c>
      <c r="G28" t="n">
        <v>2</v>
      </c>
      <c r="H28" t="n">
        <v>2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Drillsnäppa
Granticka
Spillkråka
Veckticka</t>
        </is>
      </c>
      <c r="S28">
        <f>HYPERLINK("https://klasma.github.io/Logging_UMEA/artfynd/A 13048-2020.xlsx", "A 13048-2020")</f>
        <v/>
      </c>
      <c r="T28">
        <f>HYPERLINK("https://klasma.github.io/Logging_UMEA/kartor/A 13048-2020.png", "A 13048-2020")</f>
        <v/>
      </c>
      <c r="V28">
        <f>HYPERLINK("https://klasma.github.io/Logging_UMEA/klagomål/A 13048-2020.docx", "A 13048-2020")</f>
        <v/>
      </c>
      <c r="W28">
        <f>HYPERLINK("https://klasma.github.io/Logging_UMEA/klagomålsmail/A 13048-2020.docx", "A 13048-2020")</f>
        <v/>
      </c>
      <c r="X28">
        <f>HYPERLINK("https://klasma.github.io/Logging_UMEA/tillsyn/A 13048-2020.docx", "A 13048-2020")</f>
        <v/>
      </c>
      <c r="Y28">
        <f>HYPERLINK("https://klasma.github.io/Logging_UMEA/tillsynsmail/A 13048-2020.docx", "A 13048-2020")</f>
        <v/>
      </c>
    </row>
    <row r="29" ht="15" customHeight="1">
      <c r="A29" t="inlineStr">
        <is>
          <t>A 38314-2020</t>
        </is>
      </c>
      <c r="B29" s="1" t="n">
        <v>44060</v>
      </c>
      <c r="C29" s="1" t="n">
        <v>45190</v>
      </c>
      <c r="D29" t="inlineStr">
        <is>
          <t>VÄSTERBOTTENS LÄN</t>
        </is>
      </c>
      <c r="E29" t="inlineStr">
        <is>
          <t>UMEÅ</t>
        </is>
      </c>
      <c r="F29" t="inlineStr">
        <is>
          <t>Övriga Aktiebolag</t>
        </is>
      </c>
      <c r="G29" t="n">
        <v>5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Spillkråka
Dropptaggsvamp</t>
        </is>
      </c>
      <c r="S29">
        <f>HYPERLINK("https://klasma.github.io/Logging_UMEA/artfynd/A 38314-2020.xlsx", "A 38314-2020")</f>
        <v/>
      </c>
      <c r="T29">
        <f>HYPERLINK("https://klasma.github.io/Logging_UMEA/kartor/A 38314-2020.png", "A 38314-2020")</f>
        <v/>
      </c>
      <c r="V29">
        <f>HYPERLINK("https://klasma.github.io/Logging_UMEA/klagomål/A 38314-2020.docx", "A 38314-2020")</f>
        <v/>
      </c>
      <c r="W29">
        <f>HYPERLINK("https://klasma.github.io/Logging_UMEA/klagomålsmail/A 38314-2020.docx", "A 38314-2020")</f>
        <v/>
      </c>
      <c r="X29">
        <f>HYPERLINK("https://klasma.github.io/Logging_UMEA/tillsyn/A 38314-2020.docx", "A 38314-2020")</f>
        <v/>
      </c>
      <c r="Y29">
        <f>HYPERLINK("https://klasma.github.io/Logging_UMEA/tillsynsmail/A 38314-2020.docx", "A 38314-2020")</f>
        <v/>
      </c>
    </row>
    <row r="30" ht="15" customHeight="1">
      <c r="A30" t="inlineStr">
        <is>
          <t>A 38688-2021</t>
        </is>
      </c>
      <c r="B30" s="1" t="n">
        <v>44407</v>
      </c>
      <c r="C30" s="1" t="n">
        <v>45190</v>
      </c>
      <c r="D30" t="inlineStr">
        <is>
          <t>VÄSTERBOTTENS LÄN</t>
        </is>
      </c>
      <c r="E30" t="inlineStr">
        <is>
          <t>UMEÅ</t>
        </is>
      </c>
      <c r="F30" t="inlineStr">
        <is>
          <t>Kommuner</t>
        </is>
      </c>
      <c r="G30" t="n">
        <v>1.6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Älvstarr
Köseven
Strutbräken
Blåsippa</t>
        </is>
      </c>
      <c r="S30">
        <f>HYPERLINK("https://klasma.github.io/Logging_UMEA/artfynd/A 38688-2021.xlsx", "A 38688-2021")</f>
        <v/>
      </c>
      <c r="T30">
        <f>HYPERLINK("https://klasma.github.io/Logging_UMEA/kartor/A 38688-2021.png", "A 38688-2021")</f>
        <v/>
      </c>
      <c r="V30">
        <f>HYPERLINK("https://klasma.github.io/Logging_UMEA/klagomål/A 38688-2021.docx", "A 38688-2021")</f>
        <v/>
      </c>
      <c r="W30">
        <f>HYPERLINK("https://klasma.github.io/Logging_UMEA/klagomålsmail/A 38688-2021.docx", "A 38688-2021")</f>
        <v/>
      </c>
      <c r="X30">
        <f>HYPERLINK("https://klasma.github.io/Logging_UMEA/tillsyn/A 38688-2021.docx", "A 38688-2021")</f>
        <v/>
      </c>
      <c r="Y30">
        <f>HYPERLINK("https://klasma.github.io/Logging_UMEA/tillsynsmail/A 38688-2021.docx", "A 38688-2021")</f>
        <v/>
      </c>
    </row>
    <row r="31" ht="15" customHeight="1">
      <c r="A31" t="inlineStr">
        <is>
          <t>A 55793-2018</t>
        </is>
      </c>
      <c r="B31" s="1" t="n">
        <v>43391</v>
      </c>
      <c r="C31" s="1" t="n">
        <v>45190</v>
      </c>
      <c r="D31" t="inlineStr">
        <is>
          <t>VÄSTERBOTTENS LÄN</t>
        </is>
      </c>
      <c r="E31" t="inlineStr">
        <is>
          <t>UMEÅ</t>
        </is>
      </c>
      <c r="G31" t="n">
        <v>2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Grantaggsvamp
Violettgrå tagellav
Nästlav</t>
        </is>
      </c>
      <c r="S31">
        <f>HYPERLINK("https://klasma.github.io/Logging_UMEA/artfynd/A 55793-2018.xlsx", "A 55793-2018")</f>
        <v/>
      </c>
      <c r="T31">
        <f>HYPERLINK("https://klasma.github.io/Logging_UMEA/kartor/A 55793-2018.png", "A 55793-2018")</f>
        <v/>
      </c>
      <c r="V31">
        <f>HYPERLINK("https://klasma.github.io/Logging_UMEA/klagomål/A 55793-2018.docx", "A 55793-2018")</f>
        <v/>
      </c>
      <c r="W31">
        <f>HYPERLINK("https://klasma.github.io/Logging_UMEA/klagomålsmail/A 55793-2018.docx", "A 55793-2018")</f>
        <v/>
      </c>
      <c r="X31">
        <f>HYPERLINK("https://klasma.github.io/Logging_UMEA/tillsyn/A 55793-2018.docx", "A 55793-2018")</f>
        <v/>
      </c>
      <c r="Y31">
        <f>HYPERLINK("https://klasma.github.io/Logging_UMEA/tillsynsmail/A 55793-2018.docx", "A 55793-2018")</f>
        <v/>
      </c>
    </row>
    <row r="32" ht="15" customHeight="1">
      <c r="A32" t="inlineStr">
        <is>
          <t>A 3109-2020</t>
        </is>
      </c>
      <c r="B32" s="1" t="n">
        <v>43851</v>
      </c>
      <c r="C32" s="1" t="n">
        <v>45190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Långskägg
Granticka
Vedticka</t>
        </is>
      </c>
      <c r="S32">
        <f>HYPERLINK("https://klasma.github.io/Logging_UMEA/artfynd/A 3109-2020.xlsx", "A 3109-2020")</f>
        <v/>
      </c>
      <c r="T32">
        <f>HYPERLINK("https://klasma.github.io/Logging_UMEA/kartor/A 3109-2020.png", "A 3109-2020")</f>
        <v/>
      </c>
      <c r="V32">
        <f>HYPERLINK("https://klasma.github.io/Logging_UMEA/klagomål/A 3109-2020.docx", "A 3109-2020")</f>
        <v/>
      </c>
      <c r="W32">
        <f>HYPERLINK("https://klasma.github.io/Logging_UMEA/klagomålsmail/A 3109-2020.docx", "A 3109-2020")</f>
        <v/>
      </c>
      <c r="X32">
        <f>HYPERLINK("https://klasma.github.io/Logging_UMEA/tillsyn/A 3109-2020.docx", "A 3109-2020")</f>
        <v/>
      </c>
      <c r="Y32">
        <f>HYPERLINK("https://klasma.github.io/Logging_UMEA/tillsynsmail/A 3109-2020.docx", "A 3109-2020")</f>
        <v/>
      </c>
    </row>
    <row r="33" ht="15" customHeight="1">
      <c r="A33" t="inlineStr">
        <is>
          <t>A 14267-2020</t>
        </is>
      </c>
      <c r="B33" s="1" t="n">
        <v>43901</v>
      </c>
      <c r="C33" s="1" t="n">
        <v>45190</v>
      </c>
      <c r="D33" t="inlineStr">
        <is>
          <t>VÄSTERBOTTENS LÄN</t>
        </is>
      </c>
      <c r="E33" t="inlineStr">
        <is>
          <t>UMEÅ</t>
        </is>
      </c>
      <c r="G33" t="n">
        <v>2.2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Vedticka</t>
        </is>
      </c>
      <c r="S33">
        <f>HYPERLINK("https://klasma.github.io/Logging_UMEA/artfynd/A 14267-2020.xlsx", "A 14267-2020")</f>
        <v/>
      </c>
      <c r="T33">
        <f>HYPERLINK("https://klasma.github.io/Logging_UMEA/kartor/A 14267-2020.png", "A 14267-2020")</f>
        <v/>
      </c>
      <c r="V33">
        <f>HYPERLINK("https://klasma.github.io/Logging_UMEA/klagomål/A 14267-2020.docx", "A 14267-2020")</f>
        <v/>
      </c>
      <c r="W33">
        <f>HYPERLINK("https://klasma.github.io/Logging_UMEA/klagomålsmail/A 14267-2020.docx", "A 14267-2020")</f>
        <v/>
      </c>
      <c r="X33">
        <f>HYPERLINK("https://klasma.github.io/Logging_UMEA/tillsyn/A 14267-2020.docx", "A 14267-2020")</f>
        <v/>
      </c>
      <c r="Y33">
        <f>HYPERLINK("https://klasma.github.io/Logging_UMEA/tillsynsmail/A 14267-2020.docx", "A 14267-2020")</f>
        <v/>
      </c>
    </row>
    <row r="34" ht="15" customHeight="1">
      <c r="A34" t="inlineStr">
        <is>
          <t>A 40421-2020</t>
        </is>
      </c>
      <c r="B34" s="1" t="n">
        <v>44068</v>
      </c>
      <c r="C34" s="1" t="n">
        <v>45190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3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Tretåig hackspett
Nästlav</t>
        </is>
      </c>
      <c r="S34">
        <f>HYPERLINK("https://klasma.github.io/Logging_UMEA/artfynd/A 40421-2020.xlsx", "A 40421-2020")</f>
        <v/>
      </c>
      <c r="T34">
        <f>HYPERLINK("https://klasma.github.io/Logging_UMEA/kartor/A 40421-2020.png", "A 40421-2020")</f>
        <v/>
      </c>
      <c r="V34">
        <f>HYPERLINK("https://klasma.github.io/Logging_UMEA/klagomål/A 40421-2020.docx", "A 40421-2020")</f>
        <v/>
      </c>
      <c r="W34">
        <f>HYPERLINK("https://klasma.github.io/Logging_UMEA/klagomålsmail/A 40421-2020.docx", "A 40421-2020")</f>
        <v/>
      </c>
      <c r="X34">
        <f>HYPERLINK("https://klasma.github.io/Logging_UMEA/tillsyn/A 40421-2020.docx", "A 40421-2020")</f>
        <v/>
      </c>
      <c r="Y34">
        <f>HYPERLINK("https://klasma.github.io/Logging_UMEA/tillsynsmail/A 40421-2020.docx", "A 40421-2020")</f>
        <v/>
      </c>
    </row>
    <row r="35" ht="15" customHeight="1">
      <c r="A35" t="inlineStr">
        <is>
          <t>A 21287-2021</t>
        </is>
      </c>
      <c r="B35" s="1" t="n">
        <v>44320</v>
      </c>
      <c r="C35" s="1" t="n">
        <v>45190</v>
      </c>
      <c r="D35" t="inlineStr">
        <is>
          <t>VÄSTERBOTTENS LÄN</t>
        </is>
      </c>
      <c r="E35" t="inlineStr">
        <is>
          <t>UMEÅ</t>
        </is>
      </c>
      <c r="G35" t="n">
        <v>2.9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Brunlångöra
Nordfladdermus
Violmussling</t>
        </is>
      </c>
      <c r="S35">
        <f>HYPERLINK("https://klasma.github.io/Logging_UMEA/artfynd/A 21287-2021.xlsx", "A 21287-2021")</f>
        <v/>
      </c>
      <c r="T35">
        <f>HYPERLINK("https://klasma.github.io/Logging_UMEA/kartor/A 21287-2021.png", "A 21287-2021")</f>
        <v/>
      </c>
      <c r="V35">
        <f>HYPERLINK("https://klasma.github.io/Logging_UMEA/klagomål/A 21287-2021.docx", "A 21287-2021")</f>
        <v/>
      </c>
      <c r="W35">
        <f>HYPERLINK("https://klasma.github.io/Logging_UMEA/klagomålsmail/A 21287-2021.docx", "A 21287-2021")</f>
        <v/>
      </c>
      <c r="X35">
        <f>HYPERLINK("https://klasma.github.io/Logging_UMEA/tillsyn/A 21287-2021.docx", "A 21287-2021")</f>
        <v/>
      </c>
      <c r="Y35">
        <f>HYPERLINK("https://klasma.github.io/Logging_UMEA/tillsynsmail/A 21287-2021.docx", "A 21287-2021")</f>
        <v/>
      </c>
    </row>
    <row r="36" ht="15" customHeight="1">
      <c r="A36" t="inlineStr">
        <is>
          <t>A 38686-2021</t>
        </is>
      </c>
      <c r="B36" s="1" t="n">
        <v>44407</v>
      </c>
      <c r="C36" s="1" t="n">
        <v>45190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1.1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Björktrast
Skogsödla
Vanlig padda</t>
        </is>
      </c>
      <c r="S36">
        <f>HYPERLINK("https://klasma.github.io/Logging_UMEA/artfynd/A 38686-2021.xlsx", "A 38686-2021")</f>
        <v/>
      </c>
      <c r="T36">
        <f>HYPERLINK("https://klasma.github.io/Logging_UMEA/kartor/A 38686-2021.png", "A 38686-2021")</f>
        <v/>
      </c>
      <c r="V36">
        <f>HYPERLINK("https://klasma.github.io/Logging_UMEA/klagomål/A 38686-2021.docx", "A 38686-2021")</f>
        <v/>
      </c>
      <c r="W36">
        <f>HYPERLINK("https://klasma.github.io/Logging_UMEA/klagomålsmail/A 38686-2021.docx", "A 38686-2021")</f>
        <v/>
      </c>
      <c r="X36">
        <f>HYPERLINK("https://klasma.github.io/Logging_UMEA/tillsyn/A 38686-2021.docx", "A 38686-2021")</f>
        <v/>
      </c>
      <c r="Y36">
        <f>HYPERLINK("https://klasma.github.io/Logging_UMEA/tillsynsmail/A 38686-2021.docx", "A 38686-2021")</f>
        <v/>
      </c>
    </row>
    <row r="37" ht="15" customHeight="1">
      <c r="A37" t="inlineStr">
        <is>
          <t>A 9195-2022</t>
        </is>
      </c>
      <c r="B37" s="1" t="n">
        <v>44615</v>
      </c>
      <c r="C37" s="1" t="n">
        <v>45190</v>
      </c>
      <c r="D37" t="inlineStr">
        <is>
          <t>VÄSTERBOTTENS LÄN</t>
        </is>
      </c>
      <c r="E37" t="inlineStr">
        <is>
          <t>UMEÅ</t>
        </is>
      </c>
      <c r="G37" t="n">
        <v>2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Lunglav
Talltita
Skinnlav</t>
        </is>
      </c>
      <c r="S37">
        <f>HYPERLINK("https://klasma.github.io/Logging_UMEA/artfynd/A 9195-2022.xlsx", "A 9195-2022")</f>
        <v/>
      </c>
      <c r="T37">
        <f>HYPERLINK("https://klasma.github.io/Logging_UMEA/kartor/A 9195-2022.png", "A 9195-2022")</f>
        <v/>
      </c>
      <c r="V37">
        <f>HYPERLINK("https://klasma.github.io/Logging_UMEA/klagomål/A 9195-2022.docx", "A 9195-2022")</f>
        <v/>
      </c>
      <c r="W37">
        <f>HYPERLINK("https://klasma.github.io/Logging_UMEA/klagomålsmail/A 9195-2022.docx", "A 9195-2022")</f>
        <v/>
      </c>
      <c r="X37">
        <f>HYPERLINK("https://klasma.github.io/Logging_UMEA/tillsyn/A 9195-2022.docx", "A 9195-2022")</f>
        <v/>
      </c>
      <c r="Y37">
        <f>HYPERLINK("https://klasma.github.io/Logging_UMEA/tillsynsmail/A 9195-2022.docx", "A 9195-2022")</f>
        <v/>
      </c>
    </row>
    <row r="38" ht="15" customHeight="1">
      <c r="A38" t="inlineStr">
        <is>
          <t>A 22607-2022</t>
        </is>
      </c>
      <c r="B38" s="1" t="n">
        <v>44714</v>
      </c>
      <c r="C38" s="1" t="n">
        <v>45190</v>
      </c>
      <c r="D38" t="inlineStr">
        <is>
          <t>VÄSTERBOTTENS LÄN</t>
        </is>
      </c>
      <c r="E38" t="inlineStr">
        <is>
          <t>UMEÅ</t>
        </is>
      </c>
      <c r="G38" t="n">
        <v>3.1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Gammelgransskål
Tretåig hackspett
Vedticka</t>
        </is>
      </c>
      <c r="S38">
        <f>HYPERLINK("https://klasma.github.io/Logging_UMEA/artfynd/A 22607-2022.xlsx", "A 22607-2022")</f>
        <v/>
      </c>
      <c r="T38">
        <f>HYPERLINK("https://klasma.github.io/Logging_UMEA/kartor/A 22607-2022.png", "A 22607-2022")</f>
        <v/>
      </c>
      <c r="V38">
        <f>HYPERLINK("https://klasma.github.io/Logging_UMEA/klagomål/A 22607-2022.docx", "A 22607-2022")</f>
        <v/>
      </c>
      <c r="W38">
        <f>HYPERLINK("https://klasma.github.io/Logging_UMEA/klagomålsmail/A 22607-2022.docx", "A 22607-2022")</f>
        <v/>
      </c>
      <c r="X38">
        <f>HYPERLINK("https://klasma.github.io/Logging_UMEA/tillsyn/A 22607-2022.docx", "A 22607-2022")</f>
        <v/>
      </c>
      <c r="Y38">
        <f>HYPERLINK("https://klasma.github.io/Logging_UMEA/tillsynsmail/A 22607-2022.docx", "A 22607-2022")</f>
        <v/>
      </c>
    </row>
    <row r="39" ht="15" customHeight="1">
      <c r="A39" t="inlineStr">
        <is>
          <t>A 49644-2022</t>
        </is>
      </c>
      <c r="B39" s="1" t="n">
        <v>44862</v>
      </c>
      <c r="C39" s="1" t="n">
        <v>45190</v>
      </c>
      <c r="D39" t="inlineStr">
        <is>
          <t>VÄSTERBOTTENS LÄN</t>
        </is>
      </c>
      <c r="E39" t="inlineStr">
        <is>
          <t>UMEÅ</t>
        </is>
      </c>
      <c r="F39" t="inlineStr">
        <is>
          <t>Holmen skog AB</t>
        </is>
      </c>
      <c r="G39" t="n">
        <v>4.5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Talltita
Tretåig hackspett</t>
        </is>
      </c>
      <c r="S39">
        <f>HYPERLINK("https://klasma.github.io/Logging_UMEA/artfynd/A 49644-2022.xlsx", "A 49644-2022")</f>
        <v/>
      </c>
      <c r="T39">
        <f>HYPERLINK("https://klasma.github.io/Logging_UMEA/kartor/A 49644-2022.png", "A 49644-2022")</f>
        <v/>
      </c>
      <c r="V39">
        <f>HYPERLINK("https://klasma.github.io/Logging_UMEA/klagomål/A 49644-2022.docx", "A 49644-2022")</f>
        <v/>
      </c>
      <c r="W39">
        <f>HYPERLINK("https://klasma.github.io/Logging_UMEA/klagomålsmail/A 49644-2022.docx", "A 49644-2022")</f>
        <v/>
      </c>
      <c r="X39">
        <f>HYPERLINK("https://klasma.github.io/Logging_UMEA/tillsyn/A 49644-2022.docx", "A 49644-2022")</f>
        <v/>
      </c>
      <c r="Y39">
        <f>HYPERLINK("https://klasma.github.io/Logging_UMEA/tillsynsmail/A 49644-2022.docx", "A 49644-2022")</f>
        <v/>
      </c>
    </row>
    <row r="40" ht="15" customHeight="1">
      <c r="A40" t="inlineStr">
        <is>
          <t>A 684-2023</t>
        </is>
      </c>
      <c r="B40" s="1" t="n">
        <v>44925</v>
      </c>
      <c r="C40" s="1" t="n">
        <v>45190</v>
      </c>
      <c r="D40" t="inlineStr">
        <is>
          <t>VÄSTERBOTTENS LÄN</t>
        </is>
      </c>
      <c r="E40" t="inlineStr">
        <is>
          <t>UMEÅ</t>
        </is>
      </c>
      <c r="G40" t="n">
        <v>22.6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Kolflarnlav
Talltita
Tretåig hackspett</t>
        </is>
      </c>
      <c r="S40">
        <f>HYPERLINK("https://klasma.github.io/Logging_UMEA/artfynd/A 684-2023.xlsx", "A 684-2023")</f>
        <v/>
      </c>
      <c r="T40">
        <f>HYPERLINK("https://klasma.github.io/Logging_UMEA/kartor/A 684-2023.png", "A 684-2023")</f>
        <v/>
      </c>
      <c r="V40">
        <f>HYPERLINK("https://klasma.github.io/Logging_UMEA/klagomål/A 684-2023.docx", "A 684-2023")</f>
        <v/>
      </c>
      <c r="W40">
        <f>HYPERLINK("https://klasma.github.io/Logging_UMEA/klagomålsmail/A 684-2023.docx", "A 684-2023")</f>
        <v/>
      </c>
      <c r="X40">
        <f>HYPERLINK("https://klasma.github.io/Logging_UMEA/tillsyn/A 684-2023.docx", "A 684-2023")</f>
        <v/>
      </c>
      <c r="Y40">
        <f>HYPERLINK("https://klasma.github.io/Logging_UMEA/tillsynsmail/A 684-2023.docx", "A 684-2023")</f>
        <v/>
      </c>
    </row>
    <row r="41" ht="15" customHeight="1">
      <c r="A41" t="inlineStr">
        <is>
          <t>A 18283-2023</t>
        </is>
      </c>
      <c r="B41" s="1" t="n">
        <v>45040</v>
      </c>
      <c r="C41" s="1" t="n">
        <v>45190</v>
      </c>
      <c r="D41" t="inlineStr">
        <is>
          <t>VÄSTERBOTTENS LÄN</t>
        </is>
      </c>
      <c r="E41" t="inlineStr">
        <is>
          <t>UMEÅ</t>
        </is>
      </c>
      <c r="G41" t="n">
        <v>13.4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Järpe
Ullticka</t>
        </is>
      </c>
      <c r="S41">
        <f>HYPERLINK("https://klasma.github.io/Logging_UMEA/artfynd/A 18283-2023.xlsx", "A 18283-2023")</f>
        <v/>
      </c>
      <c r="T41">
        <f>HYPERLINK("https://klasma.github.io/Logging_UMEA/kartor/A 18283-2023.png", "A 18283-2023")</f>
        <v/>
      </c>
      <c r="V41">
        <f>HYPERLINK("https://klasma.github.io/Logging_UMEA/klagomål/A 18283-2023.docx", "A 18283-2023")</f>
        <v/>
      </c>
      <c r="W41">
        <f>HYPERLINK("https://klasma.github.io/Logging_UMEA/klagomålsmail/A 18283-2023.docx", "A 18283-2023")</f>
        <v/>
      </c>
      <c r="X41">
        <f>HYPERLINK("https://klasma.github.io/Logging_UMEA/tillsyn/A 18283-2023.docx", "A 18283-2023")</f>
        <v/>
      </c>
      <c r="Y41">
        <f>HYPERLINK("https://klasma.github.io/Logging_UMEA/tillsynsmail/A 18283-2023.docx", "A 18283-2023")</f>
        <v/>
      </c>
    </row>
    <row r="42" ht="15" customHeight="1">
      <c r="A42" t="inlineStr">
        <is>
          <t>A 4374-2019</t>
        </is>
      </c>
      <c r="B42" s="1" t="n">
        <v>43483</v>
      </c>
      <c r="C42" s="1" t="n">
        <v>45190</v>
      </c>
      <c r="D42" t="inlineStr">
        <is>
          <t>VÄSTERBOTTENS LÄN</t>
        </is>
      </c>
      <c r="E42" t="inlineStr">
        <is>
          <t>UMEÅ</t>
        </is>
      </c>
      <c r="G42" t="n">
        <v>6.7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Rynkskinn
Ullticka</t>
        </is>
      </c>
      <c r="S42">
        <f>HYPERLINK("https://klasma.github.io/Logging_UMEA/artfynd/A 4374-2019.xlsx", "A 4374-2019")</f>
        <v/>
      </c>
      <c r="T42">
        <f>HYPERLINK("https://klasma.github.io/Logging_UMEA/kartor/A 4374-2019.png", "A 4374-2019")</f>
        <v/>
      </c>
      <c r="V42">
        <f>HYPERLINK("https://klasma.github.io/Logging_UMEA/klagomål/A 4374-2019.docx", "A 4374-2019")</f>
        <v/>
      </c>
      <c r="W42">
        <f>HYPERLINK("https://klasma.github.io/Logging_UMEA/klagomålsmail/A 4374-2019.docx", "A 4374-2019")</f>
        <v/>
      </c>
      <c r="X42">
        <f>HYPERLINK("https://klasma.github.io/Logging_UMEA/tillsyn/A 4374-2019.docx", "A 4374-2019")</f>
        <v/>
      </c>
      <c r="Y42">
        <f>HYPERLINK("https://klasma.github.io/Logging_UMEA/tillsynsmail/A 4374-2019.docx", "A 4374-2019")</f>
        <v/>
      </c>
    </row>
    <row r="43" ht="15" customHeight="1">
      <c r="A43" t="inlineStr">
        <is>
          <t>A 40420-2020</t>
        </is>
      </c>
      <c r="B43" s="1" t="n">
        <v>44068</v>
      </c>
      <c r="C43" s="1" t="n">
        <v>45190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4.1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Leptoporus mollis
Tretåig hackspett</t>
        </is>
      </c>
      <c r="S43">
        <f>HYPERLINK("https://klasma.github.io/Logging_UMEA/artfynd/A 40420-2020.xlsx", "A 40420-2020")</f>
        <v/>
      </c>
      <c r="T43">
        <f>HYPERLINK("https://klasma.github.io/Logging_UMEA/kartor/A 40420-2020.png", "A 40420-2020")</f>
        <v/>
      </c>
      <c r="V43">
        <f>HYPERLINK("https://klasma.github.io/Logging_UMEA/klagomål/A 40420-2020.docx", "A 40420-2020")</f>
        <v/>
      </c>
      <c r="W43">
        <f>HYPERLINK("https://klasma.github.io/Logging_UMEA/klagomålsmail/A 40420-2020.docx", "A 40420-2020")</f>
        <v/>
      </c>
      <c r="X43">
        <f>HYPERLINK("https://klasma.github.io/Logging_UMEA/tillsyn/A 40420-2020.docx", "A 40420-2020")</f>
        <v/>
      </c>
      <c r="Y43">
        <f>HYPERLINK("https://klasma.github.io/Logging_UMEA/tillsynsmail/A 40420-2020.docx", "A 40420-2020")</f>
        <v/>
      </c>
    </row>
    <row r="44" ht="15" customHeight="1">
      <c r="A44" t="inlineStr">
        <is>
          <t>A 35297-2021</t>
        </is>
      </c>
      <c r="B44" s="1" t="n">
        <v>44384</v>
      </c>
      <c r="C44" s="1" t="n">
        <v>45190</v>
      </c>
      <c r="D44" t="inlineStr">
        <is>
          <t>VÄSTERBOTTENS LÄN</t>
        </is>
      </c>
      <c r="E44" t="inlineStr">
        <is>
          <t>UMEÅ</t>
        </is>
      </c>
      <c r="G44" t="n">
        <v>8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Aspgelélav
Stuplav</t>
        </is>
      </c>
      <c r="S44">
        <f>HYPERLINK("https://klasma.github.io/Logging_UMEA/artfynd/A 35297-2021.xlsx", "A 35297-2021")</f>
        <v/>
      </c>
      <c r="T44">
        <f>HYPERLINK("https://klasma.github.io/Logging_UMEA/kartor/A 35297-2021.png", "A 35297-2021")</f>
        <v/>
      </c>
      <c r="V44">
        <f>HYPERLINK("https://klasma.github.io/Logging_UMEA/klagomål/A 35297-2021.docx", "A 35297-2021")</f>
        <v/>
      </c>
      <c r="W44">
        <f>HYPERLINK("https://klasma.github.io/Logging_UMEA/klagomålsmail/A 35297-2021.docx", "A 35297-2021")</f>
        <v/>
      </c>
      <c r="X44">
        <f>HYPERLINK("https://klasma.github.io/Logging_UMEA/tillsyn/A 35297-2021.docx", "A 35297-2021")</f>
        <v/>
      </c>
      <c r="Y44">
        <f>HYPERLINK("https://klasma.github.io/Logging_UMEA/tillsynsmail/A 35297-2021.docx", "A 35297-2021")</f>
        <v/>
      </c>
    </row>
    <row r="45" ht="15" customHeight="1">
      <c r="A45" t="inlineStr">
        <is>
          <t>A 38443-2021</t>
        </is>
      </c>
      <c r="B45" s="1" t="n">
        <v>44406</v>
      </c>
      <c r="C45" s="1" t="n">
        <v>45190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Skarp dropptaggsvamp</t>
        </is>
      </c>
      <c r="S45">
        <f>HYPERLINK("https://klasma.github.io/Logging_UMEA/artfynd/A 38443-2021.xlsx", "A 38443-2021")</f>
        <v/>
      </c>
      <c r="T45">
        <f>HYPERLINK("https://klasma.github.io/Logging_UMEA/kartor/A 38443-2021.png", "A 38443-2021")</f>
        <v/>
      </c>
      <c r="V45">
        <f>HYPERLINK("https://klasma.github.io/Logging_UMEA/klagomål/A 38443-2021.docx", "A 38443-2021")</f>
        <v/>
      </c>
      <c r="W45">
        <f>HYPERLINK("https://klasma.github.io/Logging_UMEA/klagomålsmail/A 38443-2021.docx", "A 38443-2021")</f>
        <v/>
      </c>
      <c r="X45">
        <f>HYPERLINK("https://klasma.github.io/Logging_UMEA/tillsyn/A 38443-2021.docx", "A 38443-2021")</f>
        <v/>
      </c>
      <c r="Y45">
        <f>HYPERLINK("https://klasma.github.io/Logging_UMEA/tillsynsmail/A 38443-2021.docx", "A 38443-2021")</f>
        <v/>
      </c>
    </row>
    <row r="46" ht="15" customHeight="1">
      <c r="A46" t="inlineStr">
        <is>
          <t>A 38400-2021</t>
        </is>
      </c>
      <c r="B46" s="1" t="n">
        <v>44406</v>
      </c>
      <c r="C46" s="1" t="n">
        <v>45190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Epuraea oblonga
Gulbandad brunbagge</t>
        </is>
      </c>
      <c r="S46">
        <f>HYPERLINK("https://klasma.github.io/Logging_UMEA/artfynd/A 38400-2021.xlsx", "A 38400-2021")</f>
        <v/>
      </c>
      <c r="T46">
        <f>HYPERLINK("https://klasma.github.io/Logging_UMEA/kartor/A 38400-2021.png", "A 38400-2021")</f>
        <v/>
      </c>
      <c r="V46">
        <f>HYPERLINK("https://klasma.github.io/Logging_UMEA/klagomål/A 38400-2021.docx", "A 38400-2021")</f>
        <v/>
      </c>
      <c r="W46">
        <f>HYPERLINK("https://klasma.github.io/Logging_UMEA/klagomålsmail/A 38400-2021.docx", "A 38400-2021")</f>
        <v/>
      </c>
      <c r="X46">
        <f>HYPERLINK("https://klasma.github.io/Logging_UMEA/tillsyn/A 38400-2021.docx", "A 38400-2021")</f>
        <v/>
      </c>
      <c r="Y46">
        <f>HYPERLINK("https://klasma.github.io/Logging_UMEA/tillsynsmail/A 38400-2021.docx", "A 38400-2021")</f>
        <v/>
      </c>
    </row>
    <row r="47" ht="15" customHeight="1">
      <c r="A47" t="inlineStr">
        <is>
          <t>A 38689-2021</t>
        </is>
      </c>
      <c r="B47" s="1" t="n">
        <v>44407</v>
      </c>
      <c r="C47" s="1" t="n">
        <v>45190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Gulbandad brunbagge
Rödhalsad vedsvampbagge</t>
        </is>
      </c>
      <c r="S47">
        <f>HYPERLINK("https://klasma.github.io/Logging_UMEA/artfynd/A 38689-2021.xlsx", "A 38689-2021")</f>
        <v/>
      </c>
      <c r="T47">
        <f>HYPERLINK("https://klasma.github.io/Logging_UMEA/kartor/A 38689-2021.png", "A 38689-2021")</f>
        <v/>
      </c>
      <c r="V47">
        <f>HYPERLINK("https://klasma.github.io/Logging_UMEA/klagomål/A 38689-2021.docx", "A 38689-2021")</f>
        <v/>
      </c>
      <c r="W47">
        <f>HYPERLINK("https://klasma.github.io/Logging_UMEA/klagomålsmail/A 38689-2021.docx", "A 38689-2021")</f>
        <v/>
      </c>
      <c r="X47">
        <f>HYPERLINK("https://klasma.github.io/Logging_UMEA/tillsyn/A 38689-2021.docx", "A 38689-2021")</f>
        <v/>
      </c>
      <c r="Y47">
        <f>HYPERLINK("https://klasma.github.io/Logging_UMEA/tillsynsmail/A 38689-2021.docx", "A 38689-2021")</f>
        <v/>
      </c>
    </row>
    <row r="48" ht="15" customHeight="1">
      <c r="A48" t="inlineStr">
        <is>
          <t>A 45207-2021</t>
        </is>
      </c>
      <c r="B48" s="1" t="n">
        <v>44439</v>
      </c>
      <c r="C48" s="1" t="n">
        <v>45190</v>
      </c>
      <c r="D48" t="inlineStr">
        <is>
          <t>VÄSTERBOTTENS LÄN</t>
        </is>
      </c>
      <c r="E48" t="inlineStr">
        <is>
          <t>UMEÅ</t>
        </is>
      </c>
      <c r="F48" t="inlineStr">
        <is>
          <t>Holmen skog AB</t>
        </is>
      </c>
      <c r="G48" t="n">
        <v>24.3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Garnlav
Vågbandad barkbock</t>
        </is>
      </c>
      <c r="S48">
        <f>HYPERLINK("https://klasma.github.io/Logging_UMEA/artfynd/A 45207-2021.xlsx", "A 45207-2021")</f>
        <v/>
      </c>
      <c r="T48">
        <f>HYPERLINK("https://klasma.github.io/Logging_UMEA/kartor/A 45207-2021.png", "A 45207-2021")</f>
        <v/>
      </c>
      <c r="V48">
        <f>HYPERLINK("https://klasma.github.io/Logging_UMEA/klagomål/A 45207-2021.docx", "A 45207-2021")</f>
        <v/>
      </c>
      <c r="W48">
        <f>HYPERLINK("https://klasma.github.io/Logging_UMEA/klagomålsmail/A 45207-2021.docx", "A 45207-2021")</f>
        <v/>
      </c>
      <c r="X48">
        <f>HYPERLINK("https://klasma.github.io/Logging_UMEA/tillsyn/A 45207-2021.docx", "A 45207-2021")</f>
        <v/>
      </c>
      <c r="Y48">
        <f>HYPERLINK("https://klasma.github.io/Logging_UMEA/tillsynsmail/A 45207-2021.docx", "A 45207-2021")</f>
        <v/>
      </c>
    </row>
    <row r="49" ht="15" customHeight="1">
      <c r="A49" t="inlineStr">
        <is>
          <t>A 9771-2022</t>
        </is>
      </c>
      <c r="B49" s="1" t="n">
        <v>44619</v>
      </c>
      <c r="C49" s="1" t="n">
        <v>45190</v>
      </c>
      <c r="D49" t="inlineStr">
        <is>
          <t>VÄSTERBOTTENS LÄN</t>
        </is>
      </c>
      <c r="E49" t="inlineStr">
        <is>
          <t>UMEÅ</t>
        </is>
      </c>
      <c r="G49" t="n">
        <v>39.1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Blå taggsvamp
Dropptaggsvamp</t>
        </is>
      </c>
      <c r="S49">
        <f>HYPERLINK("https://klasma.github.io/Logging_UMEA/artfynd/A 9771-2022.xlsx", "A 9771-2022")</f>
        <v/>
      </c>
      <c r="T49">
        <f>HYPERLINK("https://klasma.github.io/Logging_UMEA/kartor/A 9771-2022.png", "A 9771-2022")</f>
        <v/>
      </c>
      <c r="V49">
        <f>HYPERLINK("https://klasma.github.io/Logging_UMEA/klagomål/A 9771-2022.docx", "A 9771-2022")</f>
        <v/>
      </c>
      <c r="W49">
        <f>HYPERLINK("https://klasma.github.io/Logging_UMEA/klagomålsmail/A 9771-2022.docx", "A 9771-2022")</f>
        <v/>
      </c>
      <c r="X49">
        <f>HYPERLINK("https://klasma.github.io/Logging_UMEA/tillsyn/A 9771-2022.docx", "A 9771-2022")</f>
        <v/>
      </c>
      <c r="Y49">
        <f>HYPERLINK("https://klasma.github.io/Logging_UMEA/tillsynsmail/A 9771-2022.docx", "A 9771-2022")</f>
        <v/>
      </c>
    </row>
    <row r="50" ht="15" customHeight="1">
      <c r="A50" t="inlineStr">
        <is>
          <t>A 44687-2022</t>
        </is>
      </c>
      <c r="B50" s="1" t="n">
        <v>44839</v>
      </c>
      <c r="C50" s="1" t="n">
        <v>45190</v>
      </c>
      <c r="D50" t="inlineStr">
        <is>
          <t>VÄSTERBOTTENS LÄN</t>
        </is>
      </c>
      <c r="E50" t="inlineStr">
        <is>
          <t>UMEÅ</t>
        </is>
      </c>
      <c r="G50" t="n">
        <v>2.3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Granticka
Ullticka</t>
        </is>
      </c>
      <c r="S50">
        <f>HYPERLINK("https://klasma.github.io/Logging_UMEA/artfynd/A 44687-2022.xlsx", "A 44687-2022")</f>
        <v/>
      </c>
      <c r="T50">
        <f>HYPERLINK("https://klasma.github.io/Logging_UMEA/kartor/A 44687-2022.png", "A 44687-2022")</f>
        <v/>
      </c>
      <c r="V50">
        <f>HYPERLINK("https://klasma.github.io/Logging_UMEA/klagomål/A 44687-2022.docx", "A 44687-2022")</f>
        <v/>
      </c>
      <c r="W50">
        <f>HYPERLINK("https://klasma.github.io/Logging_UMEA/klagomålsmail/A 44687-2022.docx", "A 44687-2022")</f>
        <v/>
      </c>
      <c r="X50">
        <f>HYPERLINK("https://klasma.github.io/Logging_UMEA/tillsyn/A 44687-2022.docx", "A 44687-2022")</f>
        <v/>
      </c>
      <c r="Y50">
        <f>HYPERLINK("https://klasma.github.io/Logging_UMEA/tillsynsmail/A 44687-2022.docx", "A 44687-2022")</f>
        <v/>
      </c>
    </row>
    <row r="51" ht="15" customHeight="1">
      <c r="A51" t="inlineStr">
        <is>
          <t>A 52635-2022</t>
        </is>
      </c>
      <c r="B51" s="1" t="n">
        <v>44874</v>
      </c>
      <c r="C51" s="1" t="n">
        <v>45190</v>
      </c>
      <c r="D51" t="inlineStr">
        <is>
          <t>VÄSTERBOTTENS LÄN</t>
        </is>
      </c>
      <c r="E51" t="inlineStr">
        <is>
          <t>UMEÅ</t>
        </is>
      </c>
      <c r="G51" t="n">
        <v>3.1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Vågbandad barkbock</t>
        </is>
      </c>
      <c r="S51">
        <f>HYPERLINK("https://klasma.github.io/Logging_UMEA/artfynd/A 52635-2022.xlsx", "A 52635-2022")</f>
        <v/>
      </c>
      <c r="T51">
        <f>HYPERLINK("https://klasma.github.io/Logging_UMEA/kartor/A 52635-2022.png", "A 52635-2022")</f>
        <v/>
      </c>
      <c r="V51">
        <f>HYPERLINK("https://klasma.github.io/Logging_UMEA/klagomål/A 52635-2022.docx", "A 52635-2022")</f>
        <v/>
      </c>
      <c r="W51">
        <f>HYPERLINK("https://klasma.github.io/Logging_UMEA/klagomålsmail/A 52635-2022.docx", "A 52635-2022")</f>
        <v/>
      </c>
      <c r="X51">
        <f>HYPERLINK("https://klasma.github.io/Logging_UMEA/tillsyn/A 52635-2022.docx", "A 52635-2022")</f>
        <v/>
      </c>
      <c r="Y51">
        <f>HYPERLINK("https://klasma.github.io/Logging_UMEA/tillsynsmail/A 52635-2022.docx", "A 52635-2022")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45190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18922-2023.xlsx", "A 18922-2023")</f>
        <v/>
      </c>
      <c r="T52">
        <f>HYPERLINK("https://klasma.github.io/Logging_UMEA/kartor/A 18922-2023.png", "A 18922-2023")</f>
        <v/>
      </c>
      <c r="V52">
        <f>HYPERLINK("https://klasma.github.io/Logging_UMEA/klagomål/A 18922-2023.docx", "A 18922-2023")</f>
        <v/>
      </c>
      <c r="W52">
        <f>HYPERLINK("https://klasma.github.io/Logging_UMEA/klagomålsmail/A 18922-2023.docx", "A 18922-2023")</f>
        <v/>
      </c>
      <c r="X52">
        <f>HYPERLINK("https://klasma.github.io/Logging_UMEA/tillsyn/A 18922-2023.docx", "A 18922-2023")</f>
        <v/>
      </c>
      <c r="Y52">
        <f>HYPERLINK("https://klasma.github.io/Logging_UMEA/tillsynsmail/A 18922-2023.docx", "A 18922-2023")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45190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4489-2019.xlsx", "A 4489-2019")</f>
        <v/>
      </c>
      <c r="T53">
        <f>HYPERLINK("https://klasma.github.io/Logging_UMEA/kartor/A 4489-2019.png", "A 4489-2019")</f>
        <v/>
      </c>
      <c r="V53">
        <f>HYPERLINK("https://klasma.github.io/Logging_UMEA/klagomål/A 4489-2019.docx", "A 4489-2019")</f>
        <v/>
      </c>
      <c r="W53">
        <f>HYPERLINK("https://klasma.github.io/Logging_UMEA/klagomålsmail/A 4489-2019.docx", "A 4489-2019")</f>
        <v/>
      </c>
      <c r="X53">
        <f>HYPERLINK("https://klasma.github.io/Logging_UMEA/tillsyn/A 4489-2019.docx", "A 4489-2019")</f>
        <v/>
      </c>
      <c r="Y53">
        <f>HYPERLINK("https://klasma.github.io/Logging_UMEA/tillsynsmail/A 4489-2019.docx", "A 4489-2019")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45190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53745-2019.xlsx", "A 53745-2019")</f>
        <v/>
      </c>
      <c r="T54">
        <f>HYPERLINK("https://klasma.github.io/Logging_UMEA/kartor/A 53745-2019.png", "A 53745-2019")</f>
        <v/>
      </c>
      <c r="V54">
        <f>HYPERLINK("https://klasma.github.io/Logging_UMEA/klagomål/A 53745-2019.docx", "A 53745-2019")</f>
        <v/>
      </c>
      <c r="W54">
        <f>HYPERLINK("https://klasma.github.io/Logging_UMEA/klagomålsmail/A 53745-2019.docx", "A 53745-2019")</f>
        <v/>
      </c>
      <c r="X54">
        <f>HYPERLINK("https://klasma.github.io/Logging_UMEA/tillsyn/A 53745-2019.docx", "A 53745-2019")</f>
        <v/>
      </c>
      <c r="Y54">
        <f>HYPERLINK("https://klasma.github.io/Logging_UMEA/tillsynsmail/A 53745-2019.docx", "A 53745-2019")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45190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23492-2020.xlsx", "A 23492-2020")</f>
        <v/>
      </c>
      <c r="T55">
        <f>HYPERLINK("https://klasma.github.io/Logging_UMEA/kartor/A 23492-2020.png", "A 23492-2020")</f>
        <v/>
      </c>
      <c r="V55">
        <f>HYPERLINK("https://klasma.github.io/Logging_UMEA/klagomål/A 23492-2020.docx", "A 23492-2020")</f>
        <v/>
      </c>
      <c r="W55">
        <f>HYPERLINK("https://klasma.github.io/Logging_UMEA/klagomålsmail/A 23492-2020.docx", "A 23492-2020")</f>
        <v/>
      </c>
      <c r="X55">
        <f>HYPERLINK("https://klasma.github.io/Logging_UMEA/tillsyn/A 23492-2020.docx", "A 23492-2020")</f>
        <v/>
      </c>
      <c r="Y55">
        <f>HYPERLINK("https://klasma.github.io/Logging_UMEA/tillsynsmail/A 23492-2020.docx", "A 23492-2020")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45190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48400-2020.xlsx", "A 48400-2020")</f>
        <v/>
      </c>
      <c r="T56">
        <f>HYPERLINK("https://klasma.github.io/Logging_UMEA/kartor/A 48400-2020.png", "A 48400-2020")</f>
        <v/>
      </c>
      <c r="V56">
        <f>HYPERLINK("https://klasma.github.io/Logging_UMEA/klagomål/A 48400-2020.docx", "A 48400-2020")</f>
        <v/>
      </c>
      <c r="W56">
        <f>HYPERLINK("https://klasma.github.io/Logging_UMEA/klagomålsmail/A 48400-2020.docx", "A 48400-2020")</f>
        <v/>
      </c>
      <c r="X56">
        <f>HYPERLINK("https://klasma.github.io/Logging_UMEA/tillsyn/A 48400-2020.docx", "A 48400-2020")</f>
        <v/>
      </c>
      <c r="Y56">
        <f>HYPERLINK("https://klasma.github.io/Logging_UMEA/tillsynsmail/A 48400-2020.docx", "A 48400-2020")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45190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52676-2020.xlsx", "A 52676-2020")</f>
        <v/>
      </c>
      <c r="T57">
        <f>HYPERLINK("https://klasma.github.io/Logging_UMEA/kartor/A 52676-2020.png", "A 52676-2020")</f>
        <v/>
      </c>
      <c r="V57">
        <f>HYPERLINK("https://klasma.github.io/Logging_UMEA/klagomål/A 52676-2020.docx", "A 52676-2020")</f>
        <v/>
      </c>
      <c r="W57">
        <f>HYPERLINK("https://klasma.github.io/Logging_UMEA/klagomålsmail/A 52676-2020.docx", "A 52676-2020")</f>
        <v/>
      </c>
      <c r="X57">
        <f>HYPERLINK("https://klasma.github.io/Logging_UMEA/tillsyn/A 52676-2020.docx", "A 52676-2020")</f>
        <v/>
      </c>
      <c r="Y57">
        <f>HYPERLINK("https://klasma.github.io/Logging_UMEA/tillsynsmail/A 52676-2020.docx", "A 52676-2020")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45190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38390-2021.xlsx", "A 38390-2021")</f>
        <v/>
      </c>
      <c r="T58">
        <f>HYPERLINK("https://klasma.github.io/Logging_UMEA/kartor/A 38390-2021.png", "A 38390-2021")</f>
        <v/>
      </c>
      <c r="V58">
        <f>HYPERLINK("https://klasma.github.io/Logging_UMEA/klagomål/A 38390-2021.docx", "A 38390-2021")</f>
        <v/>
      </c>
      <c r="W58">
        <f>HYPERLINK("https://klasma.github.io/Logging_UMEA/klagomålsmail/A 38390-2021.docx", "A 38390-2021")</f>
        <v/>
      </c>
      <c r="X58">
        <f>HYPERLINK("https://klasma.github.io/Logging_UMEA/tillsyn/A 38390-2021.docx", "A 38390-2021")</f>
        <v/>
      </c>
      <c r="Y58">
        <f>HYPERLINK("https://klasma.github.io/Logging_UMEA/tillsynsmail/A 38390-2021.docx", "A 38390-2021")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45190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38437-2021.xlsx", "A 38437-2021")</f>
        <v/>
      </c>
      <c r="T59">
        <f>HYPERLINK("https://klasma.github.io/Logging_UMEA/kartor/A 38437-2021.png", "A 38437-2021")</f>
        <v/>
      </c>
      <c r="V59">
        <f>HYPERLINK("https://klasma.github.io/Logging_UMEA/klagomål/A 38437-2021.docx", "A 38437-2021")</f>
        <v/>
      </c>
      <c r="W59">
        <f>HYPERLINK("https://klasma.github.io/Logging_UMEA/klagomålsmail/A 38437-2021.docx", "A 38437-2021")</f>
        <v/>
      </c>
      <c r="X59">
        <f>HYPERLINK("https://klasma.github.io/Logging_UMEA/tillsyn/A 38437-2021.docx", "A 38437-2021")</f>
        <v/>
      </c>
      <c r="Y59">
        <f>HYPERLINK("https://klasma.github.io/Logging_UMEA/tillsynsmail/A 38437-2021.docx", "A 38437-2021")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45190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38396-2021.xlsx", "A 38396-2021")</f>
        <v/>
      </c>
      <c r="T60">
        <f>HYPERLINK("https://klasma.github.io/Logging_UMEA/kartor/A 38396-2021.png", "A 38396-2021")</f>
        <v/>
      </c>
      <c r="V60">
        <f>HYPERLINK("https://klasma.github.io/Logging_UMEA/klagomål/A 38396-2021.docx", "A 38396-2021")</f>
        <v/>
      </c>
      <c r="W60">
        <f>HYPERLINK("https://klasma.github.io/Logging_UMEA/klagomålsmail/A 38396-2021.docx", "A 38396-2021")</f>
        <v/>
      </c>
      <c r="X60">
        <f>HYPERLINK("https://klasma.github.io/Logging_UMEA/tillsyn/A 38396-2021.docx", "A 38396-2021")</f>
        <v/>
      </c>
      <c r="Y60">
        <f>HYPERLINK("https://klasma.github.io/Logging_UMEA/tillsynsmail/A 38396-2021.docx", "A 38396-2021")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45190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38393-2021.xlsx", "A 38393-2021")</f>
        <v/>
      </c>
      <c r="T61">
        <f>HYPERLINK("https://klasma.github.io/Logging_UMEA/kartor/A 38393-2021.png", "A 38393-2021")</f>
        <v/>
      </c>
      <c r="V61">
        <f>HYPERLINK("https://klasma.github.io/Logging_UMEA/klagomål/A 38393-2021.docx", "A 38393-2021")</f>
        <v/>
      </c>
      <c r="W61">
        <f>HYPERLINK("https://klasma.github.io/Logging_UMEA/klagomålsmail/A 38393-2021.docx", "A 38393-2021")</f>
        <v/>
      </c>
      <c r="X61">
        <f>HYPERLINK("https://klasma.github.io/Logging_UMEA/tillsyn/A 38393-2021.docx", "A 38393-2021")</f>
        <v/>
      </c>
      <c r="Y61">
        <f>HYPERLINK("https://klasma.github.io/Logging_UMEA/tillsynsmail/A 38393-2021.docx", "A 38393-2021")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45190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38545-2021.xlsx", "A 38545-2021")</f>
        <v/>
      </c>
      <c r="T62">
        <f>HYPERLINK("https://klasma.github.io/Logging_UMEA/kartor/A 38545-2021.png", "A 38545-2021")</f>
        <v/>
      </c>
      <c r="V62">
        <f>HYPERLINK("https://klasma.github.io/Logging_UMEA/klagomål/A 38545-2021.docx", "A 38545-2021")</f>
        <v/>
      </c>
      <c r="W62">
        <f>HYPERLINK("https://klasma.github.io/Logging_UMEA/klagomålsmail/A 38545-2021.docx", "A 38545-2021")</f>
        <v/>
      </c>
      <c r="X62">
        <f>HYPERLINK("https://klasma.github.io/Logging_UMEA/tillsyn/A 38545-2021.docx", "A 38545-2021")</f>
        <v/>
      </c>
      <c r="Y62">
        <f>HYPERLINK("https://klasma.github.io/Logging_UMEA/tillsynsmail/A 38545-2021.docx", "A 38545-2021")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45190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38742-2021.xlsx", "A 38742-2021")</f>
        <v/>
      </c>
      <c r="T63">
        <f>HYPERLINK("https://klasma.github.io/Logging_UMEA/kartor/A 38742-2021.png", "A 38742-2021")</f>
        <v/>
      </c>
      <c r="V63">
        <f>HYPERLINK("https://klasma.github.io/Logging_UMEA/klagomål/A 38742-2021.docx", "A 38742-2021")</f>
        <v/>
      </c>
      <c r="W63">
        <f>HYPERLINK("https://klasma.github.io/Logging_UMEA/klagomålsmail/A 38742-2021.docx", "A 38742-2021")</f>
        <v/>
      </c>
      <c r="X63">
        <f>HYPERLINK("https://klasma.github.io/Logging_UMEA/tillsyn/A 38742-2021.docx", "A 38742-2021")</f>
        <v/>
      </c>
      <c r="Y63">
        <f>HYPERLINK("https://klasma.github.io/Logging_UMEA/tillsynsmail/A 38742-2021.docx", "A 38742-2021")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45190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38700-2021.xlsx", "A 38700-2021")</f>
        <v/>
      </c>
      <c r="T64">
        <f>HYPERLINK("https://klasma.github.io/Logging_UMEA/kartor/A 38700-2021.png", "A 38700-2021")</f>
        <v/>
      </c>
      <c r="V64">
        <f>HYPERLINK("https://klasma.github.io/Logging_UMEA/klagomål/A 38700-2021.docx", "A 38700-2021")</f>
        <v/>
      </c>
      <c r="W64">
        <f>HYPERLINK("https://klasma.github.io/Logging_UMEA/klagomålsmail/A 38700-2021.docx", "A 38700-2021")</f>
        <v/>
      </c>
      <c r="X64">
        <f>HYPERLINK("https://klasma.github.io/Logging_UMEA/tillsyn/A 38700-2021.docx", "A 38700-2021")</f>
        <v/>
      </c>
      <c r="Y64">
        <f>HYPERLINK("https://klasma.github.io/Logging_UMEA/tillsynsmail/A 38700-2021.docx", "A 38700-2021")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45190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45430-2021.xlsx", "A 45430-2021")</f>
        <v/>
      </c>
      <c r="T65">
        <f>HYPERLINK("https://klasma.github.io/Logging_UMEA/kartor/A 45430-2021.png", "A 45430-2021")</f>
        <v/>
      </c>
      <c r="V65">
        <f>HYPERLINK("https://klasma.github.io/Logging_UMEA/klagomål/A 45430-2021.docx", "A 45430-2021")</f>
        <v/>
      </c>
      <c r="W65">
        <f>HYPERLINK("https://klasma.github.io/Logging_UMEA/klagomålsmail/A 45430-2021.docx", "A 45430-2021")</f>
        <v/>
      </c>
      <c r="X65">
        <f>HYPERLINK("https://klasma.github.io/Logging_UMEA/tillsyn/A 45430-2021.docx", "A 45430-2021")</f>
        <v/>
      </c>
      <c r="Y65">
        <f>HYPERLINK("https://klasma.github.io/Logging_UMEA/tillsynsmail/A 45430-2021.docx", "A 45430-2021")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45190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47038-2021.xlsx", "A 47038-2021")</f>
        <v/>
      </c>
      <c r="T66">
        <f>HYPERLINK("https://klasma.github.io/Logging_UMEA/kartor/A 47038-2021.png", "A 47038-2021")</f>
        <v/>
      </c>
      <c r="V66">
        <f>HYPERLINK("https://klasma.github.io/Logging_UMEA/klagomål/A 47038-2021.docx", "A 47038-2021")</f>
        <v/>
      </c>
      <c r="W66">
        <f>HYPERLINK("https://klasma.github.io/Logging_UMEA/klagomålsmail/A 47038-2021.docx", "A 47038-2021")</f>
        <v/>
      </c>
      <c r="X66">
        <f>HYPERLINK("https://klasma.github.io/Logging_UMEA/tillsyn/A 47038-2021.docx", "A 47038-2021")</f>
        <v/>
      </c>
      <c r="Y66">
        <f>HYPERLINK("https://klasma.github.io/Logging_UMEA/tillsynsmail/A 47038-2021.docx", "A 47038-2021")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45190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49774-2021.xlsx", "A 49774-2021")</f>
        <v/>
      </c>
      <c r="T67">
        <f>HYPERLINK("https://klasma.github.io/Logging_UMEA/kartor/A 49774-2021.png", "A 49774-2021")</f>
        <v/>
      </c>
      <c r="V67">
        <f>HYPERLINK("https://klasma.github.io/Logging_UMEA/klagomål/A 49774-2021.docx", "A 49774-2021")</f>
        <v/>
      </c>
      <c r="W67">
        <f>HYPERLINK("https://klasma.github.io/Logging_UMEA/klagomålsmail/A 49774-2021.docx", "A 49774-2021")</f>
        <v/>
      </c>
      <c r="X67">
        <f>HYPERLINK("https://klasma.github.io/Logging_UMEA/tillsyn/A 49774-2021.docx", "A 49774-2021")</f>
        <v/>
      </c>
      <c r="Y67">
        <f>HYPERLINK("https://klasma.github.io/Logging_UMEA/tillsynsmail/A 49774-2021.docx", "A 49774-2021")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45190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11502-2022.xlsx", "A 11502-2022")</f>
        <v/>
      </c>
      <c r="T68">
        <f>HYPERLINK("https://klasma.github.io/Logging_UMEA/kartor/A 11502-2022.png", "A 11502-2022")</f>
        <v/>
      </c>
      <c r="V68">
        <f>HYPERLINK("https://klasma.github.io/Logging_UMEA/klagomål/A 11502-2022.docx", "A 11502-2022")</f>
        <v/>
      </c>
      <c r="W68">
        <f>HYPERLINK("https://klasma.github.io/Logging_UMEA/klagomålsmail/A 11502-2022.docx", "A 11502-2022")</f>
        <v/>
      </c>
      <c r="X68">
        <f>HYPERLINK("https://klasma.github.io/Logging_UMEA/tillsyn/A 11502-2022.docx", "A 11502-2022")</f>
        <v/>
      </c>
      <c r="Y68">
        <f>HYPERLINK("https://klasma.github.io/Logging_UMEA/tillsynsmail/A 11502-2022.docx", "A 11502-2022")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45190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16839-2022.xlsx", "A 16839-2022")</f>
        <v/>
      </c>
      <c r="T69">
        <f>HYPERLINK("https://klasma.github.io/Logging_UMEA/kartor/A 16839-2022.png", "A 16839-2022")</f>
        <v/>
      </c>
      <c r="V69">
        <f>HYPERLINK("https://klasma.github.io/Logging_UMEA/klagomål/A 16839-2022.docx", "A 16839-2022")</f>
        <v/>
      </c>
      <c r="W69">
        <f>HYPERLINK("https://klasma.github.io/Logging_UMEA/klagomålsmail/A 16839-2022.docx", "A 16839-2022")</f>
        <v/>
      </c>
      <c r="X69">
        <f>HYPERLINK("https://klasma.github.io/Logging_UMEA/tillsyn/A 16839-2022.docx", "A 16839-2022")</f>
        <v/>
      </c>
      <c r="Y69">
        <f>HYPERLINK("https://klasma.github.io/Logging_UMEA/tillsynsmail/A 16839-2022.docx", "A 16839-2022")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45190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23035-2022.xlsx", "A 23035-2022")</f>
        <v/>
      </c>
      <c r="T70">
        <f>HYPERLINK("https://klasma.github.io/Logging_UMEA/kartor/A 23035-2022.png", "A 23035-2022")</f>
        <v/>
      </c>
      <c r="V70">
        <f>HYPERLINK("https://klasma.github.io/Logging_UMEA/klagomål/A 23035-2022.docx", "A 23035-2022")</f>
        <v/>
      </c>
      <c r="W70">
        <f>HYPERLINK("https://klasma.github.io/Logging_UMEA/klagomålsmail/A 23035-2022.docx", "A 23035-2022")</f>
        <v/>
      </c>
      <c r="X70">
        <f>HYPERLINK("https://klasma.github.io/Logging_UMEA/tillsyn/A 23035-2022.docx", "A 23035-2022")</f>
        <v/>
      </c>
      <c r="Y70">
        <f>HYPERLINK("https://klasma.github.io/Logging_UMEA/tillsynsmail/A 23035-2022.docx", "A 23035-2022")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45190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43519-2022.xlsx", "A 43519-2022")</f>
        <v/>
      </c>
      <c r="T71">
        <f>HYPERLINK("https://klasma.github.io/Logging_UMEA/kartor/A 43519-2022.png", "A 43519-2022")</f>
        <v/>
      </c>
      <c r="V71">
        <f>HYPERLINK("https://klasma.github.io/Logging_UMEA/klagomål/A 43519-2022.docx", "A 43519-2022")</f>
        <v/>
      </c>
      <c r="W71">
        <f>HYPERLINK("https://klasma.github.io/Logging_UMEA/klagomålsmail/A 43519-2022.docx", "A 43519-2022")</f>
        <v/>
      </c>
      <c r="X71">
        <f>HYPERLINK("https://klasma.github.io/Logging_UMEA/tillsyn/A 43519-2022.docx", "A 43519-2022")</f>
        <v/>
      </c>
      <c r="Y71">
        <f>HYPERLINK("https://klasma.github.io/Logging_UMEA/tillsynsmail/A 43519-2022.docx", "A 43519-2022")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45190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49658-2022.xlsx", "A 49658-2022")</f>
        <v/>
      </c>
      <c r="T72">
        <f>HYPERLINK("https://klasma.github.io/Logging_UMEA/kartor/A 49658-2022.png", "A 49658-2022")</f>
        <v/>
      </c>
      <c r="V72">
        <f>HYPERLINK("https://klasma.github.io/Logging_UMEA/klagomål/A 49658-2022.docx", "A 49658-2022")</f>
        <v/>
      </c>
      <c r="W72">
        <f>HYPERLINK("https://klasma.github.io/Logging_UMEA/klagomålsmail/A 49658-2022.docx", "A 49658-2022")</f>
        <v/>
      </c>
      <c r="X72">
        <f>HYPERLINK("https://klasma.github.io/Logging_UMEA/tillsyn/A 49658-2022.docx", "A 49658-2022")</f>
        <v/>
      </c>
      <c r="Y72">
        <f>HYPERLINK("https://klasma.github.io/Logging_UMEA/tillsynsmail/A 49658-2022.docx", "A 49658-2022")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45190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59075-2022.xlsx", "A 59075-2022")</f>
        <v/>
      </c>
      <c r="T73">
        <f>HYPERLINK("https://klasma.github.io/Logging_UMEA/kartor/A 59075-2022.png", "A 59075-2022")</f>
        <v/>
      </c>
      <c r="V73">
        <f>HYPERLINK("https://klasma.github.io/Logging_UMEA/klagomål/A 59075-2022.docx", "A 59075-2022")</f>
        <v/>
      </c>
      <c r="W73">
        <f>HYPERLINK("https://klasma.github.io/Logging_UMEA/klagomålsmail/A 59075-2022.docx", "A 59075-2022")</f>
        <v/>
      </c>
      <c r="X73">
        <f>HYPERLINK("https://klasma.github.io/Logging_UMEA/tillsyn/A 59075-2022.docx", "A 59075-2022")</f>
        <v/>
      </c>
      <c r="Y73">
        <f>HYPERLINK("https://klasma.github.io/Logging_UMEA/tillsynsmail/A 59075-2022.docx", "A 59075-2022")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45190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11395-2023.xlsx", "A 11395-2023")</f>
        <v/>
      </c>
      <c r="T74">
        <f>HYPERLINK("https://klasma.github.io/Logging_UMEA/kartor/A 11395-2023.png", "A 11395-2023")</f>
        <v/>
      </c>
      <c r="V74">
        <f>HYPERLINK("https://klasma.github.io/Logging_UMEA/klagomål/A 11395-2023.docx", "A 11395-2023")</f>
        <v/>
      </c>
      <c r="W74">
        <f>HYPERLINK("https://klasma.github.io/Logging_UMEA/klagomålsmail/A 11395-2023.docx", "A 11395-2023")</f>
        <v/>
      </c>
      <c r="X74">
        <f>HYPERLINK("https://klasma.github.io/Logging_UMEA/tillsyn/A 11395-2023.docx", "A 11395-2023")</f>
        <v/>
      </c>
      <c r="Y74">
        <f>HYPERLINK("https://klasma.github.io/Logging_UMEA/tillsynsmail/A 11395-2023.docx", "A 11395-2023")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45190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14927-2023.xlsx", "A 14927-2023")</f>
        <v/>
      </c>
      <c r="T75">
        <f>HYPERLINK("https://klasma.github.io/Logging_UMEA/kartor/A 14927-2023.png", "A 14927-2023")</f>
        <v/>
      </c>
      <c r="V75">
        <f>HYPERLINK("https://klasma.github.io/Logging_UMEA/klagomål/A 14927-2023.docx", "A 14927-2023")</f>
        <v/>
      </c>
      <c r="W75">
        <f>HYPERLINK("https://klasma.github.io/Logging_UMEA/klagomålsmail/A 14927-2023.docx", "A 14927-2023")</f>
        <v/>
      </c>
      <c r="X75">
        <f>HYPERLINK("https://klasma.github.io/Logging_UMEA/tillsyn/A 14927-2023.docx", "A 14927-2023")</f>
        <v/>
      </c>
      <c r="Y75">
        <f>HYPERLINK("https://klasma.github.io/Logging_UMEA/tillsynsmail/A 14927-2023.docx", "A 14927-2023")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45190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45190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45190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45190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45190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39118-2023.xlsx", "A 39118-2023")</f>
        <v/>
      </c>
      <c r="T80">
        <f>HYPERLINK("https://klasma.github.io/Logging_UMEA/kartor/A 39118-2023.png", "A 39118-2023")</f>
        <v/>
      </c>
      <c r="V80">
        <f>HYPERLINK("https://klasma.github.io/Logging_UMEA/klagomål/A 39118-2023.docx", "A 39118-2023")</f>
        <v/>
      </c>
      <c r="W80">
        <f>HYPERLINK("https://klasma.github.io/Logging_UMEA/klagomålsmail/A 39118-2023.docx", "A 39118-2023")</f>
        <v/>
      </c>
      <c r="X80">
        <f>HYPERLINK("https://klasma.github.io/Logging_UMEA/tillsyn/A 39118-2023.docx", "A 39118-2023")</f>
        <v/>
      </c>
      <c r="Y80">
        <f>HYPERLINK("https://klasma.github.io/Logging_UMEA/tillsynsmail/A 39118-2023.docx", "A 39118-2023")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45190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45190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45190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45190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45190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45190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45190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45190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45190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45190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45190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45190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45190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45190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45190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45190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45190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45190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45190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45190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45190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45190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45190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45190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45190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45190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45190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45190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45190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45190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45190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45190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45190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45190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45190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45190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45190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45190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45190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45190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45190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45190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45190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45190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45190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45190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45190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45190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45190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45190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45190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45190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45190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45190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45190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45190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45190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45190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45190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45190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45190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45190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45190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45190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45190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45190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45190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45190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45190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45190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45190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45190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45190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45190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45190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45190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45190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45190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45190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45190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45190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45190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45190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45190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45190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45190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45190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45190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45190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45190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45190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45190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45190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45190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45190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45190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45190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45190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45190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45190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45190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45190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45190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45190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45190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45190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45190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45190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45190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45190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45190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45190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45190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45190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45190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45190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45190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45190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45190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45190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45190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45190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45190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45190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45190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45190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45190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45190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45190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45190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45190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45190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45190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45190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45190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45190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45190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45190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45190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45190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45190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45190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45190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45190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45190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45190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45190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45190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45190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45190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45190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45190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45190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45190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45190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45190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45190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45190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45190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45190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45190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45190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45190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45190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45190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45190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45190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45190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45190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45190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45190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45190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45190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45190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45190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45190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45190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45190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45190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45190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45190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45190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45190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45190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45190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45190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45190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45190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45190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45190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45190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45190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45190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45190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45190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45190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45190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45190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45190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45190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45190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45190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45190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45190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45190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45190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45190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45190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45190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45190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45190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45190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45190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45190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45190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45190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45190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45190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45190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45190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45190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45190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45190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45190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45190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45190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45190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45190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45190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45190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45190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45190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45190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45190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45190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45190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45190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45190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45190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45190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45190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45190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45190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45190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45190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45190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45190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45190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45190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45190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45190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45190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45190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45190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45190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45190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45190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45190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45190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45190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45190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45190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45190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45190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45190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45190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45190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45190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45190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45190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45190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45190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45190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45190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45190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45190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45190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45190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45190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45190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45190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45190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45190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45190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45190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45190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45190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45190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45190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45190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45190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45190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45190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45190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45190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45190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45190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45190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45190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45190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45190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45190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45190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45190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45190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45190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45190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45190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45190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45190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45190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45190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45190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45190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45190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45190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45190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45190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45190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45190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45190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45190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45190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45190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45190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45190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45190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45190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45190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45190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45190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45190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45190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45190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45190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45190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45190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45190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45190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45190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45190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45190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45190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45190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45190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45190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45190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45190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45190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45190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45190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45190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45190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45190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45190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45190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45190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45190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45190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45190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45190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45190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45190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45190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45190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45190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45190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45190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45190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45190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45190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45190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45190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45190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45190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45190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45190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45190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45190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45190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45190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45190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45190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45190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45190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45190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45190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45190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45190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45190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45190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45190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45190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45190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45190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45190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45190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45190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45190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45190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45190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45190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45190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45190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45190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45190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45190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45190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45190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45190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45190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45190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45190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45190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45190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45190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45190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45190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45190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45190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45190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45190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45190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45190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45190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45190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45190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45190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45190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45190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45190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45190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45190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45190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45190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45190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45190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45190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45190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45190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45190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45190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45190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45190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45190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45190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45190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45190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45190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45190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45190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45190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45190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45190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45190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45190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45190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45190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45190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45190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45190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45190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45190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45190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45190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45190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45190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45190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45190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45190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45190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45190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45190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45190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45190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45190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45190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45190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45190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45190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45190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45190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45190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45190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45190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45190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45190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45190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45190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45190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45190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45190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45190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45190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45190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45190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45190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45190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45190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45190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45190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45190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45190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45190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45190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45190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45190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45190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45190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45190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45190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45190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45190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45190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45190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45190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45190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45190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45190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45190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45190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45190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45190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45190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45190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45190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45190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45190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45190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45190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45190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45190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45190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45190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45190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45190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45190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45190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45190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45190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45190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45190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45190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45190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45190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45190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45190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45190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45190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45190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45190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45190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45190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45190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45190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45190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45190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45190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45190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45190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45190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45190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45190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45190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45190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45190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45190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45190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45190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45190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45190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45190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45190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45190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45190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45190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45190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45190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45190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45190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45190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45190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45190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45190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45190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45190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45190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45190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45190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45190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45190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45190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45190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45190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45190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45190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45190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45190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45190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45190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45190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45190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45190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45190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45190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45190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45190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45190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45190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45190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45190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45190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45190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45190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45190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45190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45190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45190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45190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45190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45190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45190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45190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45190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45190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45190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45190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45190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45190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45190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45190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45190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45190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45190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45190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45190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45190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45190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45190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45190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45190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45190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45190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45190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45190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45190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45190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45190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45190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45190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45190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45190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45190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45190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45190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45190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45190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45190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45190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45190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45190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45190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45190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45190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45190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45190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45190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45190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45190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45190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45190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45190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45190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45190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45190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45190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45190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43154-2023</t>
        </is>
      </c>
      <c r="B758" s="1" t="n">
        <v>45183</v>
      </c>
      <c r="C758" s="1" t="n">
        <v>45190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44008-2023</t>
        </is>
      </c>
      <c r="B759" s="1" t="n">
        <v>45188</v>
      </c>
      <c r="C759" s="1" t="n">
        <v>45190</v>
      </c>
      <c r="D759" t="inlineStr">
        <is>
          <t>VÄSTERBOTTENS LÄN</t>
        </is>
      </c>
      <c r="E759" t="inlineStr">
        <is>
          <t>UMEÅ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>
      <c r="A760" t="inlineStr">
        <is>
          <t>A 44459-2023</t>
        </is>
      </c>
      <c r="B760" s="1" t="n">
        <v>45189</v>
      </c>
      <c r="C760" s="1" t="n">
        <v>45190</v>
      </c>
      <c r="D760" t="inlineStr">
        <is>
          <t>VÄSTERBOTTENS LÄN</t>
        </is>
      </c>
      <c r="E760" t="inlineStr">
        <is>
          <t>UMEÅ</t>
        </is>
      </c>
      <c r="F760" t="inlineStr">
        <is>
          <t>Holmen skog AB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2023-09-21T06:51:18Z</dcterms:created>
  <dcterms:modified xmlns:dcterms="http://purl.org/dc/terms/" xmlns:xsi="http://www.w3.org/2001/XMLSchema-instance" xsi:type="dcterms:W3CDTF">2023-09-21T06:51:18Z</dcterms:modified>
</cp:coreProperties>
</file>