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8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45213</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45213</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45213</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45213</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45213</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45213</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45213</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45213</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45213</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45213</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45213</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45213</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45213</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45213</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45213</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45213</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45213</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45213</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45213</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45213</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45213</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45213</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45213</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45213</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45213</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45213</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45213</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45213</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45213</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45213</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45213</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45213</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45213</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45213</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45213</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45213</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45213</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45213</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45213</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45213</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45213</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45213</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45213</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45213</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45213</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45213</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45213</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45213</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45213</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45213</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45213</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45213</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45213</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45213</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45213</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45213</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45213</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45213</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45213</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45213</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45213</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45213</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45213</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45213</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45213</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45213</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45213</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45213</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45213</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45213</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45213</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45213</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45213</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45213</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45213</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45213</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45213</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45213</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45213</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45213</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45213</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45213</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45213</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45213</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45213</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45213</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45213</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45213</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45213</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45213</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45213</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45213</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45213</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45213</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45213</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45213</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45213</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45213</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45213</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45213</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45213</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45213</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45213</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45213</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45213</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45213</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45213</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45213</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45213</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45213</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45213</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45213</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45213</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70301-2021</t>
        </is>
      </c>
      <c r="B115" s="1" t="n">
        <v>44536</v>
      </c>
      <c r="C115" s="1" t="n">
        <v>45213</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 artfynd.xlsx", "A 70301-2021")</f>
        <v/>
      </c>
      <c r="T115">
        <f>HYPERLINK("https://klasma.github.io/Logging_1737/kartor/A 70301-2021 karta.png", "A 70301-2021")</f>
        <v/>
      </c>
      <c r="V115">
        <f>HYPERLINK("https://klasma.github.io/Logging_1737/klagomål/A 70301-2021 FSC-klagomål.docx", "A 70301-2021")</f>
        <v/>
      </c>
      <c r="W115">
        <f>HYPERLINK("https://klasma.github.io/Logging_1737/klagomålsmail/A 70301-2021 FSC-klagomål mail.docx", "A 70301-2021")</f>
        <v/>
      </c>
      <c r="X115">
        <f>HYPERLINK("https://klasma.github.io/Logging_1737/tillsyn/A 70301-2021 tillsynsbegäran.docx", "A 70301-2021")</f>
        <v/>
      </c>
      <c r="Y115">
        <f>HYPERLINK("https://klasma.github.io/Logging_1737/tillsynsmail/A 70301-2021 tillsynsbegäran mail.docx", "A 70301-2021")</f>
        <v/>
      </c>
    </row>
    <row r="116" ht="15" customHeight="1">
      <c r="A116" t="inlineStr">
        <is>
          <t>A 8612-2022</t>
        </is>
      </c>
      <c r="B116" s="1" t="n">
        <v>44613</v>
      </c>
      <c r="C116" s="1" t="n">
        <v>45213</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 artfynd.xlsx", "A 8612-2022")</f>
        <v/>
      </c>
      <c r="T116">
        <f>HYPERLINK("https://klasma.github.io/Logging_1784/kartor/A 8612-2022 karta.png", "A 8612-2022")</f>
        <v/>
      </c>
      <c r="V116">
        <f>HYPERLINK("https://klasma.github.io/Logging_1784/klagomål/A 8612-2022 FSC-klagomål.docx", "A 8612-2022")</f>
        <v/>
      </c>
      <c r="W116">
        <f>HYPERLINK("https://klasma.github.io/Logging_1784/klagomålsmail/A 8612-2022 FSC-klagomål mail.docx", "A 8612-2022")</f>
        <v/>
      </c>
      <c r="X116">
        <f>HYPERLINK("https://klasma.github.io/Logging_1784/tillsyn/A 8612-2022 tillsynsbegäran.docx", "A 8612-2022")</f>
        <v/>
      </c>
      <c r="Y116">
        <f>HYPERLINK("https://klasma.github.io/Logging_1784/tillsynsmail/A 8612-2022 tillsynsbegäran mail.docx", "A 8612-2022")</f>
        <v/>
      </c>
    </row>
    <row r="117" ht="15" customHeight="1">
      <c r="A117" t="inlineStr">
        <is>
          <t>A 11927-2022</t>
        </is>
      </c>
      <c r="B117" s="1" t="n">
        <v>44635</v>
      </c>
      <c r="C117" s="1" t="n">
        <v>45213</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 artfynd.xlsx", "A 11927-2022")</f>
        <v/>
      </c>
      <c r="T117">
        <f>HYPERLINK("https://klasma.github.io/Logging_1780/kartor/A 11927-2022 karta.png", "A 11927-2022")</f>
        <v/>
      </c>
      <c r="V117">
        <f>HYPERLINK("https://klasma.github.io/Logging_1780/klagomål/A 11927-2022 FSC-klagomål.docx", "A 11927-2022")</f>
        <v/>
      </c>
      <c r="W117">
        <f>HYPERLINK("https://klasma.github.io/Logging_1780/klagomålsmail/A 11927-2022 FSC-klagomål mail.docx", "A 11927-2022")</f>
        <v/>
      </c>
      <c r="X117">
        <f>HYPERLINK("https://klasma.github.io/Logging_1780/tillsyn/A 11927-2022 tillsynsbegäran.docx", "A 11927-2022")</f>
        <v/>
      </c>
      <c r="Y117">
        <f>HYPERLINK("https://klasma.github.io/Logging_1780/tillsynsmail/A 11927-2022 tillsynsbegäran mail.docx", "A 11927-2022")</f>
        <v/>
      </c>
    </row>
    <row r="118" ht="15" customHeight="1">
      <c r="A118" t="inlineStr">
        <is>
          <t>A 23576-2022</t>
        </is>
      </c>
      <c r="B118" s="1" t="n">
        <v>44721</v>
      </c>
      <c r="C118" s="1" t="n">
        <v>45213</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 artfynd.xlsx", "A 23576-2022")</f>
        <v/>
      </c>
      <c r="T118">
        <f>HYPERLINK("https://klasma.github.io/Logging_1737/kartor/A 23576-2022 karta.png", "A 23576-2022")</f>
        <v/>
      </c>
      <c r="V118">
        <f>HYPERLINK("https://klasma.github.io/Logging_1737/klagomål/A 23576-2022 FSC-klagomål.docx", "A 23576-2022")</f>
        <v/>
      </c>
      <c r="W118">
        <f>HYPERLINK("https://klasma.github.io/Logging_1737/klagomålsmail/A 23576-2022 FSC-klagomål mail.docx", "A 23576-2022")</f>
        <v/>
      </c>
      <c r="X118">
        <f>HYPERLINK("https://klasma.github.io/Logging_1737/tillsyn/A 23576-2022 tillsynsbegäran.docx", "A 23576-2022")</f>
        <v/>
      </c>
      <c r="Y118">
        <f>HYPERLINK("https://klasma.github.io/Logging_1737/tillsynsmail/A 23576-2022 tillsynsbegäran mail.docx", "A 23576-2022")</f>
        <v/>
      </c>
    </row>
    <row r="119" ht="15" customHeight="1">
      <c r="A119" t="inlineStr">
        <is>
          <t>A 26898-2022</t>
        </is>
      </c>
      <c r="B119" s="1" t="n">
        <v>44740</v>
      </c>
      <c r="C119" s="1" t="n">
        <v>45213</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 artfynd.xlsx", "A 26898-2022")</f>
        <v/>
      </c>
      <c r="T119">
        <f>HYPERLINK("https://klasma.github.io/Logging_1730/kartor/A 26898-2022 karta.png", "A 26898-2022")</f>
        <v/>
      </c>
      <c r="V119">
        <f>HYPERLINK("https://klasma.github.io/Logging_1730/klagomål/A 26898-2022 FSC-klagomål.docx", "A 26898-2022")</f>
        <v/>
      </c>
      <c r="W119">
        <f>HYPERLINK("https://klasma.github.io/Logging_1730/klagomålsmail/A 26898-2022 FSC-klagomål mail.docx", "A 26898-2022")</f>
        <v/>
      </c>
      <c r="X119">
        <f>HYPERLINK("https://klasma.github.io/Logging_1730/tillsyn/A 26898-2022 tillsynsbegäran.docx", "A 26898-2022")</f>
        <v/>
      </c>
      <c r="Y119">
        <f>HYPERLINK("https://klasma.github.io/Logging_1730/tillsynsmail/A 26898-2022 tillsynsbegäran mail.docx", "A 26898-2022")</f>
        <v/>
      </c>
    </row>
    <row r="120" ht="15" customHeight="1">
      <c r="A120" t="inlineStr">
        <is>
          <t>A 31151-2022</t>
        </is>
      </c>
      <c r="B120" s="1" t="n">
        <v>44770</v>
      </c>
      <c r="C120" s="1" t="n">
        <v>45213</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 artfynd.xlsx", "A 31151-2022")</f>
        <v/>
      </c>
      <c r="T120">
        <f>HYPERLINK("https://klasma.github.io/Logging_1780/kartor/A 31151-2022 karta.png", "A 31151-2022")</f>
        <v/>
      </c>
      <c r="V120">
        <f>HYPERLINK("https://klasma.github.io/Logging_1780/klagomål/A 31151-2022 FSC-klagomål.docx", "A 31151-2022")</f>
        <v/>
      </c>
      <c r="W120">
        <f>HYPERLINK("https://klasma.github.io/Logging_1780/klagomålsmail/A 31151-2022 FSC-klagomål mail.docx", "A 31151-2022")</f>
        <v/>
      </c>
      <c r="X120">
        <f>HYPERLINK("https://klasma.github.io/Logging_1780/tillsyn/A 31151-2022 tillsynsbegäran.docx", "A 31151-2022")</f>
        <v/>
      </c>
      <c r="Y120">
        <f>HYPERLINK("https://klasma.github.io/Logging_1780/tillsynsmail/A 31151-2022 tillsynsbegäran mail.docx", "A 31151-2022")</f>
        <v/>
      </c>
    </row>
    <row r="121" ht="15" customHeight="1">
      <c r="A121" t="inlineStr">
        <is>
          <t>A 42480-2022</t>
        </is>
      </c>
      <c r="B121" s="1" t="n">
        <v>44831</v>
      </c>
      <c r="C121" s="1" t="n">
        <v>45213</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 artfynd.xlsx", "A 42480-2022")</f>
        <v/>
      </c>
      <c r="T121">
        <f>HYPERLINK("https://klasma.github.io/Logging_1737/kartor/A 42480-2022 karta.png", "A 42480-2022")</f>
        <v/>
      </c>
      <c r="U121">
        <f>HYPERLINK("https://klasma.github.io/Logging_1737/knärot/A 42480-2022 karta knärot.png", "A 42480-2022")</f>
        <v/>
      </c>
      <c r="V121">
        <f>HYPERLINK("https://klasma.github.io/Logging_1737/klagomål/A 42480-2022 FSC-klagomål.docx", "A 42480-2022")</f>
        <v/>
      </c>
      <c r="W121">
        <f>HYPERLINK("https://klasma.github.io/Logging_1737/klagomålsmail/A 42480-2022 FSC-klagomål mail.docx", "A 42480-2022")</f>
        <v/>
      </c>
      <c r="X121">
        <f>HYPERLINK("https://klasma.github.io/Logging_1737/tillsyn/A 42480-2022 tillsynsbegäran.docx", "A 42480-2022")</f>
        <v/>
      </c>
      <c r="Y121">
        <f>HYPERLINK("https://klasma.github.io/Logging_1737/tillsynsmail/A 42480-2022 tillsynsbegäran mail.docx", "A 42480-2022")</f>
        <v/>
      </c>
    </row>
    <row r="122" ht="15" customHeight="1">
      <c r="A122" t="inlineStr">
        <is>
          <t>A 53051-2022</t>
        </is>
      </c>
      <c r="B122" s="1" t="n">
        <v>44876</v>
      </c>
      <c r="C122" s="1" t="n">
        <v>45213</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 artfynd.xlsx", "A 53051-2022")</f>
        <v/>
      </c>
      <c r="T122">
        <f>HYPERLINK("https://klasma.github.io/Logging_1780/kartor/A 53051-2022 karta.png", "A 53051-2022")</f>
        <v/>
      </c>
      <c r="V122">
        <f>HYPERLINK("https://klasma.github.io/Logging_1780/klagomål/A 53051-2022 FSC-klagomål.docx", "A 53051-2022")</f>
        <v/>
      </c>
      <c r="W122">
        <f>HYPERLINK("https://klasma.github.io/Logging_1780/klagomålsmail/A 53051-2022 FSC-klagomål mail.docx", "A 53051-2022")</f>
        <v/>
      </c>
      <c r="X122">
        <f>HYPERLINK("https://klasma.github.io/Logging_1780/tillsyn/A 53051-2022 tillsynsbegäran.docx", "A 53051-2022")</f>
        <v/>
      </c>
      <c r="Y122">
        <f>HYPERLINK("https://klasma.github.io/Logging_1780/tillsynsmail/A 53051-2022 tillsynsbegäran mail.docx", "A 53051-2022")</f>
        <v/>
      </c>
    </row>
    <row r="123" ht="15" customHeight="1">
      <c r="A123" t="inlineStr">
        <is>
          <t>A 592-2023</t>
        </is>
      </c>
      <c r="B123" s="1" t="n">
        <v>44930</v>
      </c>
      <c r="C123" s="1" t="n">
        <v>45213</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 artfynd.xlsx", "A 592-2023")</f>
        <v/>
      </c>
      <c r="T123">
        <f>HYPERLINK("https://klasma.github.io/Logging_1730/kartor/A 592-2023 karta.png", "A 592-2023")</f>
        <v/>
      </c>
      <c r="V123">
        <f>HYPERLINK("https://klasma.github.io/Logging_1730/klagomål/A 592-2023 FSC-klagomål.docx", "A 592-2023")</f>
        <v/>
      </c>
      <c r="W123">
        <f>HYPERLINK("https://klasma.github.io/Logging_1730/klagomålsmail/A 592-2023 FSC-klagomål mail.docx", "A 592-2023")</f>
        <v/>
      </c>
      <c r="X123">
        <f>HYPERLINK("https://klasma.github.io/Logging_1730/tillsyn/A 592-2023 tillsynsbegäran.docx", "A 592-2023")</f>
        <v/>
      </c>
      <c r="Y123">
        <f>HYPERLINK("https://klasma.github.io/Logging_1730/tillsynsmail/A 592-2023 tillsynsbegäran mail.docx", "A 592-2023")</f>
        <v/>
      </c>
    </row>
    <row r="124" ht="15" customHeight="1">
      <c r="A124" t="inlineStr">
        <is>
          <t>A 2356-2023</t>
        </is>
      </c>
      <c r="B124" s="1" t="n">
        <v>44942</v>
      </c>
      <c r="C124" s="1" t="n">
        <v>45213</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 artfynd.xlsx", "A 2356-2023")</f>
        <v/>
      </c>
      <c r="T124">
        <f>HYPERLINK("https://klasma.github.io/Logging_1782/kartor/A 2356-2023 karta.png", "A 2356-2023")</f>
        <v/>
      </c>
      <c r="V124">
        <f>HYPERLINK("https://klasma.github.io/Logging_1782/klagomål/A 2356-2023 FSC-klagomål.docx", "A 2356-2023")</f>
        <v/>
      </c>
      <c r="W124">
        <f>HYPERLINK("https://klasma.github.io/Logging_1782/klagomålsmail/A 2356-2023 FSC-klagomål mail.docx", "A 2356-2023")</f>
        <v/>
      </c>
      <c r="X124">
        <f>HYPERLINK("https://klasma.github.io/Logging_1782/tillsyn/A 2356-2023 tillsynsbegäran.docx", "A 2356-2023")</f>
        <v/>
      </c>
      <c r="Y124">
        <f>HYPERLINK("https://klasma.github.io/Logging_1782/tillsynsmail/A 2356-2023 tillsynsbegäran mail.docx", "A 2356-2023")</f>
        <v/>
      </c>
    </row>
    <row r="125" ht="15" customHeight="1">
      <c r="A125" t="inlineStr">
        <is>
          <t>A 4486-2023</t>
        </is>
      </c>
      <c r="B125" s="1" t="n">
        <v>44956</v>
      </c>
      <c r="C125" s="1" t="n">
        <v>45213</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 artfynd.xlsx", "A 4486-2023")</f>
        <v/>
      </c>
      <c r="T125">
        <f>HYPERLINK("https://klasma.github.io/Logging_1737/kartor/A 4486-2023 karta.png", "A 4486-2023")</f>
        <v/>
      </c>
      <c r="V125">
        <f>HYPERLINK("https://klasma.github.io/Logging_1737/klagomål/A 4486-2023 FSC-klagomål.docx", "A 4486-2023")</f>
        <v/>
      </c>
      <c r="W125">
        <f>HYPERLINK("https://klasma.github.io/Logging_1737/klagomålsmail/A 4486-2023 FSC-klagomål mail.docx", "A 4486-2023")</f>
        <v/>
      </c>
      <c r="X125">
        <f>HYPERLINK("https://klasma.github.io/Logging_1737/tillsyn/A 4486-2023 tillsynsbegäran.docx", "A 4486-2023")</f>
        <v/>
      </c>
      <c r="Y125">
        <f>HYPERLINK("https://klasma.github.io/Logging_1737/tillsynsmail/A 4486-2023 tillsynsbegäran mail.docx", "A 4486-2023")</f>
        <v/>
      </c>
    </row>
    <row r="126" ht="15" customHeight="1">
      <c r="A126" t="inlineStr">
        <is>
          <t>A 11615-2023</t>
        </is>
      </c>
      <c r="B126" s="1" t="n">
        <v>44994</v>
      </c>
      <c r="C126" s="1" t="n">
        <v>45213</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 artfynd.xlsx", "A 11615-2023")</f>
        <v/>
      </c>
      <c r="T126">
        <f>HYPERLINK("https://klasma.github.io/Logging_1780/kartor/A 11615-2023 karta.png", "A 11615-2023")</f>
        <v/>
      </c>
      <c r="V126">
        <f>HYPERLINK("https://klasma.github.io/Logging_1780/klagomål/A 11615-2023 FSC-klagomål.docx", "A 11615-2023")</f>
        <v/>
      </c>
      <c r="W126">
        <f>HYPERLINK("https://klasma.github.io/Logging_1780/klagomålsmail/A 11615-2023 FSC-klagomål mail.docx", "A 11615-2023")</f>
        <v/>
      </c>
      <c r="X126">
        <f>HYPERLINK("https://klasma.github.io/Logging_1780/tillsyn/A 11615-2023 tillsynsbegäran.docx", "A 11615-2023")</f>
        <v/>
      </c>
      <c r="Y126">
        <f>HYPERLINK("https://klasma.github.io/Logging_1780/tillsynsmail/A 11615-2023 tillsynsbegäran mail.docx", "A 11615-2023")</f>
        <v/>
      </c>
    </row>
    <row r="127" ht="15" customHeight="1">
      <c r="A127" t="inlineStr">
        <is>
          <t>A 14815-2023</t>
        </is>
      </c>
      <c r="B127" s="1" t="n">
        <v>45014</v>
      </c>
      <c r="C127" s="1" t="n">
        <v>45213</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 artfynd.xlsx", "A 14815-2023")</f>
        <v/>
      </c>
      <c r="T127">
        <f>HYPERLINK("https://klasma.github.io/Logging_1780/kartor/A 14815-2023 karta.png", "A 14815-2023")</f>
        <v/>
      </c>
      <c r="U127">
        <f>HYPERLINK("https://klasma.github.io/Logging_1780/knärot/A 14815-2023 karta knärot.png", "A 14815-2023")</f>
        <v/>
      </c>
      <c r="V127">
        <f>HYPERLINK("https://klasma.github.io/Logging_1780/klagomål/A 14815-2023 FSC-klagomål.docx", "A 14815-2023")</f>
        <v/>
      </c>
      <c r="W127">
        <f>HYPERLINK("https://klasma.github.io/Logging_1780/klagomålsmail/A 14815-2023 FSC-klagomål mail.docx", "A 14815-2023")</f>
        <v/>
      </c>
      <c r="X127">
        <f>HYPERLINK("https://klasma.github.io/Logging_1780/tillsyn/A 14815-2023 tillsynsbegäran.docx", "A 14815-2023")</f>
        <v/>
      </c>
      <c r="Y127">
        <f>HYPERLINK("https://klasma.github.io/Logging_1780/tillsynsmail/A 14815-2023 tillsynsbegäran mail.docx", "A 14815-2023")</f>
        <v/>
      </c>
    </row>
    <row r="128" ht="15" customHeight="1">
      <c r="A128" t="inlineStr">
        <is>
          <t>A 26303-2023</t>
        </is>
      </c>
      <c r="B128" s="1" t="n">
        <v>45091</v>
      </c>
      <c r="C128" s="1" t="n">
        <v>45213</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 artfynd.xlsx", "A 26303-2023")</f>
        <v/>
      </c>
      <c r="T128">
        <f>HYPERLINK("https://klasma.github.io/Logging_1782/kartor/A 26303-2023 karta.png", "A 26303-2023")</f>
        <v/>
      </c>
      <c r="V128">
        <f>HYPERLINK("https://klasma.github.io/Logging_1782/klagomål/A 26303-2023 FSC-klagomål.docx", "A 26303-2023")</f>
        <v/>
      </c>
      <c r="W128">
        <f>HYPERLINK("https://klasma.github.io/Logging_1782/klagomålsmail/A 26303-2023 FSC-klagomål mail.docx", "A 26303-2023")</f>
        <v/>
      </c>
      <c r="X128">
        <f>HYPERLINK("https://klasma.github.io/Logging_1782/tillsyn/A 26303-2023 tillsynsbegäran.docx", "A 26303-2023")</f>
        <v/>
      </c>
      <c r="Y128">
        <f>HYPERLINK("https://klasma.github.io/Logging_1782/tillsynsmail/A 26303-2023 tillsynsbegäran mail.docx", "A 26303-2023")</f>
        <v/>
      </c>
    </row>
    <row r="129" ht="15" customHeight="1">
      <c r="A129" t="inlineStr">
        <is>
          <t>A 32615-2023</t>
        </is>
      </c>
      <c r="B129" s="1" t="n">
        <v>45121</v>
      </c>
      <c r="C129" s="1" t="n">
        <v>45213</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 artfynd.xlsx", "A 32615-2023")</f>
        <v/>
      </c>
      <c r="T129">
        <f>HYPERLINK("https://klasma.github.io/Logging_1784/kartor/A 32615-2023 karta.png", "A 32615-2023")</f>
        <v/>
      </c>
      <c r="U129">
        <f>HYPERLINK("https://klasma.github.io/Logging_1784/knärot/A 32615-2023 karta knärot.png", "A 32615-2023")</f>
        <v/>
      </c>
      <c r="V129">
        <f>HYPERLINK("https://klasma.github.io/Logging_1784/klagomål/A 32615-2023 FSC-klagomål.docx", "A 32615-2023")</f>
        <v/>
      </c>
      <c r="W129">
        <f>HYPERLINK("https://klasma.github.io/Logging_1784/klagomålsmail/A 32615-2023 FSC-klagomål mail.docx", "A 32615-2023")</f>
        <v/>
      </c>
      <c r="X129">
        <f>HYPERLINK("https://klasma.github.io/Logging_1784/tillsyn/A 32615-2023 tillsynsbegäran.docx", "A 32615-2023")</f>
        <v/>
      </c>
      <c r="Y129">
        <f>HYPERLINK("https://klasma.github.io/Logging_1784/tillsynsmail/A 32615-2023 tillsynsbegäran mail.docx", "A 32615-2023")</f>
        <v/>
      </c>
    </row>
    <row r="130" ht="15" customHeight="1">
      <c r="A130" t="inlineStr">
        <is>
          <t>A 42590-2023</t>
        </is>
      </c>
      <c r="B130" s="1" t="n">
        <v>45181</v>
      </c>
      <c r="C130" s="1" t="n">
        <v>45213</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 artfynd.xlsx", "A 42590-2023")</f>
        <v/>
      </c>
      <c r="T130">
        <f>HYPERLINK("https://klasma.github.io/Logging_1737/kartor/A 42590-2023 karta.png", "A 42590-2023")</f>
        <v/>
      </c>
      <c r="V130">
        <f>HYPERLINK("https://klasma.github.io/Logging_1737/klagomål/A 42590-2023 FSC-klagomål.docx", "A 42590-2023")</f>
        <v/>
      </c>
      <c r="W130">
        <f>HYPERLINK("https://klasma.github.io/Logging_1737/klagomålsmail/A 42590-2023 FSC-klagomål mail.docx", "A 42590-2023")</f>
        <v/>
      </c>
      <c r="X130">
        <f>HYPERLINK("https://klasma.github.io/Logging_1737/tillsyn/A 42590-2023 tillsynsbegäran.docx", "A 42590-2023")</f>
        <v/>
      </c>
      <c r="Y130">
        <f>HYPERLINK("https://klasma.github.io/Logging_1737/tillsynsmail/A 42590-2023 tillsynsbegäran mail.docx", "A 42590-2023")</f>
        <v/>
      </c>
    </row>
    <row r="131" ht="15" customHeight="1">
      <c r="A131" t="inlineStr">
        <is>
          <t>A 46016-2023</t>
        </is>
      </c>
      <c r="B131" s="1" t="n">
        <v>45196</v>
      </c>
      <c r="C131" s="1" t="n">
        <v>45213</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 artfynd.xlsx", "A 46016-2023")</f>
        <v/>
      </c>
      <c r="T131">
        <f>HYPERLINK("https://klasma.github.io/Logging_1737/kartor/A 46016-2023 karta.png", "A 46016-2023")</f>
        <v/>
      </c>
      <c r="V131">
        <f>HYPERLINK("https://klasma.github.io/Logging_1737/klagomål/A 46016-2023 FSC-klagomål.docx", "A 46016-2023")</f>
        <v/>
      </c>
      <c r="W131">
        <f>HYPERLINK("https://klasma.github.io/Logging_1737/klagomålsmail/A 46016-2023 FSC-klagomål mail.docx", "A 46016-2023")</f>
        <v/>
      </c>
      <c r="X131">
        <f>HYPERLINK("https://klasma.github.io/Logging_1737/tillsyn/A 46016-2023 tillsynsbegäran.docx", "A 46016-2023")</f>
        <v/>
      </c>
      <c r="Y131">
        <f>HYPERLINK("https://klasma.github.io/Logging_1737/tillsynsmail/A 46016-2023 tillsynsbegäran mail.docx", "A 46016-2023")</f>
        <v/>
      </c>
    </row>
    <row r="132" ht="15" customHeight="1">
      <c r="A132" t="inlineStr">
        <is>
          <t>A 36762-2018</t>
        </is>
      </c>
      <c r="B132" s="1" t="n">
        <v>43332</v>
      </c>
      <c r="C132" s="1" t="n">
        <v>45213</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 artfynd.xlsx", "A 36762-2018")</f>
        <v/>
      </c>
      <c r="T132">
        <f>HYPERLINK("https://klasma.github.io/Logging_1784/kartor/A 36762-2018 karta.png", "A 36762-2018")</f>
        <v/>
      </c>
      <c r="U132">
        <f>HYPERLINK("https://klasma.github.io/Logging_1784/knärot/A 36762-2018 karta knärot.png", "A 36762-2018")</f>
        <v/>
      </c>
      <c r="V132">
        <f>HYPERLINK("https://klasma.github.io/Logging_1784/klagomål/A 36762-2018 FSC-klagomål.docx", "A 36762-2018")</f>
        <v/>
      </c>
      <c r="W132">
        <f>HYPERLINK("https://klasma.github.io/Logging_1784/klagomålsmail/A 36762-2018 FSC-klagomål mail.docx", "A 36762-2018")</f>
        <v/>
      </c>
      <c r="X132">
        <f>HYPERLINK("https://klasma.github.io/Logging_1784/tillsyn/A 36762-2018 tillsynsbegäran.docx", "A 36762-2018")</f>
        <v/>
      </c>
      <c r="Y132">
        <f>HYPERLINK("https://klasma.github.io/Logging_1784/tillsynsmail/A 36762-2018 tillsynsbegäran mail.docx", "A 36762-2018")</f>
        <v/>
      </c>
    </row>
    <row r="133" ht="15" customHeight="1">
      <c r="A133" t="inlineStr">
        <is>
          <t>A 45025-2018</t>
        </is>
      </c>
      <c r="B133" s="1" t="n">
        <v>43360</v>
      </c>
      <c r="C133" s="1" t="n">
        <v>45213</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 artfynd.xlsx", "A 45025-2018")</f>
        <v/>
      </c>
      <c r="T133">
        <f>HYPERLINK("https://klasma.github.io/Logging_1785/kartor/A 45025-2018 karta.png", "A 45025-2018")</f>
        <v/>
      </c>
      <c r="V133">
        <f>HYPERLINK("https://klasma.github.io/Logging_1785/klagomål/A 45025-2018 FSC-klagomål.docx", "A 45025-2018")</f>
        <v/>
      </c>
      <c r="W133">
        <f>HYPERLINK("https://klasma.github.io/Logging_1785/klagomålsmail/A 45025-2018 FSC-klagomål mail.docx", "A 45025-2018")</f>
        <v/>
      </c>
      <c r="X133">
        <f>HYPERLINK("https://klasma.github.io/Logging_1785/tillsyn/A 45025-2018 tillsynsbegäran.docx", "A 45025-2018")</f>
        <v/>
      </c>
      <c r="Y133">
        <f>HYPERLINK("https://klasma.github.io/Logging_1785/tillsynsmail/A 45025-2018 tillsynsbegäran mail.docx", "A 45025-2018")</f>
        <v/>
      </c>
    </row>
    <row r="134" ht="15" customHeight="1">
      <c r="A134" t="inlineStr">
        <is>
          <t>A 54558-2018</t>
        </is>
      </c>
      <c r="B134" s="1" t="n">
        <v>43385</v>
      </c>
      <c r="C134" s="1" t="n">
        <v>45213</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 artfynd.xlsx", "A 54558-2018")</f>
        <v/>
      </c>
      <c r="T134">
        <f>HYPERLINK("https://klasma.github.io/Logging_1737/kartor/A 54558-2018 karta.png", "A 54558-2018")</f>
        <v/>
      </c>
      <c r="V134">
        <f>HYPERLINK("https://klasma.github.io/Logging_1737/klagomål/A 54558-2018 FSC-klagomål.docx", "A 54558-2018")</f>
        <v/>
      </c>
      <c r="W134">
        <f>HYPERLINK("https://klasma.github.io/Logging_1737/klagomålsmail/A 54558-2018 FSC-klagomål mail.docx", "A 54558-2018")</f>
        <v/>
      </c>
      <c r="X134">
        <f>HYPERLINK("https://klasma.github.io/Logging_1737/tillsyn/A 54558-2018 tillsynsbegäran.docx", "A 54558-2018")</f>
        <v/>
      </c>
      <c r="Y134">
        <f>HYPERLINK("https://klasma.github.io/Logging_1737/tillsynsmail/A 54558-2018 tillsynsbegäran mail.docx", "A 54558-2018")</f>
        <v/>
      </c>
    </row>
    <row r="135" ht="15" customHeight="1">
      <c r="A135" t="inlineStr">
        <is>
          <t>A 57535-2018</t>
        </is>
      </c>
      <c r="B135" s="1" t="n">
        <v>43397</v>
      </c>
      <c r="C135" s="1" t="n">
        <v>45213</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 artfynd.xlsx", "A 57535-2018")</f>
        <v/>
      </c>
      <c r="T135">
        <f>HYPERLINK("https://klasma.github.io/Logging_1784/kartor/A 57535-2018 karta.png", "A 57535-2018")</f>
        <v/>
      </c>
      <c r="V135">
        <f>HYPERLINK("https://klasma.github.io/Logging_1784/klagomål/A 57535-2018 FSC-klagomål.docx", "A 57535-2018")</f>
        <v/>
      </c>
      <c r="W135">
        <f>HYPERLINK("https://klasma.github.io/Logging_1784/klagomålsmail/A 57535-2018 FSC-klagomål mail.docx", "A 57535-2018")</f>
        <v/>
      </c>
      <c r="X135">
        <f>HYPERLINK("https://klasma.github.io/Logging_1784/tillsyn/A 57535-2018 tillsynsbegäran.docx", "A 57535-2018")</f>
        <v/>
      </c>
      <c r="Y135">
        <f>HYPERLINK("https://klasma.github.io/Logging_1784/tillsynsmail/A 57535-2018 tillsynsbegäran mail.docx", "A 57535-2018")</f>
        <v/>
      </c>
    </row>
    <row r="136" ht="15" customHeight="1">
      <c r="A136" t="inlineStr">
        <is>
          <t>A 59351-2018</t>
        </is>
      </c>
      <c r="B136" s="1" t="n">
        <v>43418</v>
      </c>
      <c r="C136" s="1" t="n">
        <v>45213</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 artfynd.xlsx", "A 59351-2018")</f>
        <v/>
      </c>
      <c r="T136">
        <f>HYPERLINK("https://klasma.github.io/Logging_1730/kartor/A 59351-2018 karta.png", "A 59351-2018")</f>
        <v/>
      </c>
      <c r="U136">
        <f>HYPERLINK("https://klasma.github.io/Logging_1730/knärot/A 59351-2018 karta knärot.png", "A 59351-2018")</f>
        <v/>
      </c>
      <c r="V136">
        <f>HYPERLINK("https://klasma.github.io/Logging_1730/klagomål/A 59351-2018 FSC-klagomål.docx", "A 59351-2018")</f>
        <v/>
      </c>
      <c r="W136">
        <f>HYPERLINK("https://klasma.github.io/Logging_1730/klagomålsmail/A 59351-2018 FSC-klagomål mail.docx", "A 59351-2018")</f>
        <v/>
      </c>
      <c r="X136">
        <f>HYPERLINK("https://klasma.github.io/Logging_1730/tillsyn/A 59351-2018 tillsynsbegäran.docx", "A 59351-2018")</f>
        <v/>
      </c>
      <c r="Y136">
        <f>HYPERLINK("https://klasma.github.io/Logging_1730/tillsynsmail/A 59351-2018 tillsynsbegäran mail.docx", "A 59351-2018")</f>
        <v/>
      </c>
    </row>
    <row r="137" ht="15" customHeight="1">
      <c r="A137" t="inlineStr">
        <is>
          <t>A 10801-2019</t>
        </is>
      </c>
      <c r="B137" s="1" t="n">
        <v>43514</v>
      </c>
      <c r="C137" s="1" t="n">
        <v>45213</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 artfynd.xlsx", "A 10801-2019")</f>
        <v/>
      </c>
      <c r="T137">
        <f>HYPERLINK("https://klasma.github.io/Logging_1781/kartor/A 10801-2019 karta.png", "A 10801-2019")</f>
        <v/>
      </c>
      <c r="V137">
        <f>HYPERLINK("https://klasma.github.io/Logging_1781/klagomål/A 10801-2019 FSC-klagomål.docx", "A 10801-2019")</f>
        <v/>
      </c>
      <c r="W137">
        <f>HYPERLINK("https://klasma.github.io/Logging_1781/klagomålsmail/A 10801-2019 FSC-klagomål mail.docx", "A 10801-2019")</f>
        <v/>
      </c>
      <c r="X137">
        <f>HYPERLINK("https://klasma.github.io/Logging_1781/tillsyn/A 10801-2019 tillsynsbegäran.docx", "A 10801-2019")</f>
        <v/>
      </c>
      <c r="Y137">
        <f>HYPERLINK("https://klasma.github.io/Logging_1781/tillsynsmail/A 10801-2019 tillsynsbegäran mail.docx", "A 10801-2019")</f>
        <v/>
      </c>
    </row>
    <row r="138" ht="15" customHeight="1">
      <c r="A138" t="inlineStr">
        <is>
          <t>A 13511-2019</t>
        </is>
      </c>
      <c r="B138" s="1" t="n">
        <v>43530</v>
      </c>
      <c r="C138" s="1" t="n">
        <v>45213</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 artfynd.xlsx", "A 13511-2019")</f>
        <v/>
      </c>
      <c r="T138">
        <f>HYPERLINK("https://klasma.github.io/Logging_1781/kartor/A 13511-2019 karta.png", "A 13511-2019")</f>
        <v/>
      </c>
      <c r="V138">
        <f>HYPERLINK("https://klasma.github.io/Logging_1781/klagomål/A 13511-2019 FSC-klagomål.docx", "A 13511-2019")</f>
        <v/>
      </c>
      <c r="W138">
        <f>HYPERLINK("https://klasma.github.io/Logging_1781/klagomålsmail/A 13511-2019 FSC-klagomål mail.docx", "A 13511-2019")</f>
        <v/>
      </c>
      <c r="X138">
        <f>HYPERLINK("https://klasma.github.io/Logging_1781/tillsyn/A 13511-2019 tillsynsbegäran.docx", "A 13511-2019")</f>
        <v/>
      </c>
      <c r="Y138">
        <f>HYPERLINK("https://klasma.github.io/Logging_1781/tillsynsmail/A 13511-2019 tillsynsbegäran mail.docx", "A 13511-2019")</f>
        <v/>
      </c>
    </row>
    <row r="139" ht="15" customHeight="1">
      <c r="A139" t="inlineStr">
        <is>
          <t>A 17617-2019</t>
        </is>
      </c>
      <c r="B139" s="1" t="n">
        <v>43555</v>
      </c>
      <c r="C139" s="1" t="n">
        <v>45213</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 artfynd.xlsx", "A 17617-2019")</f>
        <v/>
      </c>
      <c r="T139">
        <f>HYPERLINK("https://klasma.github.io/Logging_1737/kartor/A 17617-2019 karta.png", "A 17617-2019")</f>
        <v/>
      </c>
      <c r="U139">
        <f>HYPERLINK("https://klasma.github.io/Logging_1737/knärot/A 17617-2019 karta knärot.png", "A 17617-2019")</f>
        <v/>
      </c>
      <c r="V139">
        <f>HYPERLINK("https://klasma.github.io/Logging_1737/klagomål/A 17617-2019 FSC-klagomål.docx", "A 17617-2019")</f>
        <v/>
      </c>
      <c r="W139">
        <f>HYPERLINK("https://klasma.github.io/Logging_1737/klagomålsmail/A 17617-2019 FSC-klagomål mail.docx", "A 17617-2019")</f>
        <v/>
      </c>
      <c r="X139">
        <f>HYPERLINK("https://klasma.github.io/Logging_1737/tillsyn/A 17617-2019 tillsynsbegäran.docx", "A 17617-2019")</f>
        <v/>
      </c>
      <c r="Y139">
        <f>HYPERLINK("https://klasma.github.io/Logging_1737/tillsynsmail/A 17617-2019 tillsynsbegäran mail.docx", "A 17617-2019")</f>
        <v/>
      </c>
    </row>
    <row r="140" ht="15" customHeight="1">
      <c r="A140" t="inlineStr">
        <is>
          <t>A 18528-2019</t>
        </is>
      </c>
      <c r="B140" s="1" t="n">
        <v>43559</v>
      </c>
      <c r="C140" s="1" t="n">
        <v>45213</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 artfynd.xlsx", "A 18528-2019")</f>
        <v/>
      </c>
      <c r="T140">
        <f>HYPERLINK("https://klasma.github.io/Logging_1737/kartor/A 18528-2019 karta.png", "A 18528-2019")</f>
        <v/>
      </c>
      <c r="V140">
        <f>HYPERLINK("https://klasma.github.io/Logging_1737/klagomål/A 18528-2019 FSC-klagomål.docx", "A 18528-2019")</f>
        <v/>
      </c>
      <c r="W140">
        <f>HYPERLINK("https://klasma.github.io/Logging_1737/klagomålsmail/A 18528-2019 FSC-klagomål mail.docx", "A 18528-2019")</f>
        <v/>
      </c>
      <c r="X140">
        <f>HYPERLINK("https://klasma.github.io/Logging_1737/tillsyn/A 18528-2019 tillsynsbegäran.docx", "A 18528-2019")</f>
        <v/>
      </c>
      <c r="Y140">
        <f>HYPERLINK("https://klasma.github.io/Logging_1737/tillsynsmail/A 18528-2019 tillsynsbegäran mail.docx", "A 18528-2019")</f>
        <v/>
      </c>
    </row>
    <row r="141" ht="15" customHeight="1">
      <c r="A141" t="inlineStr">
        <is>
          <t>A 60661-2019</t>
        </is>
      </c>
      <c r="B141" s="1" t="n">
        <v>43781</v>
      </c>
      <c r="C141" s="1" t="n">
        <v>45213</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 artfynd.xlsx", "A 60661-2019")</f>
        <v/>
      </c>
      <c r="T141">
        <f>HYPERLINK("https://klasma.github.io/Logging_1737/kartor/A 60661-2019 karta.png", "A 60661-2019")</f>
        <v/>
      </c>
      <c r="V141">
        <f>HYPERLINK("https://klasma.github.io/Logging_1737/klagomål/A 60661-2019 FSC-klagomål.docx", "A 60661-2019")</f>
        <v/>
      </c>
      <c r="W141">
        <f>HYPERLINK("https://klasma.github.io/Logging_1737/klagomålsmail/A 60661-2019 FSC-klagomål mail.docx", "A 60661-2019")</f>
        <v/>
      </c>
      <c r="X141">
        <f>HYPERLINK("https://klasma.github.io/Logging_1737/tillsyn/A 60661-2019 tillsynsbegäran.docx", "A 60661-2019")</f>
        <v/>
      </c>
      <c r="Y141">
        <f>HYPERLINK("https://klasma.github.io/Logging_1737/tillsynsmail/A 60661-2019 tillsynsbegäran mail.docx", "A 60661-2019")</f>
        <v/>
      </c>
    </row>
    <row r="142" ht="15" customHeight="1">
      <c r="A142" t="inlineStr">
        <is>
          <t>A 68629-2019</t>
        </is>
      </c>
      <c r="B142" s="1" t="n">
        <v>43819</v>
      </c>
      <c r="C142" s="1" t="n">
        <v>45213</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 artfynd.xlsx", "A 68629-2019")</f>
        <v/>
      </c>
      <c r="T142">
        <f>HYPERLINK("https://klasma.github.io/Logging_1784/kartor/A 68629-2019 karta.png", "A 68629-2019")</f>
        <v/>
      </c>
      <c r="V142">
        <f>HYPERLINK("https://klasma.github.io/Logging_1784/klagomål/A 68629-2019 FSC-klagomål.docx", "A 68629-2019")</f>
        <v/>
      </c>
      <c r="W142">
        <f>HYPERLINK("https://klasma.github.io/Logging_1784/klagomålsmail/A 68629-2019 FSC-klagomål mail.docx", "A 68629-2019")</f>
        <v/>
      </c>
      <c r="X142">
        <f>HYPERLINK("https://klasma.github.io/Logging_1784/tillsyn/A 68629-2019 tillsynsbegäran.docx", "A 68629-2019")</f>
        <v/>
      </c>
      <c r="Y142">
        <f>HYPERLINK("https://klasma.github.io/Logging_1784/tillsynsmail/A 68629-2019 tillsynsbegäran mail.docx", "A 68629-2019")</f>
        <v/>
      </c>
    </row>
    <row r="143" ht="15" customHeight="1">
      <c r="A143" t="inlineStr">
        <is>
          <t>A 3380-2020</t>
        </is>
      </c>
      <c r="B143" s="1" t="n">
        <v>43852</v>
      </c>
      <c r="C143" s="1" t="n">
        <v>45213</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 artfynd.xlsx", "A 3380-2020")</f>
        <v/>
      </c>
      <c r="T143">
        <f>HYPERLINK("https://klasma.github.io/Logging_1765/kartor/A 3380-2020 karta.png", "A 3380-2020")</f>
        <v/>
      </c>
      <c r="V143">
        <f>HYPERLINK("https://klasma.github.io/Logging_1765/klagomål/A 3380-2020 FSC-klagomål.docx", "A 3380-2020")</f>
        <v/>
      </c>
      <c r="W143">
        <f>HYPERLINK("https://klasma.github.io/Logging_1765/klagomålsmail/A 3380-2020 FSC-klagomål mail.docx", "A 3380-2020")</f>
        <v/>
      </c>
      <c r="X143">
        <f>HYPERLINK("https://klasma.github.io/Logging_1765/tillsyn/A 3380-2020 tillsynsbegäran.docx", "A 3380-2020")</f>
        <v/>
      </c>
      <c r="Y143">
        <f>HYPERLINK("https://klasma.github.io/Logging_1765/tillsynsmail/A 3380-2020 tillsynsbegäran mail.docx", "A 3380-2020")</f>
        <v/>
      </c>
    </row>
    <row r="144" ht="15" customHeight="1">
      <c r="A144" t="inlineStr">
        <is>
          <t>A 9464-2020</t>
        </is>
      </c>
      <c r="B144" s="1" t="n">
        <v>43880</v>
      </c>
      <c r="C144" s="1" t="n">
        <v>45213</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 artfynd.xlsx", "A 9464-2020")</f>
        <v/>
      </c>
      <c r="T144">
        <f>HYPERLINK("https://klasma.github.io/Logging_1765/kartor/A 9464-2020 karta.png", "A 9464-2020")</f>
        <v/>
      </c>
      <c r="U144">
        <f>HYPERLINK("https://klasma.github.io/Logging_1765/knärot/A 9464-2020 karta knärot.png", "A 9464-2020")</f>
        <v/>
      </c>
      <c r="V144">
        <f>HYPERLINK("https://klasma.github.io/Logging_1765/klagomål/A 9464-2020 FSC-klagomål.docx", "A 9464-2020")</f>
        <v/>
      </c>
      <c r="W144">
        <f>HYPERLINK("https://klasma.github.io/Logging_1765/klagomålsmail/A 9464-2020 FSC-klagomål mail.docx", "A 9464-2020")</f>
        <v/>
      </c>
      <c r="X144">
        <f>HYPERLINK("https://klasma.github.io/Logging_1765/tillsyn/A 9464-2020 tillsynsbegäran.docx", "A 9464-2020")</f>
        <v/>
      </c>
      <c r="Y144">
        <f>HYPERLINK("https://klasma.github.io/Logging_1765/tillsynsmail/A 9464-2020 tillsynsbegäran mail.docx", "A 9464-2020")</f>
        <v/>
      </c>
    </row>
    <row r="145" ht="15" customHeight="1">
      <c r="A145" t="inlineStr">
        <is>
          <t>A 18231-2020</t>
        </is>
      </c>
      <c r="B145" s="1" t="n">
        <v>43928</v>
      </c>
      <c r="C145" s="1" t="n">
        <v>45213</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 artfynd.xlsx", "A 18231-2020")</f>
        <v/>
      </c>
      <c r="T145">
        <f>HYPERLINK("https://klasma.github.io/Logging_1780/kartor/A 18231-2020 karta.png", "A 18231-2020")</f>
        <v/>
      </c>
      <c r="U145">
        <f>HYPERLINK("https://klasma.github.io/Logging_1780/knärot/A 18231-2020 karta knärot.png", "A 18231-2020")</f>
        <v/>
      </c>
      <c r="V145">
        <f>HYPERLINK("https://klasma.github.io/Logging_1780/klagomål/A 18231-2020 FSC-klagomål.docx", "A 18231-2020")</f>
        <v/>
      </c>
      <c r="W145">
        <f>HYPERLINK("https://klasma.github.io/Logging_1780/klagomålsmail/A 18231-2020 FSC-klagomål mail.docx", "A 18231-2020")</f>
        <v/>
      </c>
      <c r="X145">
        <f>HYPERLINK("https://klasma.github.io/Logging_1780/tillsyn/A 18231-2020 tillsynsbegäran.docx", "A 18231-2020")</f>
        <v/>
      </c>
      <c r="Y145">
        <f>HYPERLINK("https://klasma.github.io/Logging_1780/tillsynsmail/A 18231-2020 tillsynsbegäran mail.docx", "A 18231-2020")</f>
        <v/>
      </c>
    </row>
    <row r="146" ht="15" customHeight="1">
      <c r="A146" t="inlineStr">
        <is>
          <t>A 34418-2020</t>
        </is>
      </c>
      <c r="B146" s="1" t="n">
        <v>44029</v>
      </c>
      <c r="C146" s="1" t="n">
        <v>45213</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 artfynd.xlsx", "A 34418-2020")</f>
        <v/>
      </c>
      <c r="T146">
        <f>HYPERLINK("https://klasma.github.io/Logging_1760/kartor/A 34418-2020 karta.png", "A 34418-2020")</f>
        <v/>
      </c>
      <c r="V146">
        <f>HYPERLINK("https://klasma.github.io/Logging_1760/klagomål/A 34418-2020 FSC-klagomål.docx", "A 34418-2020")</f>
        <v/>
      </c>
      <c r="W146">
        <f>HYPERLINK("https://klasma.github.io/Logging_1760/klagomålsmail/A 34418-2020 FSC-klagomål mail.docx", "A 34418-2020")</f>
        <v/>
      </c>
      <c r="X146">
        <f>HYPERLINK("https://klasma.github.io/Logging_1760/tillsyn/A 34418-2020 tillsynsbegäran.docx", "A 34418-2020")</f>
        <v/>
      </c>
      <c r="Y146">
        <f>HYPERLINK("https://klasma.github.io/Logging_1760/tillsynsmail/A 34418-2020 tillsynsbegäran mail.docx", "A 34418-2020")</f>
        <v/>
      </c>
    </row>
    <row r="147" ht="15" customHeight="1">
      <c r="A147" t="inlineStr">
        <is>
          <t>A 42882-2020</t>
        </is>
      </c>
      <c r="B147" s="1" t="n">
        <v>44078</v>
      </c>
      <c r="C147" s="1" t="n">
        <v>45213</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 artfynd.xlsx", "A 42882-2020")</f>
        <v/>
      </c>
      <c r="T147">
        <f>HYPERLINK("https://klasma.github.io/Logging_1782/kartor/A 42882-2020 karta.png", "A 42882-2020")</f>
        <v/>
      </c>
      <c r="V147">
        <f>HYPERLINK("https://klasma.github.io/Logging_1782/klagomål/A 42882-2020 FSC-klagomål.docx", "A 42882-2020")</f>
        <v/>
      </c>
      <c r="W147">
        <f>HYPERLINK("https://klasma.github.io/Logging_1782/klagomålsmail/A 42882-2020 FSC-klagomål mail.docx", "A 42882-2020")</f>
        <v/>
      </c>
      <c r="X147">
        <f>HYPERLINK("https://klasma.github.io/Logging_1782/tillsyn/A 42882-2020 tillsynsbegäran.docx", "A 42882-2020")</f>
        <v/>
      </c>
      <c r="Y147">
        <f>HYPERLINK("https://klasma.github.io/Logging_1782/tillsynsmail/A 42882-2020 tillsynsbegäran mail.docx", "A 42882-2020")</f>
        <v/>
      </c>
    </row>
    <row r="148" ht="15" customHeight="1">
      <c r="A148" t="inlineStr">
        <is>
          <t>A 43407-2020</t>
        </is>
      </c>
      <c r="B148" s="1" t="n">
        <v>44081</v>
      </c>
      <c r="C148" s="1" t="n">
        <v>45213</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 artfynd.xlsx", "A 43407-2020")</f>
        <v/>
      </c>
      <c r="T148">
        <f>HYPERLINK("https://klasma.github.io/Logging_1781/kartor/A 43407-2020 karta.png", "A 43407-2020")</f>
        <v/>
      </c>
      <c r="U148">
        <f>HYPERLINK("https://klasma.github.io/Logging_1781/knärot/A 43407-2020 karta knärot.png", "A 43407-2020")</f>
        <v/>
      </c>
      <c r="V148">
        <f>HYPERLINK("https://klasma.github.io/Logging_1781/klagomål/A 43407-2020 FSC-klagomål.docx", "A 43407-2020")</f>
        <v/>
      </c>
      <c r="W148">
        <f>HYPERLINK("https://klasma.github.io/Logging_1781/klagomålsmail/A 43407-2020 FSC-klagomål mail.docx", "A 43407-2020")</f>
        <v/>
      </c>
      <c r="X148">
        <f>HYPERLINK("https://klasma.github.io/Logging_1781/tillsyn/A 43407-2020 tillsynsbegäran.docx", "A 43407-2020")</f>
        <v/>
      </c>
      <c r="Y148">
        <f>HYPERLINK("https://klasma.github.io/Logging_1781/tillsynsmail/A 43407-2020 tillsynsbegäran mail.docx", "A 43407-2020")</f>
        <v/>
      </c>
    </row>
    <row r="149" ht="15" customHeight="1">
      <c r="A149" t="inlineStr">
        <is>
          <t>A 53198-2020</t>
        </is>
      </c>
      <c r="B149" s="1" t="n">
        <v>44122</v>
      </c>
      <c r="C149" s="1" t="n">
        <v>45213</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 artfynd.xlsx", "A 53198-2020")</f>
        <v/>
      </c>
      <c r="T149">
        <f>HYPERLINK("https://klasma.github.io/Logging_1737/kartor/A 53198-2020 karta.png", "A 53198-2020")</f>
        <v/>
      </c>
      <c r="V149">
        <f>HYPERLINK("https://klasma.github.io/Logging_1737/klagomål/A 53198-2020 FSC-klagomål.docx", "A 53198-2020")</f>
        <v/>
      </c>
      <c r="W149">
        <f>HYPERLINK("https://klasma.github.io/Logging_1737/klagomålsmail/A 53198-2020 FSC-klagomål mail.docx", "A 53198-2020")</f>
        <v/>
      </c>
      <c r="X149">
        <f>HYPERLINK("https://klasma.github.io/Logging_1737/tillsyn/A 53198-2020 tillsynsbegäran.docx", "A 53198-2020")</f>
        <v/>
      </c>
      <c r="Y149">
        <f>HYPERLINK("https://klasma.github.io/Logging_1737/tillsynsmail/A 53198-2020 tillsynsbegäran mail.docx", "A 53198-2020")</f>
        <v/>
      </c>
    </row>
    <row r="150" ht="15" customHeight="1">
      <c r="A150" t="inlineStr">
        <is>
          <t>A 1524-2021</t>
        </is>
      </c>
      <c r="B150" s="1" t="n">
        <v>44209</v>
      </c>
      <c r="C150" s="1" t="n">
        <v>45213</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 artfynd.xlsx", "A 1524-2021")</f>
        <v/>
      </c>
      <c r="T150">
        <f>HYPERLINK("https://klasma.github.io/Logging_1737/kartor/A 1524-2021 karta.png", "A 1524-2021")</f>
        <v/>
      </c>
      <c r="V150">
        <f>HYPERLINK("https://klasma.github.io/Logging_1737/klagomål/A 1524-2021 FSC-klagomål.docx", "A 1524-2021")</f>
        <v/>
      </c>
      <c r="W150">
        <f>HYPERLINK("https://klasma.github.io/Logging_1737/klagomålsmail/A 1524-2021 FSC-klagomål mail.docx", "A 1524-2021")</f>
        <v/>
      </c>
      <c r="X150">
        <f>HYPERLINK("https://klasma.github.io/Logging_1737/tillsyn/A 1524-2021 tillsynsbegäran.docx", "A 1524-2021")</f>
        <v/>
      </c>
      <c r="Y150">
        <f>HYPERLINK("https://klasma.github.io/Logging_1737/tillsynsmail/A 1524-2021 tillsynsbegäran mail.docx", "A 1524-2021")</f>
        <v/>
      </c>
    </row>
    <row r="151" ht="15" customHeight="1">
      <c r="A151" t="inlineStr">
        <is>
          <t>A 10098-2021</t>
        </is>
      </c>
      <c r="B151" s="1" t="n">
        <v>44253</v>
      </c>
      <c r="C151" s="1" t="n">
        <v>45213</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 artfynd.xlsx", "A 10098-2021")</f>
        <v/>
      </c>
      <c r="T151">
        <f>HYPERLINK("https://klasma.github.io/Logging_1764/kartor/A 10098-2021 karta.png", "A 10098-2021")</f>
        <v/>
      </c>
      <c r="V151">
        <f>HYPERLINK("https://klasma.github.io/Logging_1764/klagomål/A 10098-2021 FSC-klagomål.docx", "A 10098-2021")</f>
        <v/>
      </c>
      <c r="W151">
        <f>HYPERLINK("https://klasma.github.io/Logging_1764/klagomålsmail/A 10098-2021 FSC-klagomål mail.docx", "A 10098-2021")</f>
        <v/>
      </c>
      <c r="X151">
        <f>HYPERLINK("https://klasma.github.io/Logging_1764/tillsyn/A 10098-2021 tillsynsbegäran.docx", "A 10098-2021")</f>
        <v/>
      </c>
      <c r="Y151">
        <f>HYPERLINK("https://klasma.github.io/Logging_1764/tillsynsmail/A 10098-2021 tillsynsbegäran mail.docx", "A 10098-2021")</f>
        <v/>
      </c>
    </row>
    <row r="152" ht="15" customHeight="1">
      <c r="A152" t="inlineStr">
        <is>
          <t>A 11581-2021</t>
        </is>
      </c>
      <c r="B152" s="1" t="n">
        <v>44264</v>
      </c>
      <c r="C152" s="1" t="n">
        <v>45213</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 artfynd.xlsx", "A 11581-2021")</f>
        <v/>
      </c>
      <c r="T152">
        <f>HYPERLINK("https://klasma.github.io/Logging_1780/kartor/A 11581-2021 karta.png", "A 11581-2021")</f>
        <v/>
      </c>
      <c r="V152">
        <f>HYPERLINK("https://klasma.github.io/Logging_1780/klagomål/A 11581-2021 FSC-klagomål.docx", "A 11581-2021")</f>
        <v/>
      </c>
      <c r="W152">
        <f>HYPERLINK("https://klasma.github.io/Logging_1780/klagomålsmail/A 11581-2021 FSC-klagomål mail.docx", "A 11581-2021")</f>
        <v/>
      </c>
      <c r="X152">
        <f>HYPERLINK("https://klasma.github.io/Logging_1780/tillsyn/A 11581-2021 tillsynsbegäran.docx", "A 11581-2021")</f>
        <v/>
      </c>
      <c r="Y152">
        <f>HYPERLINK("https://klasma.github.io/Logging_1780/tillsynsmail/A 11581-2021 tillsynsbegäran mail.docx", "A 11581-2021")</f>
        <v/>
      </c>
    </row>
    <row r="153" ht="15" customHeight="1">
      <c r="A153" t="inlineStr">
        <is>
          <t>A 17055-2021</t>
        </is>
      </c>
      <c r="B153" s="1" t="n">
        <v>44296</v>
      </c>
      <c r="C153" s="1" t="n">
        <v>45213</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 artfynd.xlsx", "A 17055-2021")</f>
        <v/>
      </c>
      <c r="T153">
        <f>HYPERLINK("https://klasma.github.io/Logging_1730/kartor/A 17055-2021 karta.png", "A 17055-2021")</f>
        <v/>
      </c>
      <c r="V153">
        <f>HYPERLINK("https://klasma.github.io/Logging_1730/klagomål/A 17055-2021 FSC-klagomål.docx", "A 17055-2021")</f>
        <v/>
      </c>
      <c r="W153">
        <f>HYPERLINK("https://klasma.github.io/Logging_1730/klagomålsmail/A 17055-2021 FSC-klagomål mail.docx", "A 17055-2021")</f>
        <v/>
      </c>
      <c r="X153">
        <f>HYPERLINK("https://klasma.github.io/Logging_1730/tillsyn/A 17055-2021 tillsynsbegäran.docx", "A 17055-2021")</f>
        <v/>
      </c>
      <c r="Y153">
        <f>HYPERLINK("https://klasma.github.io/Logging_1730/tillsynsmail/A 17055-2021 tillsynsbegäran mail.docx", "A 17055-2021")</f>
        <v/>
      </c>
    </row>
    <row r="154" ht="15" customHeight="1">
      <c r="A154" t="inlineStr">
        <is>
          <t>A 22410-2021</t>
        </is>
      </c>
      <c r="B154" s="1" t="n">
        <v>44326</v>
      </c>
      <c r="C154" s="1" t="n">
        <v>45213</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 artfynd.xlsx", "A 22410-2021")</f>
        <v/>
      </c>
      <c r="T154">
        <f>HYPERLINK("https://klasma.github.io/Logging_1782/kartor/A 22410-2021 karta.png", "A 22410-2021")</f>
        <v/>
      </c>
      <c r="V154">
        <f>HYPERLINK("https://klasma.github.io/Logging_1782/klagomål/A 22410-2021 FSC-klagomål.docx", "A 22410-2021")</f>
        <v/>
      </c>
      <c r="W154">
        <f>HYPERLINK("https://klasma.github.io/Logging_1782/klagomålsmail/A 22410-2021 FSC-klagomål mail.docx", "A 22410-2021")</f>
        <v/>
      </c>
      <c r="X154">
        <f>HYPERLINK("https://klasma.github.io/Logging_1782/tillsyn/A 22410-2021 tillsynsbegäran.docx", "A 22410-2021")</f>
        <v/>
      </c>
      <c r="Y154">
        <f>HYPERLINK("https://klasma.github.io/Logging_1782/tillsynsmail/A 22410-2021 tillsynsbegäran mail.docx", "A 22410-2021")</f>
        <v/>
      </c>
    </row>
    <row r="155" ht="15" customHeight="1">
      <c r="A155" t="inlineStr">
        <is>
          <t>A 33866-2021</t>
        </is>
      </c>
      <c r="B155" s="1" t="n">
        <v>44378</v>
      </c>
      <c r="C155" s="1" t="n">
        <v>45213</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 artfynd.xlsx", "A 33866-2021")</f>
        <v/>
      </c>
      <c r="T155">
        <f>HYPERLINK("https://klasma.github.io/Logging_1780/kartor/A 33866-2021 karta.png", "A 33866-2021")</f>
        <v/>
      </c>
      <c r="V155">
        <f>HYPERLINK("https://klasma.github.io/Logging_1780/klagomål/A 33866-2021 FSC-klagomål.docx", "A 33866-2021")</f>
        <v/>
      </c>
      <c r="W155">
        <f>HYPERLINK("https://klasma.github.io/Logging_1780/klagomålsmail/A 33866-2021 FSC-klagomål mail.docx", "A 33866-2021")</f>
        <v/>
      </c>
      <c r="X155">
        <f>HYPERLINK("https://klasma.github.io/Logging_1780/tillsyn/A 33866-2021 tillsynsbegäran.docx", "A 33866-2021")</f>
        <v/>
      </c>
      <c r="Y155">
        <f>HYPERLINK("https://klasma.github.io/Logging_1780/tillsynsmail/A 33866-2021 tillsynsbegäran mail.docx", "A 33866-2021")</f>
        <v/>
      </c>
    </row>
    <row r="156" ht="15" customHeight="1">
      <c r="A156" t="inlineStr">
        <is>
          <t>A 43023-2021</t>
        </is>
      </c>
      <c r="B156" s="1" t="n">
        <v>44431</v>
      </c>
      <c r="C156" s="1" t="n">
        <v>45213</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 artfynd.xlsx", "A 43023-2021")</f>
        <v/>
      </c>
      <c r="T156">
        <f>HYPERLINK("https://klasma.github.io/Logging_1737/kartor/A 43023-2021 karta.png", "A 43023-2021")</f>
        <v/>
      </c>
      <c r="V156">
        <f>HYPERLINK("https://klasma.github.io/Logging_1737/klagomål/A 43023-2021 FSC-klagomål.docx", "A 43023-2021")</f>
        <v/>
      </c>
      <c r="W156">
        <f>HYPERLINK("https://klasma.github.io/Logging_1737/klagomålsmail/A 43023-2021 FSC-klagomål mail.docx", "A 43023-2021")</f>
        <v/>
      </c>
      <c r="X156">
        <f>HYPERLINK("https://klasma.github.io/Logging_1737/tillsyn/A 43023-2021 tillsynsbegäran.docx", "A 43023-2021")</f>
        <v/>
      </c>
      <c r="Y156">
        <f>HYPERLINK("https://klasma.github.io/Logging_1737/tillsynsmail/A 43023-2021 tillsynsbegäran mail.docx", "A 43023-2021")</f>
        <v/>
      </c>
    </row>
    <row r="157" ht="15" customHeight="1">
      <c r="A157" t="inlineStr">
        <is>
          <t>A 45750-2021</t>
        </is>
      </c>
      <c r="B157" s="1" t="n">
        <v>44435</v>
      </c>
      <c r="C157" s="1" t="n">
        <v>45213</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 artfynd.xlsx", "A 45750-2021")</f>
        <v/>
      </c>
      <c r="T157">
        <f>HYPERLINK("https://klasma.github.io/Logging_1784/kartor/A 45750-2021 karta.png", "A 45750-2021")</f>
        <v/>
      </c>
      <c r="V157">
        <f>HYPERLINK("https://klasma.github.io/Logging_1784/klagomål/A 45750-2021 FSC-klagomål.docx", "A 45750-2021")</f>
        <v/>
      </c>
      <c r="W157">
        <f>HYPERLINK("https://klasma.github.io/Logging_1784/klagomålsmail/A 45750-2021 FSC-klagomål mail.docx", "A 45750-2021")</f>
        <v/>
      </c>
      <c r="X157">
        <f>HYPERLINK("https://klasma.github.io/Logging_1784/tillsyn/A 45750-2021 tillsynsbegäran.docx", "A 45750-2021")</f>
        <v/>
      </c>
      <c r="Y157">
        <f>HYPERLINK("https://klasma.github.io/Logging_1784/tillsynsmail/A 45750-2021 tillsynsbegäran mail.docx", "A 45750-2021")</f>
        <v/>
      </c>
    </row>
    <row r="158" ht="15" customHeight="1">
      <c r="A158" t="inlineStr">
        <is>
          <t>A 48762-2021</t>
        </is>
      </c>
      <c r="B158" s="1" t="n">
        <v>44452</v>
      </c>
      <c r="C158" s="1" t="n">
        <v>45213</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 artfynd.xlsx", "A 48762-2021")</f>
        <v/>
      </c>
      <c r="T158">
        <f>HYPERLINK("https://klasma.github.io/Logging_1785/kartor/A 48762-2021 karta.png", "A 48762-2021")</f>
        <v/>
      </c>
      <c r="V158">
        <f>HYPERLINK("https://klasma.github.io/Logging_1785/klagomål/A 48762-2021 FSC-klagomål.docx", "A 48762-2021")</f>
        <v/>
      </c>
      <c r="W158">
        <f>HYPERLINK("https://klasma.github.io/Logging_1785/klagomålsmail/A 48762-2021 FSC-klagomål mail.docx", "A 48762-2021")</f>
        <v/>
      </c>
      <c r="X158">
        <f>HYPERLINK("https://klasma.github.io/Logging_1785/tillsyn/A 48762-2021 tillsynsbegäran.docx", "A 48762-2021")</f>
        <v/>
      </c>
      <c r="Y158">
        <f>HYPERLINK("https://klasma.github.io/Logging_1785/tillsynsmail/A 48762-2021 tillsynsbegäran mail.docx", "A 48762-2021")</f>
        <v/>
      </c>
    </row>
    <row r="159" ht="15" customHeight="1">
      <c r="A159" t="inlineStr">
        <is>
          <t>A 51072-2021</t>
        </is>
      </c>
      <c r="B159" s="1" t="n">
        <v>44461</v>
      </c>
      <c r="C159" s="1" t="n">
        <v>45213</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 artfynd.xlsx", "A 51072-2021")</f>
        <v/>
      </c>
      <c r="T159">
        <f>HYPERLINK("https://klasma.github.io/Logging_1763/kartor/A 51072-2021 karta.png", "A 51072-2021")</f>
        <v/>
      </c>
      <c r="V159">
        <f>HYPERLINK("https://klasma.github.io/Logging_1763/klagomål/A 51072-2021 FSC-klagomål.docx", "A 51072-2021")</f>
        <v/>
      </c>
      <c r="W159">
        <f>HYPERLINK("https://klasma.github.io/Logging_1763/klagomålsmail/A 51072-2021 FSC-klagomål mail.docx", "A 51072-2021")</f>
        <v/>
      </c>
      <c r="X159">
        <f>HYPERLINK("https://klasma.github.io/Logging_1763/tillsyn/A 51072-2021 tillsynsbegäran.docx", "A 51072-2021")</f>
        <v/>
      </c>
      <c r="Y159">
        <f>HYPERLINK("https://klasma.github.io/Logging_1763/tillsynsmail/A 51072-2021 tillsynsbegäran mail.docx", "A 51072-2021")</f>
        <v/>
      </c>
    </row>
    <row r="160" ht="15" customHeight="1">
      <c r="A160" t="inlineStr">
        <is>
          <t>A 54323-2021</t>
        </is>
      </c>
      <c r="B160" s="1" t="n">
        <v>44472</v>
      </c>
      <c r="C160" s="1" t="n">
        <v>45213</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 artfynd.xlsx", "A 54323-2021")</f>
        <v/>
      </c>
      <c r="T160">
        <f>HYPERLINK("https://klasma.github.io/Logging_1784/kartor/A 54323-2021 karta.png", "A 54323-2021")</f>
        <v/>
      </c>
      <c r="V160">
        <f>HYPERLINK("https://klasma.github.io/Logging_1784/klagomål/A 54323-2021 FSC-klagomål.docx", "A 54323-2021")</f>
        <v/>
      </c>
      <c r="W160">
        <f>HYPERLINK("https://klasma.github.io/Logging_1784/klagomålsmail/A 54323-2021 FSC-klagomål mail.docx", "A 54323-2021")</f>
        <v/>
      </c>
      <c r="X160">
        <f>HYPERLINK("https://klasma.github.io/Logging_1784/tillsyn/A 54323-2021 tillsynsbegäran.docx", "A 54323-2021")</f>
        <v/>
      </c>
      <c r="Y160">
        <f>HYPERLINK("https://klasma.github.io/Logging_1784/tillsynsmail/A 54323-2021 tillsynsbegäran mail.docx", "A 54323-2021")</f>
        <v/>
      </c>
    </row>
    <row r="161" ht="15" customHeight="1">
      <c r="A161" t="inlineStr">
        <is>
          <t>A 65319-2021</t>
        </is>
      </c>
      <c r="B161" s="1" t="n">
        <v>44515</v>
      </c>
      <c r="C161" s="1" t="n">
        <v>45213</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 artfynd.xlsx", "A 65319-2021")</f>
        <v/>
      </c>
      <c r="T161">
        <f>HYPERLINK("https://klasma.github.io/Logging_1765/kartor/A 65319-2021 karta.png", "A 65319-2021")</f>
        <v/>
      </c>
      <c r="U161">
        <f>HYPERLINK("https://klasma.github.io/Logging_1765/knärot/A 65319-2021 karta knärot.png", "A 65319-2021")</f>
        <v/>
      </c>
      <c r="V161">
        <f>HYPERLINK("https://klasma.github.io/Logging_1765/klagomål/A 65319-2021 FSC-klagomål.docx", "A 65319-2021")</f>
        <v/>
      </c>
      <c r="W161">
        <f>HYPERLINK("https://klasma.github.io/Logging_1765/klagomålsmail/A 65319-2021 FSC-klagomål mail.docx", "A 65319-2021")</f>
        <v/>
      </c>
      <c r="X161">
        <f>HYPERLINK("https://klasma.github.io/Logging_1765/tillsyn/A 65319-2021 tillsynsbegäran.docx", "A 65319-2021")</f>
        <v/>
      </c>
      <c r="Y161">
        <f>HYPERLINK("https://klasma.github.io/Logging_1765/tillsynsmail/A 65319-2021 tillsynsbegäran mail.docx", "A 65319-2021")</f>
        <v/>
      </c>
    </row>
    <row r="162" ht="15" customHeight="1">
      <c r="A162" t="inlineStr">
        <is>
          <t>A 66072-2021</t>
        </is>
      </c>
      <c r="B162" s="1" t="n">
        <v>44517</v>
      </c>
      <c r="C162" s="1" t="n">
        <v>45213</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 artfynd.xlsx", "A 66072-2021")</f>
        <v/>
      </c>
      <c r="T162">
        <f>HYPERLINK("https://klasma.github.io/Logging_1763/kartor/A 66072-2021 karta.png", "A 66072-2021")</f>
        <v/>
      </c>
      <c r="V162">
        <f>HYPERLINK("https://klasma.github.io/Logging_1763/klagomål/A 66072-2021 FSC-klagomål.docx", "A 66072-2021")</f>
        <v/>
      </c>
      <c r="W162">
        <f>HYPERLINK("https://klasma.github.io/Logging_1763/klagomålsmail/A 66072-2021 FSC-klagomål mail.docx", "A 66072-2021")</f>
        <v/>
      </c>
      <c r="X162">
        <f>HYPERLINK("https://klasma.github.io/Logging_1763/tillsyn/A 66072-2021 tillsynsbegäran.docx", "A 66072-2021")</f>
        <v/>
      </c>
      <c r="Y162">
        <f>HYPERLINK("https://klasma.github.io/Logging_1763/tillsynsmail/A 66072-2021 tillsynsbegäran mail.docx", "A 66072-2021")</f>
        <v/>
      </c>
    </row>
    <row r="163" ht="15" customHeight="1">
      <c r="A163" t="inlineStr">
        <is>
          <t>A 67528-2021</t>
        </is>
      </c>
      <c r="B163" s="1" t="n">
        <v>44524</v>
      </c>
      <c r="C163" s="1" t="n">
        <v>45213</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 artfynd.xlsx", "A 67528-2021")</f>
        <v/>
      </c>
      <c r="T163">
        <f>HYPERLINK("https://klasma.github.io/Logging_1737/kartor/A 67528-2021 karta.png", "A 67528-2021")</f>
        <v/>
      </c>
      <c r="V163">
        <f>HYPERLINK("https://klasma.github.io/Logging_1737/klagomål/A 67528-2021 FSC-klagomål.docx", "A 67528-2021")</f>
        <v/>
      </c>
      <c r="W163">
        <f>HYPERLINK("https://klasma.github.io/Logging_1737/klagomålsmail/A 67528-2021 FSC-klagomål mail.docx", "A 67528-2021")</f>
        <v/>
      </c>
      <c r="X163">
        <f>HYPERLINK("https://klasma.github.io/Logging_1737/tillsyn/A 67528-2021 tillsynsbegäran.docx", "A 67528-2021")</f>
        <v/>
      </c>
      <c r="Y163">
        <f>HYPERLINK("https://klasma.github.io/Logging_1737/tillsynsmail/A 67528-2021 tillsynsbegäran mail.docx", "A 67528-2021")</f>
        <v/>
      </c>
    </row>
    <row r="164" ht="15" customHeight="1">
      <c r="A164" t="inlineStr">
        <is>
          <t>A 69928-2021</t>
        </is>
      </c>
      <c r="B164" s="1" t="n">
        <v>44533</v>
      </c>
      <c r="C164" s="1" t="n">
        <v>45213</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45213</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45213</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45213</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45213</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45213</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45213</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45213</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45213</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45213</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45213</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45213</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45213</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45213</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45213</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45213</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45213</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45213</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45213</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45213</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45213</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45213</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45213</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45213</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45213</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45213</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45213</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45213</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45213</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45213</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45213</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45213</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46008-2023</t>
        </is>
      </c>
      <c r="B196" s="1" t="n">
        <v>45196</v>
      </c>
      <c r="C196" s="1" t="n">
        <v>45213</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 artfynd.xlsx", "A 46008-2023")</f>
        <v/>
      </c>
      <c r="T196">
        <f>HYPERLINK("https://klasma.github.io/Logging_1737/kartor/A 46008-2023 karta.png", "A 46008-2023")</f>
        <v/>
      </c>
      <c r="V196">
        <f>HYPERLINK("https://klasma.github.io/Logging_1737/klagomål/A 46008-2023 FSC-klagomål.docx", "A 46008-2023")</f>
        <v/>
      </c>
      <c r="W196">
        <f>HYPERLINK("https://klasma.github.io/Logging_1737/klagomålsmail/A 46008-2023 FSC-klagomål mail.docx", "A 46008-2023")</f>
        <v/>
      </c>
      <c r="X196">
        <f>HYPERLINK("https://klasma.github.io/Logging_1737/tillsyn/A 46008-2023 tillsynsbegäran.docx", "A 46008-2023")</f>
        <v/>
      </c>
      <c r="Y196">
        <f>HYPERLINK("https://klasma.github.io/Logging_1737/tillsynsmail/A 46008-2023 tillsynsbegäran mail.docx", "A 46008-2023")</f>
        <v/>
      </c>
    </row>
    <row r="197" ht="15" customHeight="1">
      <c r="A197" t="inlineStr">
        <is>
          <t>A 36996-2018</t>
        </is>
      </c>
      <c r="B197" s="1" t="n">
        <v>43332</v>
      </c>
      <c r="C197" s="1" t="n">
        <v>45213</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 artfynd.xlsx", "A 36996-2018")</f>
        <v/>
      </c>
      <c r="T197">
        <f>HYPERLINK("https://klasma.github.io/Logging_1766/kartor/A 36996-2018 karta.png", "A 36996-2018")</f>
        <v/>
      </c>
      <c r="V197">
        <f>HYPERLINK("https://klasma.github.io/Logging_1766/klagomål/A 36996-2018 FSC-klagomål.docx", "A 36996-2018")</f>
        <v/>
      </c>
      <c r="W197">
        <f>HYPERLINK("https://klasma.github.io/Logging_1766/klagomålsmail/A 36996-2018 FSC-klagomål mail.docx", "A 36996-2018")</f>
        <v/>
      </c>
      <c r="X197">
        <f>HYPERLINK("https://klasma.github.io/Logging_1766/tillsyn/A 36996-2018 tillsynsbegäran.docx", "A 36996-2018")</f>
        <v/>
      </c>
      <c r="Y197">
        <f>HYPERLINK("https://klasma.github.io/Logging_1766/tillsynsmail/A 36996-2018 tillsynsbegäran mail.docx", "A 36996-2018")</f>
        <v/>
      </c>
    </row>
    <row r="198" ht="15" customHeight="1">
      <c r="A198" t="inlineStr">
        <is>
          <t>A 49243-2018</t>
        </is>
      </c>
      <c r="B198" s="1" t="n">
        <v>43376</v>
      </c>
      <c r="C198" s="1" t="n">
        <v>45213</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 artfynd.xlsx", "A 49243-2018")</f>
        <v/>
      </c>
      <c r="T198">
        <f>HYPERLINK("https://klasma.github.io/Logging_1730/kartor/A 49243-2018 karta.png", "A 49243-2018")</f>
        <v/>
      </c>
      <c r="V198">
        <f>HYPERLINK("https://klasma.github.io/Logging_1730/klagomål/A 49243-2018 FSC-klagomål.docx", "A 49243-2018")</f>
        <v/>
      </c>
      <c r="W198">
        <f>HYPERLINK("https://klasma.github.io/Logging_1730/klagomålsmail/A 49243-2018 FSC-klagomål mail.docx", "A 49243-2018")</f>
        <v/>
      </c>
      <c r="X198">
        <f>HYPERLINK("https://klasma.github.io/Logging_1730/tillsyn/A 49243-2018 tillsynsbegäran.docx", "A 49243-2018")</f>
        <v/>
      </c>
      <c r="Y198">
        <f>HYPERLINK("https://klasma.github.io/Logging_1730/tillsynsmail/A 49243-2018 tillsynsbegäran mail.docx", "A 49243-2018")</f>
        <v/>
      </c>
    </row>
    <row r="199" ht="15" customHeight="1">
      <c r="A199" t="inlineStr">
        <is>
          <t>A 56625-2018</t>
        </is>
      </c>
      <c r="B199" s="1" t="n">
        <v>43382</v>
      </c>
      <c r="C199" s="1" t="n">
        <v>45213</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 artfynd.xlsx", "A 56625-2018")</f>
        <v/>
      </c>
      <c r="T199">
        <f>HYPERLINK("https://klasma.github.io/Logging_1785/kartor/A 56625-2018 karta.png", "A 56625-2018")</f>
        <v/>
      </c>
      <c r="V199">
        <f>HYPERLINK("https://klasma.github.io/Logging_1785/klagomål/A 56625-2018 FSC-klagomål.docx", "A 56625-2018")</f>
        <v/>
      </c>
      <c r="W199">
        <f>HYPERLINK("https://klasma.github.io/Logging_1785/klagomålsmail/A 56625-2018 FSC-klagomål mail.docx", "A 56625-2018")</f>
        <v/>
      </c>
      <c r="X199">
        <f>HYPERLINK("https://klasma.github.io/Logging_1785/tillsyn/A 56625-2018 tillsynsbegäran.docx", "A 56625-2018")</f>
        <v/>
      </c>
      <c r="Y199">
        <f>HYPERLINK("https://klasma.github.io/Logging_1785/tillsynsmail/A 56625-2018 tillsynsbegäran mail.docx", "A 56625-2018")</f>
        <v/>
      </c>
    </row>
    <row r="200" ht="15" customHeight="1">
      <c r="A200" t="inlineStr">
        <is>
          <t>A 56529-2018</t>
        </is>
      </c>
      <c r="B200" s="1" t="n">
        <v>43401</v>
      </c>
      <c r="C200" s="1" t="n">
        <v>45213</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 artfynd.xlsx", "A 56529-2018")</f>
        <v/>
      </c>
      <c r="T200">
        <f>HYPERLINK("https://klasma.github.io/Logging_1737/kartor/A 56529-2018 karta.png", "A 56529-2018")</f>
        <v/>
      </c>
      <c r="V200">
        <f>HYPERLINK("https://klasma.github.io/Logging_1737/klagomål/A 56529-2018 FSC-klagomål.docx", "A 56529-2018")</f>
        <v/>
      </c>
      <c r="W200">
        <f>HYPERLINK("https://klasma.github.io/Logging_1737/klagomålsmail/A 56529-2018 FSC-klagomål mail.docx", "A 56529-2018")</f>
        <v/>
      </c>
      <c r="X200">
        <f>HYPERLINK("https://klasma.github.io/Logging_1737/tillsyn/A 56529-2018 tillsynsbegäran.docx", "A 56529-2018")</f>
        <v/>
      </c>
      <c r="Y200">
        <f>HYPERLINK("https://klasma.github.io/Logging_1737/tillsynsmail/A 56529-2018 tillsynsbegäran mail.docx", "A 56529-2018")</f>
        <v/>
      </c>
    </row>
    <row r="201" ht="15" customHeight="1">
      <c r="A201" t="inlineStr">
        <is>
          <t>A 56530-2018</t>
        </is>
      </c>
      <c r="B201" s="1" t="n">
        <v>43401</v>
      </c>
      <c r="C201" s="1" t="n">
        <v>45213</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 artfynd.xlsx", "A 56530-2018")</f>
        <v/>
      </c>
      <c r="T201">
        <f>HYPERLINK("https://klasma.github.io/Logging_1737/kartor/A 56530-2018 karta.png", "A 56530-2018")</f>
        <v/>
      </c>
      <c r="V201">
        <f>HYPERLINK("https://klasma.github.io/Logging_1737/klagomål/A 56530-2018 FSC-klagomål.docx", "A 56530-2018")</f>
        <v/>
      </c>
      <c r="W201">
        <f>HYPERLINK("https://klasma.github.io/Logging_1737/klagomålsmail/A 56530-2018 FSC-klagomål mail.docx", "A 56530-2018")</f>
        <v/>
      </c>
      <c r="X201">
        <f>HYPERLINK("https://klasma.github.io/Logging_1737/tillsyn/A 56530-2018 tillsynsbegäran.docx", "A 56530-2018")</f>
        <v/>
      </c>
      <c r="Y201">
        <f>HYPERLINK("https://klasma.github.io/Logging_1737/tillsynsmail/A 56530-2018 tillsynsbegäran mail.docx", "A 56530-2018")</f>
        <v/>
      </c>
    </row>
    <row r="202" ht="15" customHeight="1">
      <c r="A202" t="inlineStr">
        <is>
          <t>A 59035-2018</t>
        </is>
      </c>
      <c r="B202" s="1" t="n">
        <v>43411</v>
      </c>
      <c r="C202" s="1" t="n">
        <v>45213</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 artfynd.xlsx", "A 59035-2018")</f>
        <v/>
      </c>
      <c r="T202">
        <f>HYPERLINK("https://klasma.github.io/Logging_1783/kartor/A 59035-2018 karta.png", "A 59035-2018")</f>
        <v/>
      </c>
      <c r="V202">
        <f>HYPERLINK("https://klasma.github.io/Logging_1783/klagomål/A 59035-2018 FSC-klagomål.docx", "A 59035-2018")</f>
        <v/>
      </c>
      <c r="W202">
        <f>HYPERLINK("https://klasma.github.io/Logging_1783/klagomålsmail/A 59035-2018 FSC-klagomål mail.docx", "A 59035-2018")</f>
        <v/>
      </c>
      <c r="X202">
        <f>HYPERLINK("https://klasma.github.io/Logging_1783/tillsyn/A 59035-2018 tillsynsbegäran.docx", "A 59035-2018")</f>
        <v/>
      </c>
      <c r="Y202">
        <f>HYPERLINK("https://klasma.github.io/Logging_1783/tillsynsmail/A 59035-2018 tillsynsbegäran mail.docx", "A 59035-2018")</f>
        <v/>
      </c>
    </row>
    <row r="203" ht="15" customHeight="1">
      <c r="A203" t="inlineStr">
        <is>
          <t>A 59340-2018</t>
        </is>
      </c>
      <c r="B203" s="1" t="n">
        <v>43418</v>
      </c>
      <c r="C203" s="1" t="n">
        <v>45213</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 artfynd.xlsx", "A 59340-2018")</f>
        <v/>
      </c>
      <c r="T203">
        <f>HYPERLINK("https://klasma.github.io/Logging_1730/kartor/A 59340-2018 karta.png", "A 59340-2018")</f>
        <v/>
      </c>
      <c r="V203">
        <f>HYPERLINK("https://klasma.github.io/Logging_1730/klagomål/A 59340-2018 FSC-klagomål.docx", "A 59340-2018")</f>
        <v/>
      </c>
      <c r="W203">
        <f>HYPERLINK("https://klasma.github.io/Logging_1730/klagomålsmail/A 59340-2018 FSC-klagomål mail.docx", "A 59340-2018")</f>
        <v/>
      </c>
      <c r="X203">
        <f>HYPERLINK("https://klasma.github.io/Logging_1730/tillsyn/A 59340-2018 tillsynsbegäran.docx", "A 59340-2018")</f>
        <v/>
      </c>
      <c r="Y203">
        <f>HYPERLINK("https://klasma.github.io/Logging_1730/tillsynsmail/A 59340-2018 tillsynsbegäran mail.docx", "A 59340-2018")</f>
        <v/>
      </c>
    </row>
    <row r="204" ht="15" customHeight="1">
      <c r="A204" t="inlineStr">
        <is>
          <t>A 59564-2018</t>
        </is>
      </c>
      <c r="B204" s="1" t="n">
        <v>43419</v>
      </c>
      <c r="C204" s="1" t="n">
        <v>45213</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 artfynd.xlsx", "A 59564-2018")</f>
        <v/>
      </c>
      <c r="T204">
        <f>HYPERLINK("https://klasma.github.io/Logging_1780/kartor/A 59564-2018 karta.png", "A 59564-2018")</f>
        <v/>
      </c>
      <c r="V204">
        <f>HYPERLINK("https://klasma.github.io/Logging_1780/klagomål/A 59564-2018 FSC-klagomål.docx", "A 59564-2018")</f>
        <v/>
      </c>
      <c r="W204">
        <f>HYPERLINK("https://klasma.github.io/Logging_1780/klagomålsmail/A 59564-2018 FSC-klagomål mail.docx", "A 59564-2018")</f>
        <v/>
      </c>
      <c r="X204">
        <f>HYPERLINK("https://klasma.github.io/Logging_1780/tillsyn/A 59564-2018 tillsynsbegäran.docx", "A 59564-2018")</f>
        <v/>
      </c>
      <c r="Y204">
        <f>HYPERLINK("https://klasma.github.io/Logging_1780/tillsynsmail/A 59564-2018 tillsynsbegäran mail.docx", "A 59564-2018")</f>
        <v/>
      </c>
    </row>
    <row r="205" ht="15" customHeight="1">
      <c r="A205" t="inlineStr">
        <is>
          <t>A 59626-2018</t>
        </is>
      </c>
      <c r="B205" s="1" t="n">
        <v>43419</v>
      </c>
      <c r="C205" s="1" t="n">
        <v>45213</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 artfynd.xlsx", "A 59626-2018")</f>
        <v/>
      </c>
      <c r="T205">
        <f>HYPERLINK("https://klasma.github.io/Logging_1730/kartor/A 59626-2018 karta.png", "A 59626-2018")</f>
        <v/>
      </c>
      <c r="U205">
        <f>HYPERLINK("https://klasma.github.io/Logging_1730/knärot/A 59626-2018 karta knärot.png", "A 59626-2018")</f>
        <v/>
      </c>
      <c r="V205">
        <f>HYPERLINK("https://klasma.github.io/Logging_1730/klagomål/A 59626-2018 FSC-klagomål.docx", "A 59626-2018")</f>
        <v/>
      </c>
      <c r="W205">
        <f>HYPERLINK("https://klasma.github.io/Logging_1730/klagomålsmail/A 59626-2018 FSC-klagomål mail.docx", "A 59626-2018")</f>
        <v/>
      </c>
      <c r="X205">
        <f>HYPERLINK("https://klasma.github.io/Logging_1730/tillsyn/A 59626-2018 tillsynsbegäran.docx", "A 59626-2018")</f>
        <v/>
      </c>
      <c r="Y205">
        <f>HYPERLINK("https://klasma.github.io/Logging_1730/tillsynsmail/A 59626-2018 tillsynsbegäran mail.docx", "A 59626-2018")</f>
        <v/>
      </c>
    </row>
    <row r="206" ht="15" customHeight="1">
      <c r="A206" t="inlineStr">
        <is>
          <t>A 59625-2018</t>
        </is>
      </c>
      <c r="B206" s="1" t="n">
        <v>43419</v>
      </c>
      <c r="C206" s="1" t="n">
        <v>45213</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 artfynd.xlsx", "A 59625-2018")</f>
        <v/>
      </c>
      <c r="T206">
        <f>HYPERLINK("https://klasma.github.io/Logging_1730/kartor/A 59625-2018 karta.png", "A 59625-2018")</f>
        <v/>
      </c>
      <c r="V206">
        <f>HYPERLINK("https://klasma.github.io/Logging_1730/klagomål/A 59625-2018 FSC-klagomål.docx", "A 59625-2018")</f>
        <v/>
      </c>
      <c r="W206">
        <f>HYPERLINK("https://klasma.github.io/Logging_1730/klagomålsmail/A 59625-2018 FSC-klagomål mail.docx", "A 59625-2018")</f>
        <v/>
      </c>
      <c r="X206">
        <f>HYPERLINK("https://klasma.github.io/Logging_1730/tillsyn/A 59625-2018 tillsynsbegäran.docx", "A 59625-2018")</f>
        <v/>
      </c>
      <c r="Y206">
        <f>HYPERLINK("https://klasma.github.io/Logging_1730/tillsynsmail/A 59625-2018 tillsynsbegäran mail.docx", "A 59625-2018")</f>
        <v/>
      </c>
    </row>
    <row r="207" ht="15" customHeight="1">
      <c r="A207" t="inlineStr">
        <is>
          <t>A 66923-2018</t>
        </is>
      </c>
      <c r="B207" s="1" t="n">
        <v>43431</v>
      </c>
      <c r="C207" s="1" t="n">
        <v>45213</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 artfynd.xlsx", "A 66923-2018")</f>
        <v/>
      </c>
      <c r="T207">
        <f>HYPERLINK("https://klasma.github.io/Logging_1785/kartor/A 66923-2018 karta.png", "A 66923-2018")</f>
        <v/>
      </c>
      <c r="V207">
        <f>HYPERLINK("https://klasma.github.io/Logging_1785/klagomål/A 66923-2018 FSC-klagomål.docx", "A 66923-2018")</f>
        <v/>
      </c>
      <c r="W207">
        <f>HYPERLINK("https://klasma.github.io/Logging_1785/klagomålsmail/A 66923-2018 FSC-klagomål mail.docx", "A 66923-2018")</f>
        <v/>
      </c>
      <c r="X207">
        <f>HYPERLINK("https://klasma.github.io/Logging_1785/tillsyn/A 66923-2018 tillsynsbegäran.docx", "A 66923-2018")</f>
        <v/>
      </c>
      <c r="Y207">
        <f>HYPERLINK("https://klasma.github.io/Logging_1785/tillsynsmail/A 66923-2018 tillsynsbegäran mail.docx", "A 66923-2018")</f>
        <v/>
      </c>
    </row>
    <row r="208" ht="15" customHeight="1">
      <c r="A208" t="inlineStr">
        <is>
          <t>A 1254-2019</t>
        </is>
      </c>
      <c r="B208" s="1" t="n">
        <v>43461</v>
      </c>
      <c r="C208" s="1" t="n">
        <v>45213</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 artfynd.xlsx", "A 1254-2019")</f>
        <v/>
      </c>
      <c r="T208">
        <f>HYPERLINK("https://klasma.github.io/Logging_1785/kartor/A 1254-2019 karta.png", "A 1254-2019")</f>
        <v/>
      </c>
      <c r="V208">
        <f>HYPERLINK("https://klasma.github.io/Logging_1785/klagomål/A 1254-2019 FSC-klagomål.docx", "A 1254-2019")</f>
        <v/>
      </c>
      <c r="W208">
        <f>HYPERLINK("https://klasma.github.io/Logging_1785/klagomålsmail/A 1254-2019 FSC-klagomål mail.docx", "A 1254-2019")</f>
        <v/>
      </c>
      <c r="X208">
        <f>HYPERLINK("https://klasma.github.io/Logging_1785/tillsyn/A 1254-2019 tillsynsbegäran.docx", "A 1254-2019")</f>
        <v/>
      </c>
      <c r="Y208">
        <f>HYPERLINK("https://klasma.github.io/Logging_1785/tillsynsmail/A 1254-2019 tillsynsbegäran mail.docx", "A 1254-2019")</f>
        <v/>
      </c>
    </row>
    <row r="209" ht="15" customHeight="1">
      <c r="A209" t="inlineStr">
        <is>
          <t>A 2392-2019</t>
        </is>
      </c>
      <c r="B209" s="1" t="n">
        <v>43476</v>
      </c>
      <c r="C209" s="1" t="n">
        <v>45213</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 artfynd.xlsx", "A 2392-2019")</f>
        <v/>
      </c>
      <c r="T209">
        <f>HYPERLINK("https://klasma.github.io/Logging_1784/kartor/A 2392-2019 karta.png", "A 2392-2019")</f>
        <v/>
      </c>
      <c r="U209">
        <f>HYPERLINK("https://klasma.github.io/Logging_1784/knärot/A 2392-2019 karta knärot.png", "A 2392-2019")</f>
        <v/>
      </c>
      <c r="V209">
        <f>HYPERLINK("https://klasma.github.io/Logging_1784/klagomål/A 2392-2019 FSC-klagomål.docx", "A 2392-2019")</f>
        <v/>
      </c>
      <c r="W209">
        <f>HYPERLINK("https://klasma.github.io/Logging_1784/klagomålsmail/A 2392-2019 FSC-klagomål mail.docx", "A 2392-2019")</f>
        <v/>
      </c>
      <c r="X209">
        <f>HYPERLINK("https://klasma.github.io/Logging_1784/tillsyn/A 2392-2019 tillsynsbegäran.docx", "A 2392-2019")</f>
        <v/>
      </c>
      <c r="Y209">
        <f>HYPERLINK("https://klasma.github.io/Logging_1784/tillsynsmail/A 2392-2019 tillsynsbegäran mail.docx", "A 2392-2019")</f>
        <v/>
      </c>
    </row>
    <row r="210" ht="15" customHeight="1">
      <c r="A210" t="inlineStr">
        <is>
          <t>A 6077-2019</t>
        </is>
      </c>
      <c r="B210" s="1" t="n">
        <v>43493</v>
      </c>
      <c r="C210" s="1" t="n">
        <v>45213</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 artfynd.xlsx", "A 6077-2019")</f>
        <v/>
      </c>
      <c r="T210">
        <f>HYPERLINK("https://klasma.github.io/Logging_1782/kartor/A 6077-2019 karta.png", "A 6077-2019")</f>
        <v/>
      </c>
      <c r="V210">
        <f>HYPERLINK("https://klasma.github.io/Logging_1782/klagomål/A 6077-2019 FSC-klagomål.docx", "A 6077-2019")</f>
        <v/>
      </c>
      <c r="W210">
        <f>HYPERLINK("https://klasma.github.io/Logging_1782/klagomålsmail/A 6077-2019 FSC-klagomål mail.docx", "A 6077-2019")</f>
        <v/>
      </c>
      <c r="X210">
        <f>HYPERLINK("https://klasma.github.io/Logging_1782/tillsyn/A 6077-2019 tillsynsbegäran.docx", "A 6077-2019")</f>
        <v/>
      </c>
      <c r="Y210">
        <f>HYPERLINK("https://klasma.github.io/Logging_1782/tillsynsmail/A 6077-2019 tillsynsbegäran mail.docx", "A 6077-2019")</f>
        <v/>
      </c>
    </row>
    <row r="211" ht="15" customHeight="1">
      <c r="A211" t="inlineStr">
        <is>
          <t>A 7073-2019</t>
        </is>
      </c>
      <c r="B211" s="1" t="n">
        <v>43496</v>
      </c>
      <c r="C211" s="1" t="n">
        <v>45213</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 artfynd.xlsx", "A 7073-2019")</f>
        <v/>
      </c>
      <c r="T211">
        <f>HYPERLINK("https://klasma.github.io/Logging_1730/kartor/A 7073-2019 karta.png", "A 7073-2019")</f>
        <v/>
      </c>
      <c r="V211">
        <f>HYPERLINK("https://klasma.github.io/Logging_1730/klagomål/A 7073-2019 FSC-klagomål.docx", "A 7073-2019")</f>
        <v/>
      </c>
      <c r="W211">
        <f>HYPERLINK("https://klasma.github.io/Logging_1730/klagomålsmail/A 7073-2019 FSC-klagomål mail.docx", "A 7073-2019")</f>
        <v/>
      </c>
      <c r="X211">
        <f>HYPERLINK("https://klasma.github.io/Logging_1730/tillsyn/A 7073-2019 tillsynsbegäran.docx", "A 7073-2019")</f>
        <v/>
      </c>
      <c r="Y211">
        <f>HYPERLINK("https://klasma.github.io/Logging_1730/tillsynsmail/A 7073-2019 tillsynsbegäran mail.docx", "A 7073-2019")</f>
        <v/>
      </c>
    </row>
    <row r="212" ht="15" customHeight="1">
      <c r="A212" t="inlineStr">
        <is>
          <t>A 9067-2019</t>
        </is>
      </c>
      <c r="B212" s="1" t="n">
        <v>43504</v>
      </c>
      <c r="C212" s="1" t="n">
        <v>45213</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 artfynd.xlsx", "A 9067-2019")</f>
        <v/>
      </c>
      <c r="T212">
        <f>HYPERLINK("https://klasma.github.io/Logging_1780/kartor/A 9067-2019 karta.png", "A 9067-2019")</f>
        <v/>
      </c>
      <c r="V212">
        <f>HYPERLINK("https://klasma.github.io/Logging_1780/klagomål/A 9067-2019 FSC-klagomål.docx", "A 9067-2019")</f>
        <v/>
      </c>
      <c r="W212">
        <f>HYPERLINK("https://klasma.github.io/Logging_1780/klagomålsmail/A 9067-2019 FSC-klagomål mail.docx", "A 9067-2019")</f>
        <v/>
      </c>
      <c r="X212">
        <f>HYPERLINK("https://klasma.github.io/Logging_1780/tillsyn/A 9067-2019 tillsynsbegäran.docx", "A 9067-2019")</f>
        <v/>
      </c>
      <c r="Y212">
        <f>HYPERLINK("https://klasma.github.io/Logging_1780/tillsynsmail/A 9067-2019 tillsynsbegäran mail.docx", "A 9067-2019")</f>
        <v/>
      </c>
    </row>
    <row r="213" ht="15" customHeight="1">
      <c r="A213" t="inlineStr">
        <is>
          <t>A 14475-2019</t>
        </is>
      </c>
      <c r="B213" s="1" t="n">
        <v>43536</v>
      </c>
      <c r="C213" s="1" t="n">
        <v>45213</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 artfynd.xlsx", "A 14475-2019")</f>
        <v/>
      </c>
      <c r="T213">
        <f>HYPERLINK("https://klasma.github.io/Logging_1781/kartor/A 14475-2019 karta.png", "A 14475-2019")</f>
        <v/>
      </c>
      <c r="V213">
        <f>HYPERLINK("https://klasma.github.io/Logging_1781/klagomål/A 14475-2019 FSC-klagomål.docx", "A 14475-2019")</f>
        <v/>
      </c>
      <c r="W213">
        <f>HYPERLINK("https://klasma.github.io/Logging_1781/klagomålsmail/A 14475-2019 FSC-klagomål mail.docx", "A 14475-2019")</f>
        <v/>
      </c>
      <c r="X213">
        <f>HYPERLINK("https://klasma.github.io/Logging_1781/tillsyn/A 14475-2019 tillsynsbegäran.docx", "A 14475-2019")</f>
        <v/>
      </c>
      <c r="Y213">
        <f>HYPERLINK("https://klasma.github.io/Logging_1781/tillsynsmail/A 14475-2019 tillsynsbegäran mail.docx", "A 14475-2019")</f>
        <v/>
      </c>
    </row>
    <row r="214" ht="15" customHeight="1">
      <c r="A214" t="inlineStr">
        <is>
          <t>A 18499-2019</t>
        </is>
      </c>
      <c r="B214" s="1" t="n">
        <v>43559</v>
      </c>
      <c r="C214" s="1" t="n">
        <v>45213</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 artfynd.xlsx", "A 18499-2019")</f>
        <v/>
      </c>
      <c r="T214">
        <f>HYPERLINK("https://klasma.github.io/Logging_1737/kartor/A 18499-2019 karta.png", "A 18499-2019")</f>
        <v/>
      </c>
      <c r="V214">
        <f>HYPERLINK("https://klasma.github.io/Logging_1737/klagomål/A 18499-2019 FSC-klagomål.docx", "A 18499-2019")</f>
        <v/>
      </c>
      <c r="W214">
        <f>HYPERLINK("https://klasma.github.io/Logging_1737/klagomålsmail/A 18499-2019 FSC-klagomål mail.docx", "A 18499-2019")</f>
        <v/>
      </c>
      <c r="X214">
        <f>HYPERLINK("https://klasma.github.io/Logging_1737/tillsyn/A 18499-2019 tillsynsbegäran.docx", "A 18499-2019")</f>
        <v/>
      </c>
      <c r="Y214">
        <f>HYPERLINK("https://klasma.github.io/Logging_1737/tillsynsmail/A 18499-2019 tillsynsbegäran mail.docx", "A 18499-2019")</f>
        <v/>
      </c>
    </row>
    <row r="215" ht="15" customHeight="1">
      <c r="A215" t="inlineStr">
        <is>
          <t>A 18838-2019</t>
        </is>
      </c>
      <c r="B215" s="1" t="n">
        <v>43563</v>
      </c>
      <c r="C215" s="1" t="n">
        <v>45213</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 artfynd.xlsx", "A 18838-2019")</f>
        <v/>
      </c>
      <c r="T215">
        <f>HYPERLINK("https://klasma.github.io/Logging_1780/kartor/A 18838-2019 karta.png", "A 18838-2019")</f>
        <v/>
      </c>
      <c r="V215">
        <f>HYPERLINK("https://klasma.github.io/Logging_1780/klagomål/A 18838-2019 FSC-klagomål.docx", "A 18838-2019")</f>
        <v/>
      </c>
      <c r="W215">
        <f>HYPERLINK("https://klasma.github.io/Logging_1780/klagomålsmail/A 18838-2019 FSC-klagomål mail.docx", "A 18838-2019")</f>
        <v/>
      </c>
      <c r="X215">
        <f>HYPERLINK("https://klasma.github.io/Logging_1780/tillsyn/A 18838-2019 tillsynsbegäran.docx", "A 18838-2019")</f>
        <v/>
      </c>
      <c r="Y215">
        <f>HYPERLINK("https://klasma.github.io/Logging_1780/tillsynsmail/A 18838-2019 tillsynsbegäran mail.docx", "A 18838-2019")</f>
        <v/>
      </c>
    </row>
    <row r="216" ht="15" customHeight="1">
      <c r="A216" t="inlineStr">
        <is>
          <t>A 19213-2019</t>
        </is>
      </c>
      <c r="B216" s="1" t="n">
        <v>43564</v>
      </c>
      <c r="C216" s="1" t="n">
        <v>45213</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 artfynd.xlsx", "A 19213-2019")</f>
        <v/>
      </c>
      <c r="T216">
        <f>HYPERLINK("https://klasma.github.io/Logging_1784/kartor/A 19213-2019 karta.png", "A 19213-2019")</f>
        <v/>
      </c>
      <c r="V216">
        <f>HYPERLINK("https://klasma.github.io/Logging_1784/klagomål/A 19213-2019 FSC-klagomål.docx", "A 19213-2019")</f>
        <v/>
      </c>
      <c r="W216">
        <f>HYPERLINK("https://klasma.github.io/Logging_1784/klagomålsmail/A 19213-2019 FSC-klagomål mail.docx", "A 19213-2019")</f>
        <v/>
      </c>
      <c r="X216">
        <f>HYPERLINK("https://klasma.github.io/Logging_1784/tillsyn/A 19213-2019 tillsynsbegäran.docx", "A 19213-2019")</f>
        <v/>
      </c>
      <c r="Y216">
        <f>HYPERLINK("https://klasma.github.io/Logging_1784/tillsynsmail/A 19213-2019 tillsynsbegäran mail.docx", "A 19213-2019")</f>
        <v/>
      </c>
    </row>
    <row r="217" ht="15" customHeight="1">
      <c r="A217" t="inlineStr">
        <is>
          <t>A 23681-2019</t>
        </is>
      </c>
      <c r="B217" s="1" t="n">
        <v>43594</v>
      </c>
      <c r="C217" s="1" t="n">
        <v>45213</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 artfynd.xlsx", "A 23681-2019")</f>
        <v/>
      </c>
      <c r="T217">
        <f>HYPERLINK("https://klasma.github.io/Logging_1785/kartor/A 23681-2019 karta.png", "A 23681-2019")</f>
        <v/>
      </c>
      <c r="V217">
        <f>HYPERLINK("https://klasma.github.io/Logging_1785/klagomål/A 23681-2019 FSC-klagomål.docx", "A 23681-2019")</f>
        <v/>
      </c>
      <c r="W217">
        <f>HYPERLINK("https://klasma.github.io/Logging_1785/klagomålsmail/A 23681-2019 FSC-klagomål mail.docx", "A 23681-2019")</f>
        <v/>
      </c>
      <c r="X217">
        <f>HYPERLINK("https://klasma.github.io/Logging_1785/tillsyn/A 23681-2019 tillsynsbegäran.docx", "A 23681-2019")</f>
        <v/>
      </c>
      <c r="Y217">
        <f>HYPERLINK("https://klasma.github.io/Logging_1785/tillsynsmail/A 23681-2019 tillsynsbegäran mail.docx", "A 23681-2019")</f>
        <v/>
      </c>
    </row>
    <row r="218" ht="15" customHeight="1">
      <c r="A218" t="inlineStr">
        <is>
          <t>A 25652-2019</t>
        </is>
      </c>
      <c r="B218" s="1" t="n">
        <v>43607</v>
      </c>
      <c r="C218" s="1" t="n">
        <v>45213</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 artfynd.xlsx", "A 25652-2019")</f>
        <v/>
      </c>
      <c r="T218">
        <f>HYPERLINK("https://klasma.github.io/Logging_1780/kartor/A 25652-2019 karta.png", "A 25652-2019")</f>
        <v/>
      </c>
      <c r="V218">
        <f>HYPERLINK("https://klasma.github.io/Logging_1780/klagomål/A 25652-2019 FSC-klagomål.docx", "A 25652-2019")</f>
        <v/>
      </c>
      <c r="W218">
        <f>HYPERLINK("https://klasma.github.io/Logging_1780/klagomålsmail/A 25652-2019 FSC-klagomål mail.docx", "A 25652-2019")</f>
        <v/>
      </c>
      <c r="X218">
        <f>HYPERLINK("https://klasma.github.io/Logging_1780/tillsyn/A 25652-2019 tillsynsbegäran.docx", "A 25652-2019")</f>
        <v/>
      </c>
      <c r="Y218">
        <f>HYPERLINK("https://klasma.github.io/Logging_1780/tillsynsmail/A 25652-2019 tillsynsbegäran mail.docx", "A 25652-2019")</f>
        <v/>
      </c>
    </row>
    <row r="219" ht="15" customHeight="1">
      <c r="A219" t="inlineStr">
        <is>
          <t>A 27311-2019</t>
        </is>
      </c>
      <c r="B219" s="1" t="n">
        <v>43616</v>
      </c>
      <c r="C219" s="1" t="n">
        <v>45213</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 artfynd.xlsx", "A 27311-2019")</f>
        <v/>
      </c>
      <c r="T219">
        <f>HYPERLINK("https://klasma.github.io/Logging_1780/kartor/A 27311-2019 karta.png", "A 27311-2019")</f>
        <v/>
      </c>
      <c r="V219">
        <f>HYPERLINK("https://klasma.github.io/Logging_1780/klagomål/A 27311-2019 FSC-klagomål.docx", "A 27311-2019")</f>
        <v/>
      </c>
      <c r="W219">
        <f>HYPERLINK("https://klasma.github.io/Logging_1780/klagomålsmail/A 27311-2019 FSC-klagomål mail.docx", "A 27311-2019")</f>
        <v/>
      </c>
      <c r="X219">
        <f>HYPERLINK("https://klasma.github.io/Logging_1780/tillsyn/A 27311-2019 tillsynsbegäran.docx", "A 27311-2019")</f>
        <v/>
      </c>
      <c r="Y219">
        <f>HYPERLINK("https://klasma.github.io/Logging_1780/tillsynsmail/A 27311-2019 tillsynsbegäran mail.docx", "A 27311-2019")</f>
        <v/>
      </c>
    </row>
    <row r="220" ht="15" customHeight="1">
      <c r="A220" t="inlineStr">
        <is>
          <t>A 29032-2019</t>
        </is>
      </c>
      <c r="B220" s="1" t="n">
        <v>43621</v>
      </c>
      <c r="C220" s="1" t="n">
        <v>45213</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 artfynd.xlsx", "A 29032-2019")</f>
        <v/>
      </c>
      <c r="T220">
        <f>HYPERLINK("https://klasma.github.io/Logging_1765/kartor/A 29032-2019 karta.png", "A 29032-2019")</f>
        <v/>
      </c>
      <c r="U220">
        <f>HYPERLINK("https://klasma.github.io/Logging_1765/knärot/A 29032-2019 karta knärot.png", "A 29032-2019")</f>
        <v/>
      </c>
      <c r="V220">
        <f>HYPERLINK("https://klasma.github.io/Logging_1765/klagomål/A 29032-2019 FSC-klagomål.docx", "A 29032-2019")</f>
        <v/>
      </c>
      <c r="W220">
        <f>HYPERLINK("https://klasma.github.io/Logging_1765/klagomålsmail/A 29032-2019 FSC-klagomål mail.docx", "A 29032-2019")</f>
        <v/>
      </c>
      <c r="X220">
        <f>HYPERLINK("https://klasma.github.io/Logging_1765/tillsyn/A 29032-2019 tillsynsbegäran.docx", "A 29032-2019")</f>
        <v/>
      </c>
      <c r="Y220">
        <f>HYPERLINK("https://klasma.github.io/Logging_1765/tillsynsmail/A 29032-2019 tillsynsbegäran mail.docx", "A 29032-2019")</f>
        <v/>
      </c>
    </row>
    <row r="221" ht="15" customHeight="1">
      <c r="A221" t="inlineStr">
        <is>
          <t>A 28904-2019</t>
        </is>
      </c>
      <c r="B221" s="1" t="n">
        <v>43628</v>
      </c>
      <c r="C221" s="1" t="n">
        <v>45213</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 artfynd.xlsx", "A 28904-2019")</f>
        <v/>
      </c>
      <c r="T221">
        <f>HYPERLINK("https://klasma.github.io/Logging_1763/kartor/A 28904-2019 karta.png", "A 28904-2019")</f>
        <v/>
      </c>
      <c r="V221">
        <f>HYPERLINK("https://klasma.github.io/Logging_1763/klagomål/A 28904-2019 FSC-klagomål.docx", "A 28904-2019")</f>
        <v/>
      </c>
      <c r="W221">
        <f>HYPERLINK("https://klasma.github.io/Logging_1763/klagomålsmail/A 28904-2019 FSC-klagomål mail.docx", "A 28904-2019")</f>
        <v/>
      </c>
      <c r="X221">
        <f>HYPERLINK("https://klasma.github.io/Logging_1763/tillsyn/A 28904-2019 tillsynsbegäran.docx", "A 28904-2019")</f>
        <v/>
      </c>
      <c r="Y221">
        <f>HYPERLINK("https://klasma.github.io/Logging_1763/tillsynsmail/A 28904-2019 tillsynsbegäran mail.docx", "A 28904-2019")</f>
        <v/>
      </c>
    </row>
    <row r="222" ht="15" customHeight="1">
      <c r="A222" t="inlineStr">
        <is>
          <t>A 30304-2019</t>
        </is>
      </c>
      <c r="B222" s="1" t="n">
        <v>43634</v>
      </c>
      <c r="C222" s="1" t="n">
        <v>45213</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 artfynd.xlsx", "A 30304-2019")</f>
        <v/>
      </c>
      <c r="T222">
        <f>HYPERLINK("https://klasma.github.io/Logging_1784/kartor/A 30304-2019 karta.png", "A 30304-2019")</f>
        <v/>
      </c>
      <c r="U222">
        <f>HYPERLINK("https://klasma.github.io/Logging_1784/knärot/A 30304-2019 karta knärot.png", "A 30304-2019")</f>
        <v/>
      </c>
      <c r="V222">
        <f>HYPERLINK("https://klasma.github.io/Logging_1784/klagomål/A 30304-2019 FSC-klagomål.docx", "A 30304-2019")</f>
        <v/>
      </c>
      <c r="W222">
        <f>HYPERLINK("https://klasma.github.io/Logging_1784/klagomålsmail/A 30304-2019 FSC-klagomål mail.docx", "A 30304-2019")</f>
        <v/>
      </c>
      <c r="X222">
        <f>HYPERLINK("https://klasma.github.io/Logging_1784/tillsyn/A 30304-2019 tillsynsbegäran.docx", "A 30304-2019")</f>
        <v/>
      </c>
      <c r="Y222">
        <f>HYPERLINK("https://klasma.github.io/Logging_1784/tillsynsmail/A 30304-2019 tillsynsbegäran mail.docx", "A 30304-2019")</f>
        <v/>
      </c>
    </row>
    <row r="223" ht="15" customHeight="1">
      <c r="A223" t="inlineStr">
        <is>
          <t>A 31191-2019</t>
        </is>
      </c>
      <c r="B223" s="1" t="n">
        <v>43640</v>
      </c>
      <c r="C223" s="1" t="n">
        <v>45213</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 artfynd.xlsx", "A 31191-2019")</f>
        <v/>
      </c>
      <c r="T223">
        <f>HYPERLINK("https://klasma.github.io/Logging_1782/kartor/A 31191-2019 karta.png", "A 31191-2019")</f>
        <v/>
      </c>
      <c r="V223">
        <f>HYPERLINK("https://klasma.github.io/Logging_1782/klagomål/A 31191-2019 FSC-klagomål.docx", "A 31191-2019")</f>
        <v/>
      </c>
      <c r="W223">
        <f>HYPERLINK("https://klasma.github.io/Logging_1782/klagomålsmail/A 31191-2019 FSC-klagomål mail.docx", "A 31191-2019")</f>
        <v/>
      </c>
      <c r="X223">
        <f>HYPERLINK("https://klasma.github.io/Logging_1782/tillsyn/A 31191-2019 tillsynsbegäran.docx", "A 31191-2019")</f>
        <v/>
      </c>
      <c r="Y223">
        <f>HYPERLINK("https://klasma.github.io/Logging_1782/tillsynsmail/A 31191-2019 tillsynsbegäran mail.docx", "A 31191-2019")</f>
        <v/>
      </c>
    </row>
    <row r="224" ht="15" customHeight="1">
      <c r="A224" t="inlineStr">
        <is>
          <t>A 31848-2019</t>
        </is>
      </c>
      <c r="B224" s="1" t="n">
        <v>43642</v>
      </c>
      <c r="C224" s="1" t="n">
        <v>45213</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 artfynd.xlsx", "A 31848-2019")</f>
        <v/>
      </c>
      <c r="T224">
        <f>HYPERLINK("https://klasma.github.io/Logging_1737/kartor/A 31848-2019 karta.png", "A 31848-2019")</f>
        <v/>
      </c>
      <c r="U224">
        <f>HYPERLINK("https://klasma.github.io/Logging_1737/knärot/A 31848-2019 karta knärot.png", "A 31848-2019")</f>
        <v/>
      </c>
      <c r="V224">
        <f>HYPERLINK("https://klasma.github.io/Logging_1737/klagomål/A 31848-2019 FSC-klagomål.docx", "A 31848-2019")</f>
        <v/>
      </c>
      <c r="W224">
        <f>HYPERLINK("https://klasma.github.io/Logging_1737/klagomålsmail/A 31848-2019 FSC-klagomål mail.docx", "A 31848-2019")</f>
        <v/>
      </c>
      <c r="X224">
        <f>HYPERLINK("https://klasma.github.io/Logging_1737/tillsyn/A 31848-2019 tillsynsbegäran.docx", "A 31848-2019")</f>
        <v/>
      </c>
      <c r="Y224">
        <f>HYPERLINK("https://klasma.github.io/Logging_1737/tillsynsmail/A 31848-2019 tillsynsbegäran mail.docx", "A 31848-2019")</f>
        <v/>
      </c>
    </row>
    <row r="225" ht="15" customHeight="1">
      <c r="A225" t="inlineStr">
        <is>
          <t>A 41355-2019</t>
        </is>
      </c>
      <c r="B225" s="1" t="n">
        <v>43696</v>
      </c>
      <c r="C225" s="1" t="n">
        <v>45213</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 artfynd.xlsx", "A 41355-2019")</f>
        <v/>
      </c>
      <c r="T225">
        <f>HYPERLINK("https://klasma.github.io/Logging_1765/kartor/A 41355-2019 karta.png", "A 41355-2019")</f>
        <v/>
      </c>
      <c r="V225">
        <f>HYPERLINK("https://klasma.github.io/Logging_1765/klagomål/A 41355-2019 FSC-klagomål.docx", "A 41355-2019")</f>
        <v/>
      </c>
      <c r="W225">
        <f>HYPERLINK("https://klasma.github.io/Logging_1765/klagomålsmail/A 41355-2019 FSC-klagomål mail.docx", "A 41355-2019")</f>
        <v/>
      </c>
      <c r="X225">
        <f>HYPERLINK("https://klasma.github.io/Logging_1765/tillsyn/A 41355-2019 tillsynsbegäran.docx", "A 41355-2019")</f>
        <v/>
      </c>
      <c r="Y225">
        <f>HYPERLINK("https://klasma.github.io/Logging_1765/tillsynsmail/A 41355-2019 tillsynsbegäran mail.docx", "A 41355-2019")</f>
        <v/>
      </c>
    </row>
    <row r="226" ht="15" customHeight="1">
      <c r="A226" t="inlineStr">
        <is>
          <t>A 43500-2019</t>
        </is>
      </c>
      <c r="B226" s="1" t="n">
        <v>43706</v>
      </c>
      <c r="C226" s="1" t="n">
        <v>45213</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 artfynd.xlsx", "A 43500-2019")</f>
        <v/>
      </c>
      <c r="T226">
        <f>HYPERLINK("https://klasma.github.io/Logging_1766/kartor/A 43500-2019 karta.png", "A 43500-2019")</f>
        <v/>
      </c>
      <c r="V226">
        <f>HYPERLINK("https://klasma.github.io/Logging_1766/klagomål/A 43500-2019 FSC-klagomål.docx", "A 43500-2019")</f>
        <v/>
      </c>
      <c r="W226">
        <f>HYPERLINK("https://klasma.github.io/Logging_1766/klagomålsmail/A 43500-2019 FSC-klagomål mail.docx", "A 43500-2019")</f>
        <v/>
      </c>
      <c r="X226">
        <f>HYPERLINK("https://klasma.github.io/Logging_1766/tillsyn/A 43500-2019 tillsynsbegäran.docx", "A 43500-2019")</f>
        <v/>
      </c>
      <c r="Y226">
        <f>HYPERLINK("https://klasma.github.io/Logging_1766/tillsynsmail/A 43500-2019 tillsynsbegäran mail.docx", "A 43500-2019")</f>
        <v/>
      </c>
    </row>
    <row r="227" ht="15" customHeight="1">
      <c r="A227" t="inlineStr">
        <is>
          <t>A 45844-2019</t>
        </is>
      </c>
      <c r="B227" s="1" t="n">
        <v>43717</v>
      </c>
      <c r="C227" s="1" t="n">
        <v>45213</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 artfynd.xlsx", "A 45844-2019")</f>
        <v/>
      </c>
      <c r="T227">
        <f>HYPERLINK("https://klasma.github.io/Logging_1737/kartor/A 45844-2019 karta.png", "A 45844-2019")</f>
        <v/>
      </c>
      <c r="V227">
        <f>HYPERLINK("https://klasma.github.io/Logging_1737/klagomål/A 45844-2019 FSC-klagomål.docx", "A 45844-2019")</f>
        <v/>
      </c>
      <c r="W227">
        <f>HYPERLINK("https://klasma.github.io/Logging_1737/klagomålsmail/A 45844-2019 FSC-klagomål mail.docx", "A 45844-2019")</f>
        <v/>
      </c>
      <c r="X227">
        <f>HYPERLINK("https://klasma.github.io/Logging_1737/tillsyn/A 45844-2019 tillsynsbegäran.docx", "A 45844-2019")</f>
        <v/>
      </c>
      <c r="Y227">
        <f>HYPERLINK("https://klasma.github.io/Logging_1737/tillsynsmail/A 45844-2019 tillsynsbegäran mail.docx", "A 45844-2019")</f>
        <v/>
      </c>
    </row>
    <row r="228" ht="15" customHeight="1">
      <c r="A228" t="inlineStr">
        <is>
          <t>A 47192-2019</t>
        </is>
      </c>
      <c r="B228" s="1" t="n">
        <v>43721</v>
      </c>
      <c r="C228" s="1" t="n">
        <v>45213</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 artfynd.xlsx", "A 47192-2019")</f>
        <v/>
      </c>
      <c r="T228">
        <f>HYPERLINK("https://klasma.github.io/Logging_1715/kartor/A 47192-2019 karta.png", "A 47192-2019")</f>
        <v/>
      </c>
      <c r="U228">
        <f>HYPERLINK("https://klasma.github.io/Logging_1715/knärot/A 47192-2019 karta knärot.png", "A 47192-2019")</f>
        <v/>
      </c>
      <c r="V228">
        <f>HYPERLINK("https://klasma.github.io/Logging_1715/klagomål/A 47192-2019 FSC-klagomål.docx", "A 47192-2019")</f>
        <v/>
      </c>
      <c r="W228">
        <f>HYPERLINK("https://klasma.github.io/Logging_1715/klagomålsmail/A 47192-2019 FSC-klagomål mail.docx", "A 47192-2019")</f>
        <v/>
      </c>
      <c r="X228">
        <f>HYPERLINK("https://klasma.github.io/Logging_1715/tillsyn/A 47192-2019 tillsynsbegäran.docx", "A 47192-2019")</f>
        <v/>
      </c>
      <c r="Y228">
        <f>HYPERLINK("https://klasma.github.io/Logging_1715/tillsynsmail/A 47192-2019 tillsynsbegäran mail.docx", "A 47192-2019")</f>
        <v/>
      </c>
    </row>
    <row r="229" ht="15" customHeight="1">
      <c r="A229" t="inlineStr">
        <is>
          <t>A 47423-2019</t>
        </is>
      </c>
      <c r="B229" s="1" t="n">
        <v>43723</v>
      </c>
      <c r="C229" s="1" t="n">
        <v>45213</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 artfynd.xlsx", "A 47423-2019")</f>
        <v/>
      </c>
      <c r="T229">
        <f>HYPERLINK("https://klasma.github.io/Logging_1737/kartor/A 47423-2019 karta.png", "A 47423-2019")</f>
        <v/>
      </c>
      <c r="V229">
        <f>HYPERLINK("https://klasma.github.io/Logging_1737/klagomål/A 47423-2019 FSC-klagomål.docx", "A 47423-2019")</f>
        <v/>
      </c>
      <c r="W229">
        <f>HYPERLINK("https://klasma.github.io/Logging_1737/klagomålsmail/A 47423-2019 FSC-klagomål mail.docx", "A 47423-2019")</f>
        <v/>
      </c>
      <c r="X229">
        <f>HYPERLINK("https://klasma.github.io/Logging_1737/tillsyn/A 47423-2019 tillsynsbegäran.docx", "A 47423-2019")</f>
        <v/>
      </c>
      <c r="Y229">
        <f>HYPERLINK("https://klasma.github.io/Logging_1737/tillsynsmail/A 47423-2019 tillsynsbegäran mail.docx", "A 47423-2019")</f>
        <v/>
      </c>
    </row>
    <row r="230" ht="15" customHeight="1">
      <c r="A230" t="inlineStr">
        <is>
          <t>A 47834-2019</t>
        </is>
      </c>
      <c r="B230" s="1" t="n">
        <v>43725</v>
      </c>
      <c r="C230" s="1" t="n">
        <v>45213</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 artfynd.xlsx", "A 47834-2019")</f>
        <v/>
      </c>
      <c r="T230">
        <f>HYPERLINK("https://klasma.github.io/Logging_1765/kartor/A 47834-2019 karta.png", "A 47834-2019")</f>
        <v/>
      </c>
      <c r="V230">
        <f>HYPERLINK("https://klasma.github.io/Logging_1765/klagomål/A 47834-2019 FSC-klagomål.docx", "A 47834-2019")</f>
        <v/>
      </c>
      <c r="W230">
        <f>HYPERLINK("https://klasma.github.io/Logging_1765/klagomålsmail/A 47834-2019 FSC-klagomål mail.docx", "A 47834-2019")</f>
        <v/>
      </c>
      <c r="X230">
        <f>HYPERLINK("https://klasma.github.io/Logging_1765/tillsyn/A 47834-2019 tillsynsbegäran.docx", "A 47834-2019")</f>
        <v/>
      </c>
      <c r="Y230">
        <f>HYPERLINK("https://klasma.github.io/Logging_1765/tillsynsmail/A 47834-2019 tillsynsbegäran mail.docx", "A 47834-2019")</f>
        <v/>
      </c>
    </row>
    <row r="231" ht="15" customHeight="1">
      <c r="A231" t="inlineStr">
        <is>
          <t>A 48854-2019</t>
        </is>
      </c>
      <c r="B231" s="1" t="n">
        <v>43728</v>
      </c>
      <c r="C231" s="1" t="n">
        <v>45213</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 artfynd.xlsx", "A 48854-2019")</f>
        <v/>
      </c>
      <c r="T231">
        <f>HYPERLINK("https://klasma.github.io/Logging_1784/kartor/A 48854-2019 karta.png", "A 48854-2019")</f>
        <v/>
      </c>
      <c r="U231">
        <f>HYPERLINK("https://klasma.github.io/Logging_1784/knärot/A 48854-2019 karta knärot.png", "A 48854-2019")</f>
        <v/>
      </c>
      <c r="V231">
        <f>HYPERLINK("https://klasma.github.io/Logging_1784/klagomål/A 48854-2019 FSC-klagomål.docx", "A 48854-2019")</f>
        <v/>
      </c>
      <c r="W231">
        <f>HYPERLINK("https://klasma.github.io/Logging_1784/klagomålsmail/A 48854-2019 FSC-klagomål mail.docx", "A 48854-2019")</f>
        <v/>
      </c>
      <c r="X231">
        <f>HYPERLINK("https://klasma.github.io/Logging_1784/tillsyn/A 48854-2019 tillsynsbegäran.docx", "A 48854-2019")</f>
        <v/>
      </c>
      <c r="Y231">
        <f>HYPERLINK("https://klasma.github.io/Logging_1784/tillsynsmail/A 48854-2019 tillsynsbegäran mail.docx", "A 48854-2019")</f>
        <v/>
      </c>
    </row>
    <row r="232" ht="15" customHeight="1">
      <c r="A232" t="inlineStr">
        <is>
          <t>A 49192-2019</t>
        </is>
      </c>
      <c r="B232" s="1" t="n">
        <v>43731</v>
      </c>
      <c r="C232" s="1" t="n">
        <v>45213</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 artfynd.xlsx", "A 49192-2019")</f>
        <v/>
      </c>
      <c r="T232">
        <f>HYPERLINK("https://klasma.github.io/Logging_1765/kartor/A 49192-2019 karta.png", "A 49192-2019")</f>
        <v/>
      </c>
      <c r="V232">
        <f>HYPERLINK("https://klasma.github.io/Logging_1765/klagomål/A 49192-2019 FSC-klagomål.docx", "A 49192-2019")</f>
        <v/>
      </c>
      <c r="W232">
        <f>HYPERLINK("https://klasma.github.io/Logging_1765/klagomålsmail/A 49192-2019 FSC-klagomål mail.docx", "A 49192-2019")</f>
        <v/>
      </c>
      <c r="X232">
        <f>HYPERLINK("https://klasma.github.io/Logging_1765/tillsyn/A 49192-2019 tillsynsbegäran.docx", "A 49192-2019")</f>
        <v/>
      </c>
      <c r="Y232">
        <f>HYPERLINK("https://klasma.github.io/Logging_1765/tillsynsmail/A 49192-2019 tillsynsbegäran mail.docx", "A 49192-2019")</f>
        <v/>
      </c>
    </row>
    <row r="233" ht="15" customHeight="1">
      <c r="A233" t="inlineStr">
        <is>
          <t>A 50261-2019</t>
        </is>
      </c>
      <c r="B233" s="1" t="n">
        <v>43734</v>
      </c>
      <c r="C233" s="1" t="n">
        <v>45213</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 artfynd.xlsx", "A 50261-2019")</f>
        <v/>
      </c>
      <c r="T233">
        <f>HYPERLINK("https://klasma.github.io/Logging_1765/kartor/A 50261-2019 karta.png", "A 50261-2019")</f>
        <v/>
      </c>
      <c r="V233">
        <f>HYPERLINK("https://klasma.github.io/Logging_1765/klagomål/A 50261-2019 FSC-klagomål.docx", "A 50261-2019")</f>
        <v/>
      </c>
      <c r="W233">
        <f>HYPERLINK("https://klasma.github.io/Logging_1765/klagomålsmail/A 50261-2019 FSC-klagomål mail.docx", "A 50261-2019")</f>
        <v/>
      </c>
      <c r="X233">
        <f>HYPERLINK("https://klasma.github.io/Logging_1765/tillsyn/A 50261-2019 tillsynsbegäran.docx", "A 50261-2019")</f>
        <v/>
      </c>
      <c r="Y233">
        <f>HYPERLINK("https://klasma.github.io/Logging_1765/tillsynsmail/A 50261-2019 tillsynsbegäran mail.docx", "A 50261-2019")</f>
        <v/>
      </c>
    </row>
    <row r="234" ht="15" customHeight="1">
      <c r="A234" t="inlineStr">
        <is>
          <t>A 51021-2019</t>
        </is>
      </c>
      <c r="B234" s="1" t="n">
        <v>43739</v>
      </c>
      <c r="C234" s="1" t="n">
        <v>45213</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 artfynd.xlsx", "A 51021-2019")</f>
        <v/>
      </c>
      <c r="T234">
        <f>HYPERLINK("https://klasma.github.io/Logging_1783/kartor/A 51021-2019 karta.png", "A 51021-2019")</f>
        <v/>
      </c>
      <c r="V234">
        <f>HYPERLINK("https://klasma.github.io/Logging_1783/klagomål/A 51021-2019 FSC-klagomål.docx", "A 51021-2019")</f>
        <v/>
      </c>
      <c r="W234">
        <f>HYPERLINK("https://klasma.github.io/Logging_1783/klagomålsmail/A 51021-2019 FSC-klagomål mail.docx", "A 51021-2019")</f>
        <v/>
      </c>
      <c r="X234">
        <f>HYPERLINK("https://klasma.github.io/Logging_1783/tillsyn/A 51021-2019 tillsynsbegäran.docx", "A 51021-2019")</f>
        <v/>
      </c>
      <c r="Y234">
        <f>HYPERLINK("https://klasma.github.io/Logging_1783/tillsynsmail/A 51021-2019 tillsynsbegäran mail.docx", "A 51021-2019")</f>
        <v/>
      </c>
    </row>
    <row r="235" ht="15" customHeight="1">
      <c r="A235" t="inlineStr">
        <is>
          <t>A 53924-2019</t>
        </is>
      </c>
      <c r="B235" s="1" t="n">
        <v>43742</v>
      </c>
      <c r="C235" s="1" t="n">
        <v>45213</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 artfynd.xlsx", "A 53924-2019")</f>
        <v/>
      </c>
      <c r="T235">
        <f>HYPERLINK("https://klasma.github.io/Logging_1737/kartor/A 53924-2019 karta.png", "A 53924-2019")</f>
        <v/>
      </c>
      <c r="V235">
        <f>HYPERLINK("https://klasma.github.io/Logging_1737/klagomål/A 53924-2019 FSC-klagomål.docx", "A 53924-2019")</f>
        <v/>
      </c>
      <c r="W235">
        <f>HYPERLINK("https://klasma.github.io/Logging_1737/klagomålsmail/A 53924-2019 FSC-klagomål mail.docx", "A 53924-2019")</f>
        <v/>
      </c>
      <c r="X235">
        <f>HYPERLINK("https://klasma.github.io/Logging_1737/tillsyn/A 53924-2019 tillsynsbegäran.docx", "A 53924-2019")</f>
        <v/>
      </c>
      <c r="Y235">
        <f>HYPERLINK("https://klasma.github.io/Logging_1737/tillsynsmail/A 53924-2019 tillsynsbegäran mail.docx", "A 53924-2019")</f>
        <v/>
      </c>
    </row>
    <row r="236" ht="15" customHeight="1">
      <c r="A236" t="inlineStr">
        <is>
          <t>A 55931-2019</t>
        </is>
      </c>
      <c r="B236" s="1" t="n">
        <v>43761</v>
      </c>
      <c r="C236" s="1" t="n">
        <v>45213</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 artfynd.xlsx", "A 55931-2019")</f>
        <v/>
      </c>
      <c r="T236">
        <f>HYPERLINK("https://klasma.github.io/Logging_1784/kartor/A 55931-2019 karta.png", "A 55931-2019")</f>
        <v/>
      </c>
      <c r="V236">
        <f>HYPERLINK("https://klasma.github.io/Logging_1784/klagomål/A 55931-2019 FSC-klagomål.docx", "A 55931-2019")</f>
        <v/>
      </c>
      <c r="W236">
        <f>HYPERLINK("https://klasma.github.io/Logging_1784/klagomålsmail/A 55931-2019 FSC-klagomål mail.docx", "A 55931-2019")</f>
        <v/>
      </c>
      <c r="X236">
        <f>HYPERLINK("https://klasma.github.io/Logging_1784/tillsyn/A 55931-2019 tillsynsbegäran.docx", "A 55931-2019")</f>
        <v/>
      </c>
      <c r="Y236">
        <f>HYPERLINK("https://klasma.github.io/Logging_1784/tillsynsmail/A 55931-2019 tillsynsbegäran mail.docx", "A 55931-2019")</f>
        <v/>
      </c>
    </row>
    <row r="237" ht="15" customHeight="1">
      <c r="A237" t="inlineStr">
        <is>
          <t>A 56545-2019</t>
        </is>
      </c>
      <c r="B237" s="1" t="n">
        <v>43763</v>
      </c>
      <c r="C237" s="1" t="n">
        <v>45213</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 artfynd.xlsx", "A 56545-2019")</f>
        <v/>
      </c>
      <c r="T237">
        <f>HYPERLINK("https://klasma.github.io/Logging_1765/kartor/A 56545-2019 karta.png", "A 56545-2019")</f>
        <v/>
      </c>
      <c r="V237">
        <f>HYPERLINK("https://klasma.github.io/Logging_1765/klagomål/A 56545-2019 FSC-klagomål.docx", "A 56545-2019")</f>
        <v/>
      </c>
      <c r="W237">
        <f>HYPERLINK("https://klasma.github.io/Logging_1765/klagomålsmail/A 56545-2019 FSC-klagomål mail.docx", "A 56545-2019")</f>
        <v/>
      </c>
      <c r="X237">
        <f>HYPERLINK("https://klasma.github.io/Logging_1765/tillsyn/A 56545-2019 tillsynsbegäran.docx", "A 56545-2019")</f>
        <v/>
      </c>
      <c r="Y237">
        <f>HYPERLINK("https://klasma.github.io/Logging_1765/tillsynsmail/A 56545-2019 tillsynsbegäran mail.docx", "A 56545-2019")</f>
        <v/>
      </c>
    </row>
    <row r="238" ht="15" customHeight="1">
      <c r="A238" t="inlineStr">
        <is>
          <t>A 57014-2019</t>
        </is>
      </c>
      <c r="B238" s="1" t="n">
        <v>43766</v>
      </c>
      <c r="C238" s="1" t="n">
        <v>45213</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 artfynd.xlsx", "A 57014-2019")</f>
        <v/>
      </c>
      <c r="T238">
        <f>HYPERLINK("https://klasma.github.io/Logging_1730/kartor/A 57014-2019 karta.png", "A 57014-2019")</f>
        <v/>
      </c>
      <c r="V238">
        <f>HYPERLINK("https://klasma.github.io/Logging_1730/klagomål/A 57014-2019 FSC-klagomål.docx", "A 57014-2019")</f>
        <v/>
      </c>
      <c r="W238">
        <f>HYPERLINK("https://klasma.github.io/Logging_1730/klagomålsmail/A 57014-2019 FSC-klagomål mail.docx", "A 57014-2019")</f>
        <v/>
      </c>
      <c r="X238">
        <f>HYPERLINK("https://klasma.github.io/Logging_1730/tillsyn/A 57014-2019 tillsynsbegäran.docx", "A 57014-2019")</f>
        <v/>
      </c>
      <c r="Y238">
        <f>HYPERLINK("https://klasma.github.io/Logging_1730/tillsynsmail/A 57014-2019 tillsynsbegäran mail.docx", "A 57014-2019")</f>
        <v/>
      </c>
    </row>
    <row r="239" ht="15" customHeight="1">
      <c r="A239" t="inlineStr">
        <is>
          <t>A 63767-2019</t>
        </is>
      </c>
      <c r="B239" s="1" t="n">
        <v>43795</v>
      </c>
      <c r="C239" s="1" t="n">
        <v>45213</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 artfynd.xlsx", "A 63767-2019")</f>
        <v/>
      </c>
      <c r="T239">
        <f>HYPERLINK("https://klasma.github.io/Logging_1737/kartor/A 63767-2019 karta.png", "A 63767-2019")</f>
        <v/>
      </c>
      <c r="V239">
        <f>HYPERLINK("https://klasma.github.io/Logging_1737/klagomål/A 63767-2019 FSC-klagomål.docx", "A 63767-2019")</f>
        <v/>
      </c>
      <c r="W239">
        <f>HYPERLINK("https://klasma.github.io/Logging_1737/klagomålsmail/A 63767-2019 FSC-klagomål mail.docx", "A 63767-2019")</f>
        <v/>
      </c>
      <c r="X239">
        <f>HYPERLINK("https://klasma.github.io/Logging_1737/tillsyn/A 63767-2019 tillsynsbegäran.docx", "A 63767-2019")</f>
        <v/>
      </c>
      <c r="Y239">
        <f>HYPERLINK("https://klasma.github.io/Logging_1737/tillsynsmail/A 63767-2019 tillsynsbegäran mail.docx", "A 63767-2019")</f>
        <v/>
      </c>
    </row>
    <row r="240" ht="15" customHeight="1">
      <c r="A240" t="inlineStr">
        <is>
          <t>A 65129-2019</t>
        </is>
      </c>
      <c r="B240" s="1" t="n">
        <v>43802</v>
      </c>
      <c r="C240" s="1" t="n">
        <v>45213</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 artfynd.xlsx", "A 65129-2019")</f>
        <v/>
      </c>
      <c r="T240">
        <f>HYPERLINK("https://klasma.github.io/Logging_1737/kartor/A 65129-2019 karta.png", "A 65129-2019")</f>
        <v/>
      </c>
      <c r="V240">
        <f>HYPERLINK("https://klasma.github.io/Logging_1737/klagomål/A 65129-2019 FSC-klagomål.docx", "A 65129-2019")</f>
        <v/>
      </c>
      <c r="W240">
        <f>HYPERLINK("https://klasma.github.io/Logging_1737/klagomålsmail/A 65129-2019 FSC-klagomål mail.docx", "A 65129-2019")</f>
        <v/>
      </c>
      <c r="X240">
        <f>HYPERLINK("https://klasma.github.io/Logging_1737/tillsyn/A 65129-2019 tillsynsbegäran.docx", "A 65129-2019")</f>
        <v/>
      </c>
      <c r="Y240">
        <f>HYPERLINK("https://klasma.github.io/Logging_1737/tillsynsmail/A 65129-2019 tillsynsbegäran mail.docx", "A 65129-2019")</f>
        <v/>
      </c>
    </row>
    <row r="241" ht="15" customHeight="1">
      <c r="A241" t="inlineStr">
        <is>
          <t>A 65258-2019</t>
        </is>
      </c>
      <c r="B241" s="1" t="n">
        <v>43802</v>
      </c>
      <c r="C241" s="1" t="n">
        <v>45213</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 artfynd.xlsx", "A 65258-2019")</f>
        <v/>
      </c>
      <c r="T241">
        <f>HYPERLINK("https://klasma.github.io/Logging_1782/kartor/A 65258-2019 karta.png", "A 65258-2019")</f>
        <v/>
      </c>
      <c r="V241">
        <f>HYPERLINK("https://klasma.github.io/Logging_1782/klagomål/A 65258-2019 FSC-klagomål.docx", "A 65258-2019")</f>
        <v/>
      </c>
      <c r="W241">
        <f>HYPERLINK("https://klasma.github.io/Logging_1782/klagomålsmail/A 65258-2019 FSC-klagomål mail.docx", "A 65258-2019")</f>
        <v/>
      </c>
      <c r="X241">
        <f>HYPERLINK("https://klasma.github.io/Logging_1782/tillsyn/A 65258-2019 tillsynsbegäran.docx", "A 65258-2019")</f>
        <v/>
      </c>
      <c r="Y241">
        <f>HYPERLINK("https://klasma.github.io/Logging_1782/tillsynsmail/A 65258-2019 tillsynsbegäran mail.docx", "A 65258-2019")</f>
        <v/>
      </c>
    </row>
    <row r="242" ht="15" customHeight="1">
      <c r="A242" t="inlineStr">
        <is>
          <t>A 66238-2019</t>
        </is>
      </c>
      <c r="B242" s="1" t="n">
        <v>43808</v>
      </c>
      <c r="C242" s="1" t="n">
        <v>45213</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 artfynd.xlsx", "A 66238-2019")</f>
        <v/>
      </c>
      <c r="T242">
        <f>HYPERLINK("https://klasma.github.io/Logging_1766/kartor/A 66238-2019 karta.png", "A 66238-2019")</f>
        <v/>
      </c>
      <c r="U242">
        <f>HYPERLINK("https://klasma.github.io/Logging_1766/knärot/A 66238-2019 karta knärot.png", "A 66238-2019")</f>
        <v/>
      </c>
      <c r="V242">
        <f>HYPERLINK("https://klasma.github.io/Logging_1766/klagomål/A 66238-2019 FSC-klagomål.docx", "A 66238-2019")</f>
        <v/>
      </c>
      <c r="W242">
        <f>HYPERLINK("https://klasma.github.io/Logging_1766/klagomålsmail/A 66238-2019 FSC-klagomål mail.docx", "A 66238-2019")</f>
        <v/>
      </c>
      <c r="X242">
        <f>HYPERLINK("https://klasma.github.io/Logging_1766/tillsyn/A 66238-2019 tillsynsbegäran.docx", "A 66238-2019")</f>
        <v/>
      </c>
      <c r="Y242">
        <f>HYPERLINK("https://klasma.github.io/Logging_1766/tillsynsmail/A 66238-2019 tillsynsbegäran mail.docx", "A 66238-2019")</f>
        <v/>
      </c>
    </row>
    <row r="243" ht="15" customHeight="1">
      <c r="A243" t="inlineStr">
        <is>
          <t>A 1731-2020</t>
        </is>
      </c>
      <c r="B243" s="1" t="n">
        <v>43832</v>
      </c>
      <c r="C243" s="1" t="n">
        <v>45213</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 artfynd.xlsx", "A 1731-2020")</f>
        <v/>
      </c>
      <c r="T243">
        <f>HYPERLINK("https://klasma.github.io/Logging_1784/kartor/A 1731-2020 karta.png", "A 1731-2020")</f>
        <v/>
      </c>
      <c r="V243">
        <f>HYPERLINK("https://klasma.github.io/Logging_1784/klagomål/A 1731-2020 FSC-klagomål.docx", "A 1731-2020")</f>
        <v/>
      </c>
      <c r="W243">
        <f>HYPERLINK("https://klasma.github.io/Logging_1784/klagomålsmail/A 1731-2020 FSC-klagomål mail.docx", "A 1731-2020")</f>
        <v/>
      </c>
      <c r="X243">
        <f>HYPERLINK("https://klasma.github.io/Logging_1784/tillsyn/A 1731-2020 tillsynsbegäran.docx", "A 1731-2020")</f>
        <v/>
      </c>
      <c r="Y243">
        <f>HYPERLINK("https://klasma.github.io/Logging_1784/tillsynsmail/A 1731-2020 tillsynsbegäran mail.docx", "A 1731-2020")</f>
        <v/>
      </c>
    </row>
    <row r="244" ht="15" customHeight="1">
      <c r="A244" t="inlineStr">
        <is>
          <t>A 238-2020</t>
        </is>
      </c>
      <c r="B244" s="1" t="n">
        <v>43835</v>
      </c>
      <c r="C244" s="1" t="n">
        <v>45213</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 artfynd.xlsx", "A 238-2020")</f>
        <v/>
      </c>
      <c r="T244">
        <f>HYPERLINK("https://klasma.github.io/Logging_1784/kartor/A 238-2020 karta.png", "A 238-2020")</f>
        <v/>
      </c>
      <c r="U244">
        <f>HYPERLINK("https://klasma.github.io/Logging_1784/knärot/A 238-2020 karta knärot.png", "A 238-2020")</f>
        <v/>
      </c>
      <c r="V244">
        <f>HYPERLINK("https://klasma.github.io/Logging_1784/klagomål/A 238-2020 FSC-klagomål.docx", "A 238-2020")</f>
        <v/>
      </c>
      <c r="W244">
        <f>HYPERLINK("https://klasma.github.io/Logging_1784/klagomålsmail/A 238-2020 FSC-klagomål mail.docx", "A 238-2020")</f>
        <v/>
      </c>
      <c r="X244">
        <f>HYPERLINK("https://klasma.github.io/Logging_1784/tillsyn/A 238-2020 tillsynsbegäran.docx", "A 238-2020")</f>
        <v/>
      </c>
      <c r="Y244">
        <f>HYPERLINK("https://klasma.github.io/Logging_1784/tillsynsmail/A 238-2020 tillsynsbegäran mail.docx", "A 238-2020")</f>
        <v/>
      </c>
    </row>
    <row r="245" ht="15" customHeight="1">
      <c r="A245" t="inlineStr">
        <is>
          <t>A 2116-2020</t>
        </is>
      </c>
      <c r="B245" s="1" t="n">
        <v>43839</v>
      </c>
      <c r="C245" s="1" t="n">
        <v>45213</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 artfynd.xlsx", "A 2116-2020")</f>
        <v/>
      </c>
      <c r="T245">
        <f>HYPERLINK("https://klasma.github.io/Logging_1765/kartor/A 2116-2020 karta.png", "A 2116-2020")</f>
        <v/>
      </c>
      <c r="V245">
        <f>HYPERLINK("https://klasma.github.io/Logging_1765/klagomål/A 2116-2020 FSC-klagomål.docx", "A 2116-2020")</f>
        <v/>
      </c>
      <c r="W245">
        <f>HYPERLINK("https://klasma.github.io/Logging_1765/klagomålsmail/A 2116-2020 FSC-klagomål mail.docx", "A 2116-2020")</f>
        <v/>
      </c>
      <c r="X245">
        <f>HYPERLINK("https://klasma.github.io/Logging_1765/tillsyn/A 2116-2020 tillsynsbegäran.docx", "A 2116-2020")</f>
        <v/>
      </c>
      <c r="Y245">
        <f>HYPERLINK("https://klasma.github.io/Logging_1765/tillsynsmail/A 2116-2020 tillsynsbegäran mail.docx", "A 2116-2020")</f>
        <v/>
      </c>
    </row>
    <row r="246" ht="15" customHeight="1">
      <c r="A246" t="inlineStr">
        <is>
          <t>A 6299-2020</t>
        </is>
      </c>
      <c r="B246" s="1" t="n">
        <v>43866</v>
      </c>
      <c r="C246" s="1" t="n">
        <v>45213</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 artfynd.xlsx", "A 6299-2020")</f>
        <v/>
      </c>
      <c r="T246">
        <f>HYPERLINK("https://klasma.github.io/Logging_1780/kartor/A 6299-2020 karta.png", "A 6299-2020")</f>
        <v/>
      </c>
      <c r="V246">
        <f>HYPERLINK("https://klasma.github.io/Logging_1780/klagomål/A 6299-2020 FSC-klagomål.docx", "A 6299-2020")</f>
        <v/>
      </c>
      <c r="W246">
        <f>HYPERLINK("https://klasma.github.io/Logging_1780/klagomålsmail/A 6299-2020 FSC-klagomål mail.docx", "A 6299-2020")</f>
        <v/>
      </c>
      <c r="X246">
        <f>HYPERLINK("https://klasma.github.io/Logging_1780/tillsyn/A 6299-2020 tillsynsbegäran.docx", "A 6299-2020")</f>
        <v/>
      </c>
      <c r="Y246">
        <f>HYPERLINK("https://klasma.github.io/Logging_1780/tillsynsmail/A 6299-2020 tillsynsbegäran mail.docx", "A 6299-2020")</f>
        <v/>
      </c>
    </row>
    <row r="247" ht="15" customHeight="1">
      <c r="A247" t="inlineStr">
        <is>
          <t>A 9585-2020</t>
        </is>
      </c>
      <c r="B247" s="1" t="n">
        <v>43878</v>
      </c>
      <c r="C247" s="1" t="n">
        <v>45213</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 artfynd.xlsx", "A 9585-2020")</f>
        <v/>
      </c>
      <c r="T247">
        <f>HYPERLINK("https://klasma.github.io/Logging_1766/kartor/A 9585-2020 karta.png", "A 9585-2020")</f>
        <v/>
      </c>
      <c r="V247">
        <f>HYPERLINK("https://klasma.github.io/Logging_1766/klagomål/A 9585-2020 FSC-klagomål.docx", "A 9585-2020")</f>
        <v/>
      </c>
      <c r="W247">
        <f>HYPERLINK("https://klasma.github.io/Logging_1766/klagomålsmail/A 9585-2020 FSC-klagomål mail.docx", "A 9585-2020")</f>
        <v/>
      </c>
      <c r="X247">
        <f>HYPERLINK("https://klasma.github.io/Logging_1766/tillsyn/A 9585-2020 tillsynsbegäran.docx", "A 9585-2020")</f>
        <v/>
      </c>
      <c r="Y247">
        <f>HYPERLINK("https://klasma.github.io/Logging_1766/tillsynsmail/A 9585-2020 tillsynsbegäran mail.docx", "A 9585-2020")</f>
        <v/>
      </c>
    </row>
    <row r="248" ht="15" customHeight="1">
      <c r="A248" t="inlineStr">
        <is>
          <t>A 9988-2020</t>
        </is>
      </c>
      <c r="B248" s="1" t="n">
        <v>43882</v>
      </c>
      <c r="C248" s="1" t="n">
        <v>45213</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 artfynd.xlsx", "A 9988-2020")</f>
        <v/>
      </c>
      <c r="T248">
        <f>HYPERLINK("https://klasma.github.io/Logging_1766/kartor/A 9988-2020 karta.png", "A 9988-2020")</f>
        <v/>
      </c>
      <c r="V248">
        <f>HYPERLINK("https://klasma.github.io/Logging_1766/klagomål/A 9988-2020 FSC-klagomål.docx", "A 9988-2020")</f>
        <v/>
      </c>
      <c r="W248">
        <f>HYPERLINK("https://klasma.github.io/Logging_1766/klagomålsmail/A 9988-2020 FSC-klagomål mail.docx", "A 9988-2020")</f>
        <v/>
      </c>
      <c r="X248">
        <f>HYPERLINK("https://klasma.github.io/Logging_1766/tillsyn/A 9988-2020 tillsynsbegäran.docx", "A 9988-2020")</f>
        <v/>
      </c>
      <c r="Y248">
        <f>HYPERLINK("https://klasma.github.io/Logging_1766/tillsynsmail/A 9988-2020 tillsynsbegäran mail.docx", "A 9988-2020")</f>
        <v/>
      </c>
    </row>
    <row r="249" ht="15" customHeight="1">
      <c r="A249" t="inlineStr">
        <is>
          <t>A 10040-2020</t>
        </is>
      </c>
      <c r="B249" s="1" t="n">
        <v>43882</v>
      </c>
      <c r="C249" s="1" t="n">
        <v>45213</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 artfynd.xlsx", "A 10040-2020")</f>
        <v/>
      </c>
      <c r="T249">
        <f>HYPERLINK("https://klasma.github.io/Logging_1785/kartor/A 10040-2020 karta.png", "A 10040-2020")</f>
        <v/>
      </c>
      <c r="V249">
        <f>HYPERLINK("https://klasma.github.io/Logging_1785/klagomål/A 10040-2020 FSC-klagomål.docx", "A 10040-2020")</f>
        <v/>
      </c>
      <c r="W249">
        <f>HYPERLINK("https://klasma.github.io/Logging_1785/klagomålsmail/A 10040-2020 FSC-klagomål mail.docx", "A 10040-2020")</f>
        <v/>
      </c>
      <c r="X249">
        <f>HYPERLINK("https://klasma.github.io/Logging_1785/tillsyn/A 10040-2020 tillsynsbegäran.docx", "A 10040-2020")</f>
        <v/>
      </c>
      <c r="Y249">
        <f>HYPERLINK("https://klasma.github.io/Logging_1785/tillsynsmail/A 10040-2020 tillsynsbegäran mail.docx", "A 10040-2020")</f>
        <v/>
      </c>
    </row>
    <row r="250" ht="15" customHeight="1">
      <c r="A250" t="inlineStr">
        <is>
          <t>A 10858-2020</t>
        </is>
      </c>
      <c r="B250" s="1" t="n">
        <v>43889</v>
      </c>
      <c r="C250" s="1" t="n">
        <v>45213</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 artfynd.xlsx", "A 10858-2020")</f>
        <v/>
      </c>
      <c r="T250">
        <f>HYPERLINK("https://klasma.github.io/Logging_1784/kartor/A 10858-2020 karta.png", "A 10858-2020")</f>
        <v/>
      </c>
      <c r="V250">
        <f>HYPERLINK("https://klasma.github.io/Logging_1784/klagomål/A 10858-2020 FSC-klagomål.docx", "A 10858-2020")</f>
        <v/>
      </c>
      <c r="W250">
        <f>HYPERLINK("https://klasma.github.io/Logging_1784/klagomålsmail/A 10858-2020 FSC-klagomål mail.docx", "A 10858-2020")</f>
        <v/>
      </c>
      <c r="X250">
        <f>HYPERLINK("https://klasma.github.io/Logging_1784/tillsyn/A 10858-2020 tillsynsbegäran.docx", "A 10858-2020")</f>
        <v/>
      </c>
      <c r="Y250">
        <f>HYPERLINK("https://klasma.github.io/Logging_1784/tillsynsmail/A 10858-2020 tillsynsbegäran mail.docx", "A 10858-2020")</f>
        <v/>
      </c>
    </row>
    <row r="251" ht="15" customHeight="1">
      <c r="A251" t="inlineStr">
        <is>
          <t>A 13461-2020</t>
        </is>
      </c>
      <c r="B251" s="1" t="n">
        <v>43902</v>
      </c>
      <c r="C251" s="1" t="n">
        <v>45213</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 artfynd.xlsx", "A 13461-2020")</f>
        <v/>
      </c>
      <c r="T251">
        <f>HYPERLINK("https://klasma.github.io/Logging_1784/kartor/A 13461-2020 karta.png", "A 13461-2020")</f>
        <v/>
      </c>
      <c r="U251">
        <f>HYPERLINK("https://klasma.github.io/Logging_1784/knärot/A 13461-2020 karta knärot.png", "A 13461-2020")</f>
        <v/>
      </c>
      <c r="V251">
        <f>HYPERLINK("https://klasma.github.io/Logging_1784/klagomål/A 13461-2020 FSC-klagomål.docx", "A 13461-2020")</f>
        <v/>
      </c>
      <c r="W251">
        <f>HYPERLINK("https://klasma.github.io/Logging_1784/klagomålsmail/A 13461-2020 FSC-klagomål mail.docx", "A 13461-2020")</f>
        <v/>
      </c>
      <c r="X251">
        <f>HYPERLINK("https://klasma.github.io/Logging_1784/tillsyn/A 13461-2020 tillsynsbegäran.docx", "A 13461-2020")</f>
        <v/>
      </c>
      <c r="Y251">
        <f>HYPERLINK("https://klasma.github.io/Logging_1784/tillsynsmail/A 13461-2020 tillsynsbegäran mail.docx", "A 13461-2020")</f>
        <v/>
      </c>
    </row>
    <row r="252" ht="15" customHeight="1">
      <c r="A252" t="inlineStr">
        <is>
          <t>A 16031-2020</t>
        </is>
      </c>
      <c r="B252" s="1" t="n">
        <v>43915</v>
      </c>
      <c r="C252" s="1" t="n">
        <v>45213</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 artfynd.xlsx", "A 16031-2020")</f>
        <v/>
      </c>
      <c r="T252">
        <f>HYPERLINK("https://klasma.github.io/Logging_1781/kartor/A 16031-2020 karta.png", "A 16031-2020")</f>
        <v/>
      </c>
      <c r="V252">
        <f>HYPERLINK("https://klasma.github.io/Logging_1781/klagomål/A 16031-2020 FSC-klagomål.docx", "A 16031-2020")</f>
        <v/>
      </c>
      <c r="W252">
        <f>HYPERLINK("https://klasma.github.io/Logging_1781/klagomålsmail/A 16031-2020 FSC-klagomål mail.docx", "A 16031-2020")</f>
        <v/>
      </c>
      <c r="X252">
        <f>HYPERLINK("https://klasma.github.io/Logging_1781/tillsyn/A 16031-2020 tillsynsbegäran.docx", "A 16031-2020")</f>
        <v/>
      </c>
      <c r="Y252">
        <f>HYPERLINK("https://klasma.github.io/Logging_1781/tillsynsmail/A 16031-2020 tillsynsbegäran mail.docx", "A 16031-2020")</f>
        <v/>
      </c>
    </row>
    <row r="253" ht="15" customHeight="1">
      <c r="A253" t="inlineStr">
        <is>
          <t>A 18075-2020</t>
        </is>
      </c>
      <c r="B253" s="1" t="n">
        <v>43927</v>
      </c>
      <c r="C253" s="1" t="n">
        <v>45213</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 artfynd.xlsx", "A 18075-2020")</f>
        <v/>
      </c>
      <c r="T253">
        <f>HYPERLINK("https://klasma.github.io/Logging_1780/kartor/A 18075-2020 karta.png", "A 18075-2020")</f>
        <v/>
      </c>
      <c r="V253">
        <f>HYPERLINK("https://klasma.github.io/Logging_1780/klagomål/A 18075-2020 FSC-klagomål.docx", "A 18075-2020")</f>
        <v/>
      </c>
      <c r="W253">
        <f>HYPERLINK("https://klasma.github.io/Logging_1780/klagomålsmail/A 18075-2020 FSC-klagomål mail.docx", "A 18075-2020")</f>
        <v/>
      </c>
      <c r="X253">
        <f>HYPERLINK("https://klasma.github.io/Logging_1780/tillsyn/A 18075-2020 tillsynsbegäran.docx", "A 18075-2020")</f>
        <v/>
      </c>
      <c r="Y253">
        <f>HYPERLINK("https://klasma.github.io/Logging_1780/tillsynsmail/A 18075-2020 tillsynsbegäran mail.docx", "A 18075-2020")</f>
        <v/>
      </c>
    </row>
    <row r="254" ht="15" customHeight="1">
      <c r="A254" t="inlineStr">
        <is>
          <t>A 22217-2020</t>
        </is>
      </c>
      <c r="B254" s="1" t="n">
        <v>43955</v>
      </c>
      <c r="C254" s="1" t="n">
        <v>45213</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 artfynd.xlsx", "A 22217-2020")</f>
        <v/>
      </c>
      <c r="T254">
        <f>HYPERLINK("https://klasma.github.io/Logging_1781/kartor/A 22217-2020 karta.png", "A 22217-2020")</f>
        <v/>
      </c>
      <c r="V254">
        <f>HYPERLINK("https://klasma.github.io/Logging_1781/klagomål/A 22217-2020 FSC-klagomål.docx", "A 22217-2020")</f>
        <v/>
      </c>
      <c r="W254">
        <f>HYPERLINK("https://klasma.github.io/Logging_1781/klagomålsmail/A 22217-2020 FSC-klagomål mail.docx", "A 22217-2020")</f>
        <v/>
      </c>
      <c r="X254">
        <f>HYPERLINK("https://klasma.github.io/Logging_1781/tillsyn/A 22217-2020 tillsynsbegäran.docx", "A 22217-2020")</f>
        <v/>
      </c>
      <c r="Y254">
        <f>HYPERLINK("https://klasma.github.io/Logging_1781/tillsynsmail/A 22217-2020 tillsynsbegäran mail.docx", "A 22217-2020")</f>
        <v/>
      </c>
    </row>
    <row r="255" ht="15" customHeight="1">
      <c r="A255" t="inlineStr">
        <is>
          <t>A 28368-2020</t>
        </is>
      </c>
      <c r="B255" s="1" t="n">
        <v>43998</v>
      </c>
      <c r="C255" s="1" t="n">
        <v>45213</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 artfynd.xlsx", "A 28368-2020")</f>
        <v/>
      </c>
      <c r="T255">
        <f>HYPERLINK("https://klasma.github.io/Logging_1780/kartor/A 28368-2020 karta.png", "A 28368-2020")</f>
        <v/>
      </c>
      <c r="V255">
        <f>HYPERLINK("https://klasma.github.io/Logging_1780/klagomål/A 28368-2020 FSC-klagomål.docx", "A 28368-2020")</f>
        <v/>
      </c>
      <c r="W255">
        <f>HYPERLINK("https://klasma.github.io/Logging_1780/klagomålsmail/A 28368-2020 FSC-klagomål mail.docx", "A 28368-2020")</f>
        <v/>
      </c>
      <c r="X255">
        <f>HYPERLINK("https://klasma.github.io/Logging_1780/tillsyn/A 28368-2020 tillsynsbegäran.docx", "A 28368-2020")</f>
        <v/>
      </c>
      <c r="Y255">
        <f>HYPERLINK("https://klasma.github.io/Logging_1780/tillsynsmail/A 28368-2020 tillsynsbegäran mail.docx", "A 28368-2020")</f>
        <v/>
      </c>
    </row>
    <row r="256" ht="15" customHeight="1">
      <c r="A256" t="inlineStr">
        <is>
          <t>A 30729-2020</t>
        </is>
      </c>
      <c r="B256" s="1" t="n">
        <v>44008</v>
      </c>
      <c r="C256" s="1" t="n">
        <v>45213</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 artfynd.xlsx", "A 30729-2020")</f>
        <v/>
      </c>
      <c r="T256">
        <f>HYPERLINK("https://klasma.github.io/Logging_1784/kartor/A 30729-2020 karta.png", "A 30729-2020")</f>
        <v/>
      </c>
      <c r="U256">
        <f>HYPERLINK("https://klasma.github.io/Logging_1784/knärot/A 30729-2020 karta knärot.png", "A 30729-2020")</f>
        <v/>
      </c>
      <c r="V256">
        <f>HYPERLINK("https://klasma.github.io/Logging_1784/klagomål/A 30729-2020 FSC-klagomål.docx", "A 30729-2020")</f>
        <v/>
      </c>
      <c r="W256">
        <f>HYPERLINK("https://klasma.github.io/Logging_1784/klagomålsmail/A 30729-2020 FSC-klagomål mail.docx", "A 30729-2020")</f>
        <v/>
      </c>
      <c r="X256">
        <f>HYPERLINK("https://klasma.github.io/Logging_1784/tillsyn/A 30729-2020 tillsynsbegäran.docx", "A 30729-2020")</f>
        <v/>
      </c>
      <c r="Y256">
        <f>HYPERLINK("https://klasma.github.io/Logging_1784/tillsynsmail/A 30729-2020 tillsynsbegäran mail.docx", "A 30729-2020")</f>
        <v/>
      </c>
    </row>
    <row r="257" ht="15" customHeight="1">
      <c r="A257" t="inlineStr">
        <is>
          <t>A 34409-2020</t>
        </is>
      </c>
      <c r="B257" s="1" t="n">
        <v>44029</v>
      </c>
      <c r="C257" s="1" t="n">
        <v>45213</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 artfynd.xlsx", "A 34409-2020")</f>
        <v/>
      </c>
      <c r="T257">
        <f>HYPERLINK("https://klasma.github.io/Logging_1760/kartor/A 34409-2020 karta.png", "A 34409-2020")</f>
        <v/>
      </c>
      <c r="V257">
        <f>HYPERLINK("https://klasma.github.io/Logging_1760/klagomål/A 34409-2020 FSC-klagomål.docx", "A 34409-2020")</f>
        <v/>
      </c>
      <c r="W257">
        <f>HYPERLINK("https://klasma.github.io/Logging_1760/klagomålsmail/A 34409-2020 FSC-klagomål mail.docx", "A 34409-2020")</f>
        <v/>
      </c>
      <c r="X257">
        <f>HYPERLINK("https://klasma.github.io/Logging_1760/tillsyn/A 34409-2020 tillsynsbegäran.docx", "A 34409-2020")</f>
        <v/>
      </c>
      <c r="Y257">
        <f>HYPERLINK("https://klasma.github.io/Logging_1760/tillsynsmail/A 34409-2020 tillsynsbegäran mail.docx", "A 34409-2020")</f>
        <v/>
      </c>
    </row>
    <row r="258" ht="15" customHeight="1">
      <c r="A258" t="inlineStr">
        <is>
          <t>A 34769-2020</t>
        </is>
      </c>
      <c r="B258" s="1" t="n">
        <v>44035</v>
      </c>
      <c r="C258" s="1" t="n">
        <v>45213</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 artfynd.xlsx", "A 34769-2020")</f>
        <v/>
      </c>
      <c r="T258">
        <f>HYPERLINK("https://klasma.github.io/Logging_1784/kartor/A 34769-2020 karta.png", "A 34769-2020")</f>
        <v/>
      </c>
      <c r="U258">
        <f>HYPERLINK("https://klasma.github.io/Logging_1784/knärot/A 34769-2020 karta knärot.png", "A 34769-2020")</f>
        <v/>
      </c>
      <c r="V258">
        <f>HYPERLINK("https://klasma.github.io/Logging_1784/klagomål/A 34769-2020 FSC-klagomål.docx", "A 34769-2020")</f>
        <v/>
      </c>
      <c r="W258">
        <f>HYPERLINK("https://klasma.github.io/Logging_1784/klagomålsmail/A 34769-2020 FSC-klagomål mail.docx", "A 34769-2020")</f>
        <v/>
      </c>
      <c r="X258">
        <f>HYPERLINK("https://klasma.github.io/Logging_1784/tillsyn/A 34769-2020 tillsynsbegäran.docx", "A 34769-2020")</f>
        <v/>
      </c>
      <c r="Y258">
        <f>HYPERLINK("https://klasma.github.io/Logging_1784/tillsynsmail/A 34769-2020 tillsynsbegäran mail.docx", "A 34769-2020")</f>
        <v/>
      </c>
    </row>
    <row r="259" ht="15" customHeight="1">
      <c r="A259" t="inlineStr">
        <is>
          <t>A 35546-2020</t>
        </is>
      </c>
      <c r="B259" s="1" t="n">
        <v>44043</v>
      </c>
      <c r="C259" s="1" t="n">
        <v>45213</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 artfynd.xlsx", "A 35546-2020")</f>
        <v/>
      </c>
      <c r="T259">
        <f>HYPERLINK("https://klasma.github.io/Logging_1785/kartor/A 35546-2020 karta.png", "A 35546-2020")</f>
        <v/>
      </c>
      <c r="V259">
        <f>HYPERLINK("https://klasma.github.io/Logging_1785/klagomål/A 35546-2020 FSC-klagomål.docx", "A 35546-2020")</f>
        <v/>
      </c>
      <c r="W259">
        <f>HYPERLINK("https://klasma.github.io/Logging_1785/klagomålsmail/A 35546-2020 FSC-klagomål mail.docx", "A 35546-2020")</f>
        <v/>
      </c>
      <c r="X259">
        <f>HYPERLINK("https://klasma.github.io/Logging_1785/tillsyn/A 35546-2020 tillsynsbegäran.docx", "A 35546-2020")</f>
        <v/>
      </c>
      <c r="Y259">
        <f>HYPERLINK("https://klasma.github.io/Logging_1785/tillsynsmail/A 35546-2020 tillsynsbegäran mail.docx", "A 35546-2020")</f>
        <v/>
      </c>
    </row>
    <row r="260" ht="15" customHeight="1">
      <c r="A260" t="inlineStr">
        <is>
          <t>A 36585-2020</t>
        </is>
      </c>
      <c r="B260" s="1" t="n">
        <v>44050</v>
      </c>
      <c r="C260" s="1" t="n">
        <v>45213</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 artfynd.xlsx", "A 36585-2020")</f>
        <v/>
      </c>
      <c r="T260">
        <f>HYPERLINK("https://klasma.github.io/Logging_1765/kartor/A 36585-2020 karta.png", "A 36585-2020")</f>
        <v/>
      </c>
      <c r="V260">
        <f>HYPERLINK("https://klasma.github.io/Logging_1765/klagomål/A 36585-2020 FSC-klagomål.docx", "A 36585-2020")</f>
        <v/>
      </c>
      <c r="W260">
        <f>HYPERLINK("https://klasma.github.io/Logging_1765/klagomålsmail/A 36585-2020 FSC-klagomål mail.docx", "A 36585-2020")</f>
        <v/>
      </c>
      <c r="X260">
        <f>HYPERLINK("https://klasma.github.io/Logging_1765/tillsyn/A 36585-2020 tillsynsbegäran.docx", "A 36585-2020")</f>
        <v/>
      </c>
      <c r="Y260">
        <f>HYPERLINK("https://klasma.github.io/Logging_1765/tillsynsmail/A 36585-2020 tillsynsbegäran mail.docx", "A 36585-2020")</f>
        <v/>
      </c>
    </row>
    <row r="261" ht="15" customHeight="1">
      <c r="A261" t="inlineStr">
        <is>
          <t>A 36688-2020</t>
        </is>
      </c>
      <c r="B261" s="1" t="n">
        <v>44052</v>
      </c>
      <c r="C261" s="1" t="n">
        <v>45213</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 artfynd.xlsx", "A 36688-2020")</f>
        <v/>
      </c>
      <c r="T261">
        <f>HYPERLINK("https://klasma.github.io/Logging_1784/kartor/A 36688-2020 karta.png", "A 36688-2020")</f>
        <v/>
      </c>
      <c r="U261">
        <f>HYPERLINK("https://klasma.github.io/Logging_1784/knärot/A 36688-2020 karta knärot.png", "A 36688-2020")</f>
        <v/>
      </c>
      <c r="V261">
        <f>HYPERLINK("https://klasma.github.io/Logging_1784/klagomål/A 36688-2020 FSC-klagomål.docx", "A 36688-2020")</f>
        <v/>
      </c>
      <c r="W261">
        <f>HYPERLINK("https://klasma.github.io/Logging_1784/klagomålsmail/A 36688-2020 FSC-klagomål mail.docx", "A 36688-2020")</f>
        <v/>
      </c>
      <c r="X261">
        <f>HYPERLINK("https://klasma.github.io/Logging_1784/tillsyn/A 36688-2020 tillsynsbegäran.docx", "A 36688-2020")</f>
        <v/>
      </c>
      <c r="Y261">
        <f>HYPERLINK("https://klasma.github.io/Logging_1784/tillsynsmail/A 36688-2020 tillsynsbegäran mail.docx", "A 36688-2020")</f>
        <v/>
      </c>
    </row>
    <row r="262" ht="15" customHeight="1">
      <c r="A262" t="inlineStr">
        <is>
          <t>A 37035-2020</t>
        </is>
      </c>
      <c r="B262" s="1" t="n">
        <v>44054</v>
      </c>
      <c r="C262" s="1" t="n">
        <v>45213</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 artfynd.xlsx", "A 37035-2020")</f>
        <v/>
      </c>
      <c r="T262">
        <f>HYPERLINK("https://klasma.github.io/Logging_1737/kartor/A 37035-2020 karta.png", "A 37035-2020")</f>
        <v/>
      </c>
      <c r="V262">
        <f>HYPERLINK("https://klasma.github.io/Logging_1737/klagomål/A 37035-2020 FSC-klagomål.docx", "A 37035-2020")</f>
        <v/>
      </c>
      <c r="W262">
        <f>HYPERLINK("https://klasma.github.io/Logging_1737/klagomålsmail/A 37035-2020 FSC-klagomål mail.docx", "A 37035-2020")</f>
        <v/>
      </c>
      <c r="X262">
        <f>HYPERLINK("https://klasma.github.io/Logging_1737/tillsyn/A 37035-2020 tillsynsbegäran.docx", "A 37035-2020")</f>
        <v/>
      </c>
      <c r="Y262">
        <f>HYPERLINK("https://klasma.github.io/Logging_1737/tillsynsmail/A 37035-2020 tillsynsbegäran mail.docx", "A 37035-2020")</f>
        <v/>
      </c>
    </row>
    <row r="263" ht="15" customHeight="1">
      <c r="A263" t="inlineStr">
        <is>
          <t>A 38701-2020</t>
        </is>
      </c>
      <c r="B263" s="1" t="n">
        <v>44061</v>
      </c>
      <c r="C263" s="1" t="n">
        <v>45213</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 artfynd.xlsx", "A 38701-2020")</f>
        <v/>
      </c>
      <c r="T263">
        <f>HYPERLINK("https://klasma.github.io/Logging_1765/kartor/A 38701-2020 karta.png", "A 38701-2020")</f>
        <v/>
      </c>
      <c r="V263">
        <f>HYPERLINK("https://klasma.github.io/Logging_1765/klagomål/A 38701-2020 FSC-klagomål.docx", "A 38701-2020")</f>
        <v/>
      </c>
      <c r="W263">
        <f>HYPERLINK("https://klasma.github.io/Logging_1765/klagomålsmail/A 38701-2020 FSC-klagomål mail.docx", "A 38701-2020")</f>
        <v/>
      </c>
      <c r="X263">
        <f>HYPERLINK("https://klasma.github.io/Logging_1765/tillsyn/A 38701-2020 tillsynsbegäran.docx", "A 38701-2020")</f>
        <v/>
      </c>
      <c r="Y263">
        <f>HYPERLINK("https://klasma.github.io/Logging_1765/tillsynsmail/A 38701-2020 tillsynsbegäran mail.docx", "A 38701-2020")</f>
        <v/>
      </c>
    </row>
    <row r="264" ht="15" customHeight="1">
      <c r="A264" t="inlineStr">
        <is>
          <t>A 42542-2020</t>
        </is>
      </c>
      <c r="B264" s="1" t="n">
        <v>44077</v>
      </c>
      <c r="C264" s="1" t="n">
        <v>45213</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 artfynd.xlsx", "A 42542-2020")</f>
        <v/>
      </c>
      <c r="T264">
        <f>HYPERLINK("https://klasma.github.io/Logging_1782/kartor/A 42542-2020 karta.png", "A 42542-2020")</f>
        <v/>
      </c>
      <c r="V264">
        <f>HYPERLINK("https://klasma.github.io/Logging_1782/klagomål/A 42542-2020 FSC-klagomål.docx", "A 42542-2020")</f>
        <v/>
      </c>
      <c r="W264">
        <f>HYPERLINK("https://klasma.github.io/Logging_1782/klagomålsmail/A 42542-2020 FSC-klagomål mail.docx", "A 42542-2020")</f>
        <v/>
      </c>
      <c r="X264">
        <f>HYPERLINK("https://klasma.github.io/Logging_1782/tillsyn/A 42542-2020 tillsynsbegäran.docx", "A 42542-2020")</f>
        <v/>
      </c>
      <c r="Y264">
        <f>HYPERLINK("https://klasma.github.io/Logging_1782/tillsynsmail/A 42542-2020 tillsynsbegäran mail.docx", "A 42542-2020")</f>
        <v/>
      </c>
    </row>
    <row r="265" ht="15" customHeight="1">
      <c r="A265" t="inlineStr">
        <is>
          <t>A 47721-2020</t>
        </is>
      </c>
      <c r="B265" s="1" t="n">
        <v>44096</v>
      </c>
      <c r="C265" s="1" t="n">
        <v>45213</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 artfynd.xlsx", "A 47721-2020")</f>
        <v/>
      </c>
      <c r="T265">
        <f>HYPERLINK("https://klasma.github.io/Logging_1783/kartor/A 47721-2020 karta.png", "A 47721-2020")</f>
        <v/>
      </c>
      <c r="V265">
        <f>HYPERLINK("https://klasma.github.io/Logging_1783/klagomål/A 47721-2020 FSC-klagomål.docx", "A 47721-2020")</f>
        <v/>
      </c>
      <c r="W265">
        <f>HYPERLINK("https://klasma.github.io/Logging_1783/klagomålsmail/A 47721-2020 FSC-klagomål mail.docx", "A 47721-2020")</f>
        <v/>
      </c>
      <c r="X265">
        <f>HYPERLINK("https://klasma.github.io/Logging_1783/tillsyn/A 47721-2020 tillsynsbegäran.docx", "A 47721-2020")</f>
        <v/>
      </c>
      <c r="Y265">
        <f>HYPERLINK("https://klasma.github.io/Logging_1783/tillsynsmail/A 47721-2020 tillsynsbegäran mail.docx", "A 47721-2020")</f>
        <v/>
      </c>
    </row>
    <row r="266" ht="15" customHeight="1">
      <c r="A266" t="inlineStr">
        <is>
          <t>A 49591-2020</t>
        </is>
      </c>
      <c r="B266" s="1" t="n">
        <v>44105</v>
      </c>
      <c r="C266" s="1" t="n">
        <v>45213</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 artfynd.xlsx", "A 49591-2020")</f>
        <v/>
      </c>
      <c r="T266">
        <f>HYPERLINK("https://klasma.github.io/Logging_1781/kartor/A 49591-2020 karta.png", "A 49591-2020")</f>
        <v/>
      </c>
      <c r="V266">
        <f>HYPERLINK("https://klasma.github.io/Logging_1781/klagomål/A 49591-2020 FSC-klagomål.docx", "A 49591-2020")</f>
        <v/>
      </c>
      <c r="W266">
        <f>HYPERLINK("https://klasma.github.io/Logging_1781/klagomålsmail/A 49591-2020 FSC-klagomål mail.docx", "A 49591-2020")</f>
        <v/>
      </c>
      <c r="X266">
        <f>HYPERLINK("https://klasma.github.io/Logging_1781/tillsyn/A 49591-2020 tillsynsbegäran.docx", "A 49591-2020")</f>
        <v/>
      </c>
      <c r="Y266">
        <f>HYPERLINK("https://klasma.github.io/Logging_1781/tillsynsmail/A 49591-2020 tillsynsbegäran mail.docx", "A 49591-2020")</f>
        <v/>
      </c>
    </row>
    <row r="267" ht="15" customHeight="1">
      <c r="A267" t="inlineStr">
        <is>
          <t>A 50854-2020</t>
        </is>
      </c>
      <c r="B267" s="1" t="n">
        <v>44105</v>
      </c>
      <c r="C267" s="1" t="n">
        <v>45213</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 artfynd.xlsx", "A 50854-2020")</f>
        <v/>
      </c>
      <c r="T267">
        <f>HYPERLINK("https://klasma.github.io/Logging_1737/kartor/A 50854-2020 karta.png", "A 50854-2020")</f>
        <v/>
      </c>
      <c r="U267">
        <f>HYPERLINK("https://klasma.github.io/Logging_1737/knärot/A 50854-2020 karta knärot.png", "A 50854-2020")</f>
        <v/>
      </c>
      <c r="V267">
        <f>HYPERLINK("https://klasma.github.io/Logging_1737/klagomål/A 50854-2020 FSC-klagomål.docx", "A 50854-2020")</f>
        <v/>
      </c>
      <c r="W267">
        <f>HYPERLINK("https://klasma.github.io/Logging_1737/klagomålsmail/A 50854-2020 FSC-klagomål mail.docx", "A 50854-2020")</f>
        <v/>
      </c>
      <c r="X267">
        <f>HYPERLINK("https://klasma.github.io/Logging_1737/tillsyn/A 50854-2020 tillsynsbegäran.docx", "A 50854-2020")</f>
        <v/>
      </c>
      <c r="Y267">
        <f>HYPERLINK("https://klasma.github.io/Logging_1737/tillsynsmail/A 50854-2020 tillsynsbegäran mail.docx", "A 50854-2020")</f>
        <v/>
      </c>
    </row>
    <row r="268" ht="15" customHeight="1">
      <c r="A268" t="inlineStr">
        <is>
          <t>A 50089-2020</t>
        </is>
      </c>
      <c r="B268" s="1" t="n">
        <v>44109</v>
      </c>
      <c r="C268" s="1" t="n">
        <v>45213</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 artfynd.xlsx", "A 50089-2020")</f>
        <v/>
      </c>
      <c r="T268">
        <f>HYPERLINK("https://klasma.github.io/Logging_1737/kartor/A 50089-2020 karta.png", "A 50089-2020")</f>
        <v/>
      </c>
      <c r="V268">
        <f>HYPERLINK("https://klasma.github.io/Logging_1737/klagomål/A 50089-2020 FSC-klagomål.docx", "A 50089-2020")</f>
        <v/>
      </c>
      <c r="W268">
        <f>HYPERLINK("https://klasma.github.io/Logging_1737/klagomålsmail/A 50089-2020 FSC-klagomål mail.docx", "A 50089-2020")</f>
        <v/>
      </c>
      <c r="X268">
        <f>HYPERLINK("https://klasma.github.io/Logging_1737/tillsyn/A 50089-2020 tillsynsbegäran.docx", "A 50089-2020")</f>
        <v/>
      </c>
      <c r="Y268">
        <f>HYPERLINK("https://klasma.github.io/Logging_1737/tillsynsmail/A 50089-2020 tillsynsbegäran mail.docx", "A 50089-2020")</f>
        <v/>
      </c>
    </row>
    <row r="269" ht="15" customHeight="1">
      <c r="A269" t="inlineStr">
        <is>
          <t>A 53491-2020</t>
        </is>
      </c>
      <c r="B269" s="1" t="n">
        <v>44123</v>
      </c>
      <c r="C269" s="1" t="n">
        <v>45213</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 artfynd.xlsx", "A 53491-2020")</f>
        <v/>
      </c>
      <c r="T269">
        <f>HYPERLINK("https://klasma.github.io/Logging_1737/kartor/A 53491-2020 karta.png", "A 53491-2020")</f>
        <v/>
      </c>
      <c r="V269">
        <f>HYPERLINK("https://klasma.github.io/Logging_1737/klagomål/A 53491-2020 FSC-klagomål.docx", "A 53491-2020")</f>
        <v/>
      </c>
      <c r="W269">
        <f>HYPERLINK("https://klasma.github.io/Logging_1737/klagomålsmail/A 53491-2020 FSC-klagomål mail.docx", "A 53491-2020")</f>
        <v/>
      </c>
      <c r="X269">
        <f>HYPERLINK("https://klasma.github.io/Logging_1737/tillsyn/A 53491-2020 tillsynsbegäran.docx", "A 53491-2020")</f>
        <v/>
      </c>
      <c r="Y269">
        <f>HYPERLINK("https://klasma.github.io/Logging_1737/tillsynsmail/A 53491-2020 tillsynsbegäran mail.docx", "A 53491-2020")</f>
        <v/>
      </c>
    </row>
    <row r="270" ht="15" customHeight="1">
      <c r="A270" t="inlineStr">
        <is>
          <t>A 55736-2020</t>
        </is>
      </c>
      <c r="B270" s="1" t="n">
        <v>44132</v>
      </c>
      <c r="C270" s="1" t="n">
        <v>45213</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 artfynd.xlsx", "A 55736-2020")</f>
        <v/>
      </c>
      <c r="T270">
        <f>HYPERLINK("https://klasma.github.io/Logging_1784/kartor/A 55736-2020 karta.png", "A 55736-2020")</f>
        <v/>
      </c>
      <c r="V270">
        <f>HYPERLINK("https://klasma.github.io/Logging_1784/klagomål/A 55736-2020 FSC-klagomål.docx", "A 55736-2020")</f>
        <v/>
      </c>
      <c r="W270">
        <f>HYPERLINK("https://klasma.github.io/Logging_1784/klagomålsmail/A 55736-2020 FSC-klagomål mail.docx", "A 55736-2020")</f>
        <v/>
      </c>
      <c r="X270">
        <f>HYPERLINK("https://klasma.github.io/Logging_1784/tillsyn/A 55736-2020 tillsynsbegäran.docx", "A 55736-2020")</f>
        <v/>
      </c>
      <c r="Y270">
        <f>HYPERLINK("https://klasma.github.io/Logging_1784/tillsynsmail/A 55736-2020 tillsynsbegäran mail.docx", "A 55736-2020")</f>
        <v/>
      </c>
    </row>
    <row r="271" ht="15" customHeight="1">
      <c r="A271" t="inlineStr">
        <is>
          <t>A 56253-2020</t>
        </is>
      </c>
      <c r="B271" s="1" t="n">
        <v>44134</v>
      </c>
      <c r="C271" s="1" t="n">
        <v>45213</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 artfynd.xlsx", "A 56253-2020")</f>
        <v/>
      </c>
      <c r="T271">
        <f>HYPERLINK("https://klasma.github.io/Logging_1784/kartor/A 56253-2020 karta.png", "A 56253-2020")</f>
        <v/>
      </c>
      <c r="V271">
        <f>HYPERLINK("https://klasma.github.io/Logging_1784/klagomål/A 56253-2020 FSC-klagomål.docx", "A 56253-2020")</f>
        <v/>
      </c>
      <c r="W271">
        <f>HYPERLINK("https://klasma.github.io/Logging_1784/klagomålsmail/A 56253-2020 FSC-klagomål mail.docx", "A 56253-2020")</f>
        <v/>
      </c>
      <c r="X271">
        <f>HYPERLINK("https://klasma.github.io/Logging_1784/tillsyn/A 56253-2020 tillsynsbegäran.docx", "A 56253-2020")</f>
        <v/>
      </c>
      <c r="Y271">
        <f>HYPERLINK("https://klasma.github.io/Logging_1784/tillsynsmail/A 56253-2020 tillsynsbegäran mail.docx", "A 56253-2020")</f>
        <v/>
      </c>
    </row>
    <row r="272" ht="15" customHeight="1">
      <c r="A272" t="inlineStr">
        <is>
          <t>A 59466-2020</t>
        </is>
      </c>
      <c r="B272" s="1" t="n">
        <v>44148</v>
      </c>
      <c r="C272" s="1" t="n">
        <v>45213</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 artfynd.xlsx", "A 59466-2020")</f>
        <v/>
      </c>
      <c r="T272">
        <f>HYPERLINK("https://klasma.github.io/Logging_1785/kartor/A 59466-2020 karta.png", "A 59466-2020")</f>
        <v/>
      </c>
      <c r="V272">
        <f>HYPERLINK("https://klasma.github.io/Logging_1785/klagomål/A 59466-2020 FSC-klagomål.docx", "A 59466-2020")</f>
        <v/>
      </c>
      <c r="W272">
        <f>HYPERLINK("https://klasma.github.io/Logging_1785/klagomålsmail/A 59466-2020 FSC-klagomål mail.docx", "A 59466-2020")</f>
        <v/>
      </c>
      <c r="X272">
        <f>HYPERLINK("https://klasma.github.io/Logging_1785/tillsyn/A 59466-2020 tillsynsbegäran.docx", "A 59466-2020")</f>
        <v/>
      </c>
      <c r="Y272">
        <f>HYPERLINK("https://klasma.github.io/Logging_1785/tillsynsmail/A 59466-2020 tillsynsbegäran mail.docx", "A 59466-2020")</f>
        <v/>
      </c>
    </row>
    <row r="273" ht="15" customHeight="1">
      <c r="A273" t="inlineStr">
        <is>
          <t>A 63540-2020</t>
        </is>
      </c>
      <c r="B273" s="1" t="n">
        <v>44165</v>
      </c>
      <c r="C273" s="1" t="n">
        <v>45213</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 artfynd.xlsx", "A 63540-2020")</f>
        <v/>
      </c>
      <c r="T273">
        <f>HYPERLINK("https://klasma.github.io/Logging_1784/kartor/A 63540-2020 karta.png", "A 63540-2020")</f>
        <v/>
      </c>
      <c r="U273">
        <f>HYPERLINK("https://klasma.github.io/Logging_1784/knärot/A 63540-2020 karta knärot.png", "A 63540-2020")</f>
        <v/>
      </c>
      <c r="V273">
        <f>HYPERLINK("https://klasma.github.io/Logging_1784/klagomål/A 63540-2020 FSC-klagomål.docx", "A 63540-2020")</f>
        <v/>
      </c>
      <c r="W273">
        <f>HYPERLINK("https://klasma.github.io/Logging_1784/klagomålsmail/A 63540-2020 FSC-klagomål mail.docx", "A 63540-2020")</f>
        <v/>
      </c>
      <c r="X273">
        <f>HYPERLINK("https://klasma.github.io/Logging_1784/tillsyn/A 63540-2020 tillsynsbegäran.docx", "A 63540-2020")</f>
        <v/>
      </c>
      <c r="Y273">
        <f>HYPERLINK("https://klasma.github.io/Logging_1784/tillsynsmail/A 63540-2020 tillsynsbegäran mail.docx", "A 63540-2020")</f>
        <v/>
      </c>
    </row>
    <row r="274" ht="15" customHeight="1">
      <c r="A274" t="inlineStr">
        <is>
          <t>A 65851-2020</t>
        </is>
      </c>
      <c r="B274" s="1" t="n">
        <v>44174</v>
      </c>
      <c r="C274" s="1" t="n">
        <v>45213</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 artfynd.xlsx", "A 65851-2020")</f>
        <v/>
      </c>
      <c r="T274">
        <f>HYPERLINK("https://klasma.github.io/Logging_1780/kartor/A 65851-2020 karta.png", "A 65851-2020")</f>
        <v/>
      </c>
      <c r="V274">
        <f>HYPERLINK("https://klasma.github.io/Logging_1780/klagomål/A 65851-2020 FSC-klagomål.docx", "A 65851-2020")</f>
        <v/>
      </c>
      <c r="W274">
        <f>HYPERLINK("https://klasma.github.io/Logging_1780/klagomålsmail/A 65851-2020 FSC-klagomål mail.docx", "A 65851-2020")</f>
        <v/>
      </c>
      <c r="X274">
        <f>HYPERLINK("https://klasma.github.io/Logging_1780/tillsyn/A 65851-2020 tillsynsbegäran.docx", "A 65851-2020")</f>
        <v/>
      </c>
      <c r="Y274">
        <f>HYPERLINK("https://klasma.github.io/Logging_1780/tillsynsmail/A 65851-2020 tillsynsbegäran mail.docx", "A 65851-2020")</f>
        <v/>
      </c>
    </row>
    <row r="275" ht="15" customHeight="1">
      <c r="A275" t="inlineStr">
        <is>
          <t>A 67928-2020</t>
        </is>
      </c>
      <c r="B275" s="1" t="n">
        <v>44182</v>
      </c>
      <c r="C275" s="1" t="n">
        <v>45213</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 artfynd.xlsx", "A 67928-2020")</f>
        <v/>
      </c>
      <c r="T275">
        <f>HYPERLINK("https://klasma.github.io/Logging_1780/kartor/A 67928-2020 karta.png", "A 67928-2020")</f>
        <v/>
      </c>
      <c r="V275">
        <f>HYPERLINK("https://klasma.github.io/Logging_1780/klagomål/A 67928-2020 FSC-klagomål.docx", "A 67928-2020")</f>
        <v/>
      </c>
      <c r="W275">
        <f>HYPERLINK("https://klasma.github.io/Logging_1780/klagomålsmail/A 67928-2020 FSC-klagomål mail.docx", "A 67928-2020")</f>
        <v/>
      </c>
      <c r="X275">
        <f>HYPERLINK("https://klasma.github.io/Logging_1780/tillsyn/A 67928-2020 tillsynsbegäran.docx", "A 67928-2020")</f>
        <v/>
      </c>
      <c r="Y275">
        <f>HYPERLINK("https://klasma.github.io/Logging_1780/tillsynsmail/A 67928-2020 tillsynsbegäran mail.docx", "A 67928-2020")</f>
        <v/>
      </c>
    </row>
    <row r="276" ht="15" customHeight="1">
      <c r="A276" t="inlineStr">
        <is>
          <t>A 68077-2020</t>
        </is>
      </c>
      <c r="B276" s="1" t="n">
        <v>44183</v>
      </c>
      <c r="C276" s="1" t="n">
        <v>45213</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 artfynd.xlsx", "A 68077-2020")</f>
        <v/>
      </c>
      <c r="T276">
        <f>HYPERLINK("https://klasma.github.io/Logging_1763/kartor/A 68077-2020 karta.png", "A 68077-2020")</f>
        <v/>
      </c>
      <c r="V276">
        <f>HYPERLINK("https://klasma.github.io/Logging_1763/klagomål/A 68077-2020 FSC-klagomål.docx", "A 68077-2020")</f>
        <v/>
      </c>
      <c r="W276">
        <f>HYPERLINK("https://klasma.github.io/Logging_1763/klagomålsmail/A 68077-2020 FSC-klagomål mail.docx", "A 68077-2020")</f>
        <v/>
      </c>
      <c r="X276">
        <f>HYPERLINK("https://klasma.github.io/Logging_1763/tillsyn/A 68077-2020 tillsynsbegäran.docx", "A 68077-2020")</f>
        <v/>
      </c>
      <c r="Y276">
        <f>HYPERLINK("https://klasma.github.io/Logging_1763/tillsynsmail/A 68077-2020 tillsynsbegäran mail.docx", "A 68077-2020")</f>
        <v/>
      </c>
    </row>
    <row r="277" ht="15" customHeight="1">
      <c r="A277" t="inlineStr">
        <is>
          <t>A 2194-2021</t>
        </is>
      </c>
      <c r="B277" s="1" t="n">
        <v>44211</v>
      </c>
      <c r="C277" s="1" t="n">
        <v>45213</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 artfynd.xlsx", "A 2194-2021")</f>
        <v/>
      </c>
      <c r="T277">
        <f>HYPERLINK("https://klasma.github.io/Logging_1780/kartor/A 2194-2021 karta.png", "A 2194-2021")</f>
        <v/>
      </c>
      <c r="U277">
        <f>HYPERLINK("https://klasma.github.io/Logging_1780/knärot/A 2194-2021 karta knärot.png", "A 2194-2021")</f>
        <v/>
      </c>
      <c r="V277">
        <f>HYPERLINK("https://klasma.github.io/Logging_1780/klagomål/A 2194-2021 FSC-klagomål.docx", "A 2194-2021")</f>
        <v/>
      </c>
      <c r="W277">
        <f>HYPERLINK("https://klasma.github.io/Logging_1780/klagomålsmail/A 2194-2021 FSC-klagomål mail.docx", "A 2194-2021")</f>
        <v/>
      </c>
      <c r="X277">
        <f>HYPERLINK("https://klasma.github.io/Logging_1780/tillsyn/A 2194-2021 tillsynsbegäran.docx", "A 2194-2021")</f>
        <v/>
      </c>
      <c r="Y277">
        <f>HYPERLINK("https://klasma.github.io/Logging_1780/tillsynsmail/A 2194-2021 tillsynsbegäran mail.docx", "A 2194-2021")</f>
        <v/>
      </c>
    </row>
    <row r="278" ht="15" customHeight="1">
      <c r="A278" t="inlineStr">
        <is>
          <t>A 3974-2021</t>
        </is>
      </c>
      <c r="B278" s="1" t="n">
        <v>44217</v>
      </c>
      <c r="C278" s="1" t="n">
        <v>45213</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 artfynd.xlsx", "A 3974-2021")</f>
        <v/>
      </c>
      <c r="T278">
        <f>HYPERLINK("https://klasma.github.io/Logging_1765/kartor/A 3974-2021 karta.png", "A 3974-2021")</f>
        <v/>
      </c>
      <c r="V278">
        <f>HYPERLINK("https://klasma.github.io/Logging_1765/klagomål/A 3974-2021 FSC-klagomål.docx", "A 3974-2021")</f>
        <v/>
      </c>
      <c r="W278">
        <f>HYPERLINK("https://klasma.github.io/Logging_1765/klagomålsmail/A 3974-2021 FSC-klagomål mail.docx", "A 3974-2021")</f>
        <v/>
      </c>
      <c r="X278">
        <f>HYPERLINK("https://klasma.github.io/Logging_1765/tillsyn/A 3974-2021 tillsynsbegäran.docx", "A 3974-2021")</f>
        <v/>
      </c>
      <c r="Y278">
        <f>HYPERLINK("https://klasma.github.io/Logging_1765/tillsynsmail/A 3974-2021 tillsynsbegäran mail.docx", "A 3974-2021")</f>
        <v/>
      </c>
    </row>
    <row r="279" ht="15" customHeight="1">
      <c r="A279" t="inlineStr">
        <is>
          <t>A 4335-2021</t>
        </is>
      </c>
      <c r="B279" s="1" t="n">
        <v>44221</v>
      </c>
      <c r="C279" s="1" t="n">
        <v>45213</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 artfynd.xlsx", "A 4335-2021")</f>
        <v/>
      </c>
      <c r="T279">
        <f>HYPERLINK("https://klasma.github.io/Logging_1785/kartor/A 4335-2021 karta.png", "A 4335-2021")</f>
        <v/>
      </c>
      <c r="V279">
        <f>HYPERLINK("https://klasma.github.io/Logging_1785/klagomål/A 4335-2021 FSC-klagomål.docx", "A 4335-2021")</f>
        <v/>
      </c>
      <c r="W279">
        <f>HYPERLINK("https://klasma.github.io/Logging_1785/klagomålsmail/A 4335-2021 FSC-klagomål mail.docx", "A 4335-2021")</f>
        <v/>
      </c>
      <c r="X279">
        <f>HYPERLINK("https://klasma.github.io/Logging_1785/tillsyn/A 4335-2021 tillsynsbegäran.docx", "A 4335-2021")</f>
        <v/>
      </c>
      <c r="Y279">
        <f>HYPERLINK("https://klasma.github.io/Logging_1785/tillsynsmail/A 4335-2021 tillsynsbegäran mail.docx", "A 4335-2021")</f>
        <v/>
      </c>
    </row>
    <row r="280" ht="15" customHeight="1">
      <c r="A280" t="inlineStr">
        <is>
          <t>A 4799-2021</t>
        </is>
      </c>
      <c r="B280" s="1" t="n">
        <v>44225</v>
      </c>
      <c r="C280" s="1" t="n">
        <v>45213</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 artfynd.xlsx", "A 4799-2021")</f>
        <v/>
      </c>
      <c r="T280">
        <f>HYPERLINK("https://klasma.github.io/Logging_1780/kartor/A 4799-2021 karta.png", "A 4799-2021")</f>
        <v/>
      </c>
      <c r="V280">
        <f>HYPERLINK("https://klasma.github.io/Logging_1780/klagomål/A 4799-2021 FSC-klagomål.docx", "A 4799-2021")</f>
        <v/>
      </c>
      <c r="W280">
        <f>HYPERLINK("https://klasma.github.io/Logging_1780/klagomålsmail/A 4799-2021 FSC-klagomål mail.docx", "A 4799-2021")</f>
        <v/>
      </c>
      <c r="X280">
        <f>HYPERLINK("https://klasma.github.io/Logging_1780/tillsyn/A 4799-2021 tillsynsbegäran.docx", "A 4799-2021")</f>
        <v/>
      </c>
      <c r="Y280">
        <f>HYPERLINK("https://klasma.github.io/Logging_1780/tillsynsmail/A 4799-2021 tillsynsbegäran mail.docx", "A 4799-2021")</f>
        <v/>
      </c>
    </row>
    <row r="281" ht="15" customHeight="1">
      <c r="A281" t="inlineStr">
        <is>
          <t>A 8048-2021</t>
        </is>
      </c>
      <c r="B281" s="1" t="n">
        <v>44243</v>
      </c>
      <c r="C281" s="1" t="n">
        <v>45213</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 artfynd.xlsx", "A 8048-2021")</f>
        <v/>
      </c>
      <c r="T281">
        <f>HYPERLINK("https://klasma.github.io/Logging_1760/kartor/A 8048-2021 karta.png", "A 8048-2021")</f>
        <v/>
      </c>
      <c r="V281">
        <f>HYPERLINK("https://klasma.github.io/Logging_1760/klagomål/A 8048-2021 FSC-klagomål.docx", "A 8048-2021")</f>
        <v/>
      </c>
      <c r="W281">
        <f>HYPERLINK("https://klasma.github.io/Logging_1760/klagomålsmail/A 8048-2021 FSC-klagomål mail.docx", "A 8048-2021")</f>
        <v/>
      </c>
      <c r="X281">
        <f>HYPERLINK("https://klasma.github.io/Logging_1760/tillsyn/A 8048-2021 tillsynsbegäran.docx", "A 8048-2021")</f>
        <v/>
      </c>
      <c r="Y281">
        <f>HYPERLINK("https://klasma.github.io/Logging_1760/tillsynsmail/A 8048-2021 tillsynsbegäran mail.docx", "A 8048-2021")</f>
        <v/>
      </c>
    </row>
    <row r="282" ht="15" customHeight="1">
      <c r="A282" t="inlineStr">
        <is>
          <t>A 8747-2021</t>
        </is>
      </c>
      <c r="B282" s="1" t="n">
        <v>44246</v>
      </c>
      <c r="C282" s="1" t="n">
        <v>45213</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 artfynd.xlsx", "A 8747-2021")</f>
        <v/>
      </c>
      <c r="T282">
        <f>HYPERLINK("https://klasma.github.io/Logging_1737/kartor/A 8747-2021 karta.png", "A 8747-2021")</f>
        <v/>
      </c>
      <c r="V282">
        <f>HYPERLINK("https://klasma.github.io/Logging_1737/klagomål/A 8747-2021 FSC-klagomål.docx", "A 8747-2021")</f>
        <v/>
      </c>
      <c r="W282">
        <f>HYPERLINK("https://klasma.github.io/Logging_1737/klagomålsmail/A 8747-2021 FSC-klagomål mail.docx", "A 8747-2021")</f>
        <v/>
      </c>
      <c r="X282">
        <f>HYPERLINK("https://klasma.github.io/Logging_1737/tillsyn/A 8747-2021 tillsynsbegäran.docx", "A 8747-2021")</f>
        <v/>
      </c>
      <c r="Y282">
        <f>HYPERLINK("https://klasma.github.io/Logging_1737/tillsynsmail/A 8747-2021 tillsynsbegäran mail.docx", "A 8747-2021")</f>
        <v/>
      </c>
    </row>
    <row r="283" ht="15" customHeight="1">
      <c r="A283" t="inlineStr">
        <is>
          <t>A 9558-2021</t>
        </is>
      </c>
      <c r="B283" s="1" t="n">
        <v>44251</v>
      </c>
      <c r="C283" s="1" t="n">
        <v>45213</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 artfynd.xlsx", "A 9558-2021")</f>
        <v/>
      </c>
      <c r="T283">
        <f>HYPERLINK("https://klasma.github.io/Logging_1715/kartor/A 9558-2021 karta.png", "A 9558-2021")</f>
        <v/>
      </c>
      <c r="V283">
        <f>HYPERLINK("https://klasma.github.io/Logging_1715/klagomål/A 9558-2021 FSC-klagomål.docx", "A 9558-2021")</f>
        <v/>
      </c>
      <c r="W283">
        <f>HYPERLINK("https://klasma.github.io/Logging_1715/klagomålsmail/A 9558-2021 FSC-klagomål mail.docx", "A 9558-2021")</f>
        <v/>
      </c>
      <c r="X283">
        <f>HYPERLINK("https://klasma.github.io/Logging_1715/tillsyn/A 9558-2021 tillsynsbegäran.docx", "A 9558-2021")</f>
        <v/>
      </c>
      <c r="Y283">
        <f>HYPERLINK("https://klasma.github.io/Logging_1715/tillsynsmail/A 9558-2021 tillsynsbegäran mail.docx", "A 9558-2021")</f>
        <v/>
      </c>
    </row>
    <row r="284" ht="15" customHeight="1">
      <c r="A284" t="inlineStr">
        <is>
          <t>A 15418-2021</t>
        </is>
      </c>
      <c r="B284" s="1" t="n">
        <v>44285</v>
      </c>
      <c r="C284" s="1" t="n">
        <v>45213</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 artfynd.xlsx", "A 15418-2021")</f>
        <v/>
      </c>
      <c r="T284">
        <f>HYPERLINK("https://klasma.github.io/Logging_1765/kartor/A 15418-2021 karta.png", "A 15418-2021")</f>
        <v/>
      </c>
      <c r="V284">
        <f>HYPERLINK("https://klasma.github.io/Logging_1765/klagomål/A 15418-2021 FSC-klagomål.docx", "A 15418-2021")</f>
        <v/>
      </c>
      <c r="W284">
        <f>HYPERLINK("https://klasma.github.io/Logging_1765/klagomålsmail/A 15418-2021 FSC-klagomål mail.docx", "A 15418-2021")</f>
        <v/>
      </c>
      <c r="X284">
        <f>HYPERLINK("https://klasma.github.io/Logging_1765/tillsyn/A 15418-2021 tillsynsbegäran.docx", "A 15418-2021")</f>
        <v/>
      </c>
      <c r="Y284">
        <f>HYPERLINK("https://klasma.github.io/Logging_1765/tillsynsmail/A 15418-2021 tillsynsbegäran mail.docx", "A 15418-2021")</f>
        <v/>
      </c>
    </row>
    <row r="285" ht="15" customHeight="1">
      <c r="A285" t="inlineStr">
        <is>
          <t>A 21073-2021</t>
        </is>
      </c>
      <c r="B285" s="1" t="n">
        <v>44319</v>
      </c>
      <c r="C285" s="1" t="n">
        <v>45213</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 artfynd.xlsx", "A 21073-2021")</f>
        <v/>
      </c>
      <c r="T285">
        <f>HYPERLINK("https://klasma.github.io/Logging_1760/kartor/A 21073-2021 karta.png", "A 21073-2021")</f>
        <v/>
      </c>
      <c r="V285">
        <f>HYPERLINK("https://klasma.github.io/Logging_1760/klagomål/A 21073-2021 FSC-klagomål.docx", "A 21073-2021")</f>
        <v/>
      </c>
      <c r="W285">
        <f>HYPERLINK("https://klasma.github.io/Logging_1760/klagomålsmail/A 21073-2021 FSC-klagomål mail.docx", "A 21073-2021")</f>
        <v/>
      </c>
      <c r="X285">
        <f>HYPERLINK("https://klasma.github.io/Logging_1760/tillsyn/A 21073-2021 tillsynsbegäran.docx", "A 21073-2021")</f>
        <v/>
      </c>
      <c r="Y285">
        <f>HYPERLINK("https://klasma.github.io/Logging_1760/tillsynsmail/A 21073-2021 tillsynsbegäran mail.docx", "A 21073-2021")</f>
        <v/>
      </c>
    </row>
    <row r="286" ht="15" customHeight="1">
      <c r="A286" t="inlineStr">
        <is>
          <t>A 24042-2021</t>
        </is>
      </c>
      <c r="B286" s="1" t="n">
        <v>44336</v>
      </c>
      <c r="C286" s="1" t="n">
        <v>45213</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 artfynd.xlsx", "A 24042-2021")</f>
        <v/>
      </c>
      <c r="T286">
        <f>HYPERLINK("https://klasma.github.io/Logging_1737/kartor/A 24042-2021 karta.png", "A 24042-2021")</f>
        <v/>
      </c>
      <c r="V286">
        <f>HYPERLINK("https://klasma.github.io/Logging_1737/klagomål/A 24042-2021 FSC-klagomål.docx", "A 24042-2021")</f>
        <v/>
      </c>
      <c r="W286">
        <f>HYPERLINK("https://klasma.github.io/Logging_1737/klagomålsmail/A 24042-2021 FSC-klagomål mail.docx", "A 24042-2021")</f>
        <v/>
      </c>
      <c r="X286">
        <f>HYPERLINK("https://klasma.github.io/Logging_1737/tillsyn/A 24042-2021 tillsynsbegäran.docx", "A 24042-2021")</f>
        <v/>
      </c>
      <c r="Y286">
        <f>HYPERLINK("https://klasma.github.io/Logging_1737/tillsynsmail/A 24042-2021 tillsynsbegäran mail.docx", "A 24042-2021")</f>
        <v/>
      </c>
    </row>
    <row r="287" ht="15" customHeight="1">
      <c r="A287" t="inlineStr">
        <is>
          <t>A 24660-2021</t>
        </is>
      </c>
      <c r="B287" s="1" t="n">
        <v>44340</v>
      </c>
      <c r="C287" s="1" t="n">
        <v>45213</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 artfynd.xlsx", "A 24660-2021")</f>
        <v/>
      </c>
      <c r="T287">
        <f>HYPERLINK("https://klasma.github.io/Logging_1785/kartor/A 24660-2021 karta.png", "A 24660-2021")</f>
        <v/>
      </c>
      <c r="V287">
        <f>HYPERLINK("https://klasma.github.io/Logging_1785/klagomål/A 24660-2021 FSC-klagomål.docx", "A 24660-2021")</f>
        <v/>
      </c>
      <c r="W287">
        <f>HYPERLINK("https://klasma.github.io/Logging_1785/klagomålsmail/A 24660-2021 FSC-klagomål mail.docx", "A 24660-2021")</f>
        <v/>
      </c>
      <c r="X287">
        <f>HYPERLINK("https://klasma.github.io/Logging_1785/tillsyn/A 24660-2021 tillsynsbegäran.docx", "A 24660-2021")</f>
        <v/>
      </c>
      <c r="Y287">
        <f>HYPERLINK("https://klasma.github.io/Logging_1785/tillsynsmail/A 24660-2021 tillsynsbegäran mail.docx", "A 24660-2021")</f>
        <v/>
      </c>
    </row>
    <row r="288" ht="15" customHeight="1">
      <c r="A288" t="inlineStr">
        <is>
          <t>A 28445-2021</t>
        </is>
      </c>
      <c r="B288" s="1" t="n">
        <v>44356</v>
      </c>
      <c r="C288" s="1" t="n">
        <v>45213</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 artfynd.xlsx", "A 28445-2021")</f>
        <v/>
      </c>
      <c r="T288">
        <f>HYPERLINK("https://klasma.github.io/Logging_1766/kartor/A 28445-2021 karta.png", "A 28445-2021")</f>
        <v/>
      </c>
      <c r="V288">
        <f>HYPERLINK("https://klasma.github.io/Logging_1766/klagomål/A 28445-2021 FSC-klagomål.docx", "A 28445-2021")</f>
        <v/>
      </c>
      <c r="W288">
        <f>HYPERLINK("https://klasma.github.io/Logging_1766/klagomålsmail/A 28445-2021 FSC-klagomål mail.docx", "A 28445-2021")</f>
        <v/>
      </c>
      <c r="X288">
        <f>HYPERLINK("https://klasma.github.io/Logging_1766/tillsyn/A 28445-2021 tillsynsbegäran.docx", "A 28445-2021")</f>
        <v/>
      </c>
      <c r="Y288">
        <f>HYPERLINK("https://klasma.github.io/Logging_1766/tillsynsmail/A 28445-2021 tillsynsbegäran mail.docx", "A 28445-2021")</f>
        <v/>
      </c>
    </row>
    <row r="289" ht="15" customHeight="1">
      <c r="A289" t="inlineStr">
        <is>
          <t>A 28418-2021</t>
        </is>
      </c>
      <c r="B289" s="1" t="n">
        <v>44356</v>
      </c>
      <c r="C289" s="1" t="n">
        <v>45213</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HYPERLINK("https://klasma.github.io/Logging_1765/kartor/A 28418-2021 karta.png", "A 28418-2021")</f>
        <v/>
      </c>
      <c r="V289">
        <f>HYPERLINK("https://klasma.github.io/Logging_1765/klagomål/A 28418-2021 FSC-klagomål.docx", "A 28418-2021")</f>
        <v/>
      </c>
      <c r="W289">
        <f>HYPERLINK("https://klasma.github.io/Logging_1765/klagomålsmail/A 28418-2021 FSC-klagomål mail.docx", "A 28418-2021")</f>
        <v/>
      </c>
      <c r="X289">
        <f>HYPERLINK("https://klasma.github.io/Logging_1765/tillsyn/A 28418-2021 tillsynsbegäran.docx", "A 28418-2021")</f>
        <v/>
      </c>
      <c r="Y289">
        <f>HYPERLINK("https://klasma.github.io/Logging_1765/tillsynsmail/A 28418-2021 tillsynsbegäran mail.docx", "A 28418-2021")</f>
        <v/>
      </c>
    </row>
    <row r="290" ht="15" customHeight="1">
      <c r="A290" t="inlineStr">
        <is>
          <t>A 34188-2021</t>
        </is>
      </c>
      <c r="B290" s="1" t="n">
        <v>44379</v>
      </c>
      <c r="C290" s="1" t="n">
        <v>45213</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 artfynd.xlsx", "A 34188-2021")</f>
        <v/>
      </c>
      <c r="T290">
        <f>HYPERLINK("https://klasma.github.io/Logging_1765/kartor/A 34188-2021 karta.png", "A 34188-2021")</f>
        <v/>
      </c>
      <c r="V290">
        <f>HYPERLINK("https://klasma.github.io/Logging_1765/klagomål/A 34188-2021 FSC-klagomål.docx", "A 34188-2021")</f>
        <v/>
      </c>
      <c r="W290">
        <f>HYPERLINK("https://klasma.github.io/Logging_1765/klagomålsmail/A 34188-2021 FSC-klagomål mail.docx", "A 34188-2021")</f>
        <v/>
      </c>
      <c r="X290">
        <f>HYPERLINK("https://klasma.github.io/Logging_1765/tillsyn/A 34188-2021 tillsynsbegäran.docx", "A 34188-2021")</f>
        <v/>
      </c>
      <c r="Y290">
        <f>HYPERLINK("https://klasma.github.io/Logging_1765/tillsynsmail/A 34188-2021 tillsynsbegäran mail.docx", "A 34188-2021")</f>
        <v/>
      </c>
    </row>
    <row r="291" ht="15" customHeight="1">
      <c r="A291" t="inlineStr">
        <is>
          <t>A 34853-2021</t>
        </is>
      </c>
      <c r="B291" s="1" t="n">
        <v>44383</v>
      </c>
      <c r="C291" s="1" t="n">
        <v>45213</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HYPERLINK("https://klasma.github.io/Logging_1737/kartor/A 34853-2021 karta.png", "A 34853-2021")</f>
        <v/>
      </c>
      <c r="V291">
        <f>HYPERLINK("https://klasma.github.io/Logging_1737/klagomål/A 34853-2021 FSC-klagomål.docx", "A 34853-2021")</f>
        <v/>
      </c>
      <c r="W291">
        <f>HYPERLINK("https://klasma.github.io/Logging_1737/klagomålsmail/A 34853-2021 FSC-klagomål mail.docx", "A 34853-2021")</f>
        <v/>
      </c>
      <c r="X291">
        <f>HYPERLINK("https://klasma.github.io/Logging_1737/tillsyn/A 34853-2021 tillsynsbegäran.docx", "A 34853-2021")</f>
        <v/>
      </c>
      <c r="Y291">
        <f>HYPERLINK("https://klasma.github.io/Logging_1737/tillsynsmail/A 34853-2021 tillsynsbegäran mail.docx", "A 34853-2021")</f>
        <v/>
      </c>
    </row>
    <row r="292" ht="15" customHeight="1">
      <c r="A292" t="inlineStr">
        <is>
          <t>A 34876-2021</t>
        </is>
      </c>
      <c r="B292" s="1" t="n">
        <v>44383</v>
      </c>
      <c r="C292" s="1" t="n">
        <v>45213</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 artfynd.xlsx", "A 34876-2021")</f>
        <v/>
      </c>
      <c r="T292">
        <f>HYPERLINK("https://klasma.github.io/Logging_1737/kartor/A 34876-2021 karta.png", "A 34876-2021")</f>
        <v/>
      </c>
      <c r="V292">
        <f>HYPERLINK("https://klasma.github.io/Logging_1737/klagomål/A 34876-2021 FSC-klagomål.docx", "A 34876-2021")</f>
        <v/>
      </c>
      <c r="W292">
        <f>HYPERLINK("https://klasma.github.io/Logging_1737/klagomålsmail/A 34876-2021 FSC-klagomål mail.docx", "A 34876-2021")</f>
        <v/>
      </c>
      <c r="X292">
        <f>HYPERLINK("https://klasma.github.io/Logging_1737/tillsyn/A 34876-2021 tillsynsbegäran.docx", "A 34876-2021")</f>
        <v/>
      </c>
      <c r="Y292">
        <f>HYPERLINK("https://klasma.github.io/Logging_1737/tillsynsmail/A 34876-2021 tillsynsbegäran mail.docx", "A 34876-2021")</f>
        <v/>
      </c>
    </row>
    <row r="293" ht="15" customHeight="1">
      <c r="A293" t="inlineStr">
        <is>
          <t>A 37342-2021</t>
        </is>
      </c>
      <c r="B293" s="1" t="n">
        <v>44397</v>
      </c>
      <c r="C293" s="1" t="n">
        <v>45213</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 artfynd.xlsx", "A 37342-2021")</f>
        <v/>
      </c>
      <c r="T293">
        <f>HYPERLINK("https://klasma.github.io/Logging_1784/kartor/A 37342-2021 karta.png", "A 37342-2021")</f>
        <v/>
      </c>
      <c r="U293">
        <f>HYPERLINK("https://klasma.github.io/Logging_1784/knärot/A 37342-2021 karta knärot.png", "A 37342-2021")</f>
        <v/>
      </c>
      <c r="V293">
        <f>HYPERLINK("https://klasma.github.io/Logging_1784/klagomål/A 37342-2021 FSC-klagomål.docx", "A 37342-2021")</f>
        <v/>
      </c>
      <c r="W293">
        <f>HYPERLINK("https://klasma.github.io/Logging_1784/klagomålsmail/A 37342-2021 FSC-klagomål mail.docx", "A 37342-2021")</f>
        <v/>
      </c>
      <c r="X293">
        <f>HYPERLINK("https://klasma.github.io/Logging_1784/tillsyn/A 37342-2021 tillsynsbegäran.docx", "A 37342-2021")</f>
        <v/>
      </c>
      <c r="Y293">
        <f>HYPERLINK("https://klasma.github.io/Logging_1784/tillsynsmail/A 37342-2021 tillsynsbegäran mail.docx", "A 37342-2021")</f>
        <v/>
      </c>
    </row>
    <row r="294" ht="15" customHeight="1">
      <c r="A294" t="inlineStr">
        <is>
          <t>A 40265-2021</t>
        </is>
      </c>
      <c r="B294" s="1" t="n">
        <v>44419</v>
      </c>
      <c r="C294" s="1" t="n">
        <v>45213</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 artfynd.xlsx", "A 40265-2021")</f>
        <v/>
      </c>
      <c r="T294">
        <f>HYPERLINK("https://klasma.github.io/Logging_1737/kartor/A 40265-2021 karta.png", "A 40265-2021")</f>
        <v/>
      </c>
      <c r="V294">
        <f>HYPERLINK("https://klasma.github.io/Logging_1737/klagomål/A 40265-2021 FSC-klagomål.docx", "A 40265-2021")</f>
        <v/>
      </c>
      <c r="W294">
        <f>HYPERLINK("https://klasma.github.io/Logging_1737/klagomålsmail/A 40265-2021 FSC-klagomål mail.docx", "A 40265-2021")</f>
        <v/>
      </c>
      <c r="X294">
        <f>HYPERLINK("https://klasma.github.io/Logging_1737/tillsyn/A 40265-2021 tillsynsbegäran.docx", "A 40265-2021")</f>
        <v/>
      </c>
      <c r="Y294">
        <f>HYPERLINK("https://klasma.github.io/Logging_1737/tillsynsmail/A 40265-2021 tillsynsbegäran mail.docx", "A 40265-2021")</f>
        <v/>
      </c>
    </row>
    <row r="295" ht="15" customHeight="1">
      <c r="A295" t="inlineStr">
        <is>
          <t>A 42209-2021</t>
        </is>
      </c>
      <c r="B295" s="1" t="n">
        <v>44426</v>
      </c>
      <c r="C295" s="1" t="n">
        <v>45213</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 artfynd.xlsx", "A 42209-2021")</f>
        <v/>
      </c>
      <c r="T295">
        <f>HYPERLINK("https://klasma.github.io/Logging_1715/kartor/A 42209-2021 karta.png", "A 42209-2021")</f>
        <v/>
      </c>
      <c r="V295">
        <f>HYPERLINK("https://klasma.github.io/Logging_1715/klagomål/A 42209-2021 FSC-klagomål.docx", "A 42209-2021")</f>
        <v/>
      </c>
      <c r="W295">
        <f>HYPERLINK("https://klasma.github.io/Logging_1715/klagomålsmail/A 42209-2021 FSC-klagomål mail.docx", "A 42209-2021")</f>
        <v/>
      </c>
      <c r="X295">
        <f>HYPERLINK("https://klasma.github.io/Logging_1715/tillsyn/A 42209-2021 tillsynsbegäran.docx", "A 42209-2021")</f>
        <v/>
      </c>
      <c r="Y295">
        <f>HYPERLINK("https://klasma.github.io/Logging_1715/tillsynsmail/A 42209-2021 tillsynsbegäran mail.docx", "A 42209-2021")</f>
        <v/>
      </c>
    </row>
    <row r="296" ht="15" customHeight="1">
      <c r="A296" t="inlineStr">
        <is>
          <t>A 45073-2021</t>
        </is>
      </c>
      <c r="B296" s="1" t="n">
        <v>44438</v>
      </c>
      <c r="C296" s="1" t="n">
        <v>45213</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 artfynd.xlsx", "A 45073-2021")</f>
        <v/>
      </c>
      <c r="T296">
        <f>HYPERLINK("https://klasma.github.io/Logging_1783/kartor/A 45073-2021 karta.png", "A 45073-2021")</f>
        <v/>
      </c>
      <c r="V296">
        <f>HYPERLINK("https://klasma.github.io/Logging_1783/klagomål/A 45073-2021 FSC-klagomål.docx", "A 45073-2021")</f>
        <v/>
      </c>
      <c r="W296">
        <f>HYPERLINK("https://klasma.github.io/Logging_1783/klagomålsmail/A 45073-2021 FSC-klagomål mail.docx", "A 45073-2021")</f>
        <v/>
      </c>
      <c r="X296">
        <f>HYPERLINK("https://klasma.github.io/Logging_1783/tillsyn/A 45073-2021 tillsynsbegäran.docx", "A 45073-2021")</f>
        <v/>
      </c>
      <c r="Y296">
        <f>HYPERLINK("https://klasma.github.io/Logging_1783/tillsynsmail/A 45073-2021 tillsynsbegäran mail.docx", "A 45073-2021")</f>
        <v/>
      </c>
    </row>
    <row r="297" ht="15" customHeight="1">
      <c r="A297" t="inlineStr">
        <is>
          <t>A 47134-2021</t>
        </is>
      </c>
      <c r="B297" s="1" t="n">
        <v>44446</v>
      </c>
      <c r="C297" s="1" t="n">
        <v>45213</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 artfynd.xlsx", "A 47134-2021")</f>
        <v/>
      </c>
      <c r="T297">
        <f>HYPERLINK("https://klasma.github.io/Logging_1780/kartor/A 47134-2021 karta.png", "A 47134-2021")</f>
        <v/>
      </c>
      <c r="V297">
        <f>HYPERLINK("https://klasma.github.io/Logging_1780/klagomål/A 47134-2021 FSC-klagomål.docx", "A 47134-2021")</f>
        <v/>
      </c>
      <c r="W297">
        <f>HYPERLINK("https://klasma.github.io/Logging_1780/klagomålsmail/A 47134-2021 FSC-klagomål mail.docx", "A 47134-2021")</f>
        <v/>
      </c>
      <c r="X297">
        <f>HYPERLINK("https://klasma.github.io/Logging_1780/tillsyn/A 47134-2021 tillsynsbegäran.docx", "A 47134-2021")</f>
        <v/>
      </c>
      <c r="Y297">
        <f>HYPERLINK("https://klasma.github.io/Logging_1780/tillsynsmail/A 47134-2021 tillsynsbegäran mail.docx", "A 47134-2021")</f>
        <v/>
      </c>
    </row>
    <row r="298" ht="15" customHeight="1">
      <c r="A298" t="inlineStr">
        <is>
          <t>A 46893-2021</t>
        </is>
      </c>
      <c r="B298" s="1" t="n">
        <v>44446</v>
      </c>
      <c r="C298" s="1" t="n">
        <v>45213</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 artfynd.xlsx", "A 46893-2021")</f>
        <v/>
      </c>
      <c r="T298">
        <f>HYPERLINK("https://klasma.github.io/Logging_1785/kartor/A 46893-2021 karta.png", "A 46893-2021")</f>
        <v/>
      </c>
      <c r="V298">
        <f>HYPERLINK("https://klasma.github.io/Logging_1785/klagomål/A 46893-2021 FSC-klagomål.docx", "A 46893-2021")</f>
        <v/>
      </c>
      <c r="W298">
        <f>HYPERLINK("https://klasma.github.io/Logging_1785/klagomålsmail/A 46893-2021 FSC-klagomål mail.docx", "A 46893-2021")</f>
        <v/>
      </c>
      <c r="X298">
        <f>HYPERLINK("https://klasma.github.io/Logging_1785/tillsyn/A 46893-2021 tillsynsbegäran.docx", "A 46893-2021")</f>
        <v/>
      </c>
      <c r="Y298">
        <f>HYPERLINK("https://klasma.github.io/Logging_1785/tillsynsmail/A 46893-2021 tillsynsbegäran mail.docx", "A 46893-2021")</f>
        <v/>
      </c>
    </row>
    <row r="299" ht="15" customHeight="1">
      <c r="A299" t="inlineStr">
        <is>
          <t>A 48327-2021</t>
        </is>
      </c>
      <c r="B299" s="1" t="n">
        <v>44450</v>
      </c>
      <c r="C299" s="1" t="n">
        <v>45213</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 artfynd.xlsx", "A 48327-2021")</f>
        <v/>
      </c>
      <c r="T299">
        <f>HYPERLINK("https://klasma.github.io/Logging_1785/kartor/A 48327-2021 karta.png", "A 48327-2021")</f>
        <v/>
      </c>
      <c r="V299">
        <f>HYPERLINK("https://klasma.github.io/Logging_1785/klagomål/A 48327-2021 FSC-klagomål.docx", "A 48327-2021")</f>
        <v/>
      </c>
      <c r="W299">
        <f>HYPERLINK("https://klasma.github.io/Logging_1785/klagomålsmail/A 48327-2021 FSC-klagomål mail.docx", "A 48327-2021")</f>
        <v/>
      </c>
      <c r="X299">
        <f>HYPERLINK("https://klasma.github.io/Logging_1785/tillsyn/A 48327-2021 tillsynsbegäran.docx", "A 48327-2021")</f>
        <v/>
      </c>
      <c r="Y299">
        <f>HYPERLINK("https://klasma.github.io/Logging_1785/tillsynsmail/A 48327-2021 tillsynsbegäran mail.docx", "A 48327-2021")</f>
        <v/>
      </c>
    </row>
    <row r="300" ht="15" customHeight="1">
      <c r="A300" t="inlineStr">
        <is>
          <t>A 48420-2021</t>
        </is>
      </c>
      <c r="B300" s="1" t="n">
        <v>44452</v>
      </c>
      <c r="C300" s="1" t="n">
        <v>45213</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 artfynd.xlsx", "A 48420-2021")</f>
        <v/>
      </c>
      <c r="T300">
        <f>HYPERLINK("https://klasma.github.io/Logging_1730/kartor/A 48420-2021 karta.png", "A 48420-2021")</f>
        <v/>
      </c>
      <c r="V300">
        <f>HYPERLINK("https://klasma.github.io/Logging_1730/klagomål/A 48420-2021 FSC-klagomål.docx", "A 48420-2021")</f>
        <v/>
      </c>
      <c r="W300">
        <f>HYPERLINK("https://klasma.github.io/Logging_1730/klagomålsmail/A 48420-2021 FSC-klagomål mail.docx", "A 48420-2021")</f>
        <v/>
      </c>
      <c r="X300">
        <f>HYPERLINK("https://klasma.github.io/Logging_1730/tillsyn/A 48420-2021 tillsynsbegäran.docx", "A 48420-2021")</f>
        <v/>
      </c>
      <c r="Y300">
        <f>HYPERLINK("https://klasma.github.io/Logging_1730/tillsynsmail/A 48420-2021 tillsynsbegäran mail.docx", "A 48420-2021")</f>
        <v/>
      </c>
    </row>
    <row r="301" ht="15" customHeight="1">
      <c r="A301" t="inlineStr">
        <is>
          <t>A 49110-2021</t>
        </is>
      </c>
      <c r="B301" s="1" t="n">
        <v>44453</v>
      </c>
      <c r="C301" s="1" t="n">
        <v>45213</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 artfynd.xlsx", "A 49110-2021")</f>
        <v/>
      </c>
      <c r="T301">
        <f>HYPERLINK("https://klasma.github.io/Logging_1737/kartor/A 49110-2021 karta.png", "A 49110-2021")</f>
        <v/>
      </c>
      <c r="V301">
        <f>HYPERLINK("https://klasma.github.io/Logging_1737/klagomål/A 49110-2021 FSC-klagomål.docx", "A 49110-2021")</f>
        <v/>
      </c>
      <c r="W301">
        <f>HYPERLINK("https://klasma.github.io/Logging_1737/klagomålsmail/A 49110-2021 FSC-klagomål mail.docx", "A 49110-2021")</f>
        <v/>
      </c>
      <c r="X301">
        <f>HYPERLINK("https://klasma.github.io/Logging_1737/tillsyn/A 49110-2021 tillsynsbegäran.docx", "A 49110-2021")</f>
        <v/>
      </c>
      <c r="Y301">
        <f>HYPERLINK("https://klasma.github.io/Logging_1737/tillsynsmail/A 49110-2021 tillsynsbegäran mail.docx", "A 49110-2021")</f>
        <v/>
      </c>
    </row>
    <row r="302" ht="15" customHeight="1">
      <c r="A302" t="inlineStr">
        <is>
          <t>A 54982-2021</t>
        </is>
      </c>
      <c r="B302" s="1" t="n">
        <v>44469</v>
      </c>
      <c r="C302" s="1" t="n">
        <v>45213</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 artfynd.xlsx", "A 54982-2021")</f>
        <v/>
      </c>
      <c r="T302">
        <f>HYPERLINK("https://klasma.github.io/Logging_1737/kartor/A 54982-2021 karta.png", "A 54982-2021")</f>
        <v/>
      </c>
      <c r="V302">
        <f>HYPERLINK("https://klasma.github.io/Logging_1737/klagomål/A 54982-2021 FSC-klagomål.docx", "A 54982-2021")</f>
        <v/>
      </c>
      <c r="W302">
        <f>HYPERLINK("https://klasma.github.io/Logging_1737/klagomålsmail/A 54982-2021 FSC-klagomål mail.docx", "A 54982-2021")</f>
        <v/>
      </c>
      <c r="X302">
        <f>HYPERLINK("https://klasma.github.io/Logging_1737/tillsyn/A 54982-2021 tillsynsbegäran.docx", "A 54982-2021")</f>
        <v/>
      </c>
      <c r="Y302">
        <f>HYPERLINK("https://klasma.github.io/Logging_1737/tillsynsmail/A 54982-2021 tillsynsbegäran mail.docx", "A 54982-2021")</f>
        <v/>
      </c>
    </row>
    <row r="303" ht="15" customHeight="1">
      <c r="A303" t="inlineStr">
        <is>
          <t>A 55264-2021</t>
        </is>
      </c>
      <c r="B303" s="1" t="n">
        <v>44475</v>
      </c>
      <c r="C303" s="1" t="n">
        <v>45213</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 artfynd.xlsx", "A 55264-2021")</f>
        <v/>
      </c>
      <c r="T303">
        <f>HYPERLINK("https://klasma.github.io/Logging_1780/kartor/A 55264-2021 karta.png", "A 55264-2021")</f>
        <v/>
      </c>
      <c r="V303">
        <f>HYPERLINK("https://klasma.github.io/Logging_1780/klagomål/A 55264-2021 FSC-klagomål.docx", "A 55264-2021")</f>
        <v/>
      </c>
      <c r="W303">
        <f>HYPERLINK("https://klasma.github.io/Logging_1780/klagomålsmail/A 55264-2021 FSC-klagomål mail.docx", "A 55264-2021")</f>
        <v/>
      </c>
      <c r="X303">
        <f>HYPERLINK("https://klasma.github.io/Logging_1780/tillsyn/A 55264-2021 tillsynsbegäran.docx", "A 55264-2021")</f>
        <v/>
      </c>
      <c r="Y303">
        <f>HYPERLINK("https://klasma.github.io/Logging_1780/tillsynsmail/A 55264-2021 tillsynsbegäran mail.docx", "A 55264-2021")</f>
        <v/>
      </c>
    </row>
    <row r="304" ht="15" customHeight="1">
      <c r="A304" t="inlineStr">
        <is>
          <t>A 55210-2021</t>
        </is>
      </c>
      <c r="B304" s="1" t="n">
        <v>44475</v>
      </c>
      <c r="C304" s="1" t="n">
        <v>45213</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 artfynd.xlsx", "A 55210-2021")</f>
        <v/>
      </c>
      <c r="T304">
        <f>HYPERLINK("https://klasma.github.io/Logging_1780/kartor/A 55210-2021 karta.png", "A 55210-2021")</f>
        <v/>
      </c>
      <c r="V304">
        <f>HYPERLINK("https://klasma.github.io/Logging_1780/klagomål/A 55210-2021 FSC-klagomål.docx", "A 55210-2021")</f>
        <v/>
      </c>
      <c r="W304">
        <f>HYPERLINK("https://klasma.github.io/Logging_1780/klagomålsmail/A 55210-2021 FSC-klagomål mail.docx", "A 55210-2021")</f>
        <v/>
      </c>
      <c r="X304">
        <f>HYPERLINK("https://klasma.github.io/Logging_1780/tillsyn/A 55210-2021 tillsynsbegäran.docx", "A 55210-2021")</f>
        <v/>
      </c>
      <c r="Y304">
        <f>HYPERLINK("https://klasma.github.io/Logging_1780/tillsynsmail/A 55210-2021 tillsynsbegäran mail.docx", "A 55210-2021")</f>
        <v/>
      </c>
    </row>
    <row r="305" ht="15" customHeight="1">
      <c r="A305" t="inlineStr">
        <is>
          <t>A 56872-2021</t>
        </is>
      </c>
      <c r="B305" s="1" t="n">
        <v>44481</v>
      </c>
      <c r="C305" s="1" t="n">
        <v>45213</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 artfynd.xlsx", "A 56872-2021")</f>
        <v/>
      </c>
      <c r="T305">
        <f>HYPERLINK("https://klasma.github.io/Logging_1784/kartor/A 56872-2021 karta.png", "A 56872-2021")</f>
        <v/>
      </c>
      <c r="U305">
        <f>HYPERLINK("https://klasma.github.io/Logging_1784/knärot/A 56872-2021 karta knärot.png", "A 56872-2021")</f>
        <v/>
      </c>
      <c r="V305">
        <f>HYPERLINK("https://klasma.github.io/Logging_1784/klagomål/A 56872-2021 FSC-klagomål.docx", "A 56872-2021")</f>
        <v/>
      </c>
      <c r="W305">
        <f>HYPERLINK("https://klasma.github.io/Logging_1784/klagomålsmail/A 56872-2021 FSC-klagomål mail.docx", "A 56872-2021")</f>
        <v/>
      </c>
      <c r="X305">
        <f>HYPERLINK("https://klasma.github.io/Logging_1784/tillsyn/A 56872-2021 tillsynsbegäran.docx", "A 56872-2021")</f>
        <v/>
      </c>
      <c r="Y305">
        <f>HYPERLINK("https://klasma.github.io/Logging_1784/tillsynsmail/A 56872-2021 tillsynsbegäran mail.docx", "A 56872-2021")</f>
        <v/>
      </c>
    </row>
    <row r="306" ht="15" customHeight="1">
      <c r="A306" t="inlineStr">
        <is>
          <t>A 58471-2021</t>
        </is>
      </c>
      <c r="B306" s="1" t="n">
        <v>44488</v>
      </c>
      <c r="C306" s="1" t="n">
        <v>45213</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 artfynd.xlsx", "A 58471-2021")</f>
        <v/>
      </c>
      <c r="T306">
        <f>HYPERLINK("https://klasma.github.io/Logging_1737/kartor/A 58471-2021 karta.png", "A 58471-2021")</f>
        <v/>
      </c>
      <c r="V306">
        <f>HYPERLINK("https://klasma.github.io/Logging_1737/klagomål/A 58471-2021 FSC-klagomål.docx", "A 58471-2021")</f>
        <v/>
      </c>
      <c r="W306">
        <f>HYPERLINK("https://klasma.github.io/Logging_1737/klagomålsmail/A 58471-2021 FSC-klagomål mail.docx", "A 58471-2021")</f>
        <v/>
      </c>
      <c r="X306">
        <f>HYPERLINK("https://klasma.github.io/Logging_1737/tillsyn/A 58471-2021 tillsynsbegäran.docx", "A 58471-2021")</f>
        <v/>
      </c>
      <c r="Y306">
        <f>HYPERLINK("https://klasma.github.io/Logging_1737/tillsynsmail/A 58471-2021 tillsynsbegäran mail.docx", "A 58471-2021")</f>
        <v/>
      </c>
    </row>
    <row r="307" ht="15" customHeight="1">
      <c r="A307" t="inlineStr">
        <is>
          <t>A 61813-2021</t>
        </is>
      </c>
      <c r="B307" s="1" t="n">
        <v>44501</v>
      </c>
      <c r="C307" s="1" t="n">
        <v>45213</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 artfynd.xlsx", "A 61813-2021")</f>
        <v/>
      </c>
      <c r="T307">
        <f>HYPERLINK("https://klasma.github.io/Logging_1737/kartor/A 61813-2021 karta.png", "A 61813-2021")</f>
        <v/>
      </c>
      <c r="V307">
        <f>HYPERLINK("https://klasma.github.io/Logging_1737/klagomål/A 61813-2021 FSC-klagomål.docx", "A 61813-2021")</f>
        <v/>
      </c>
      <c r="W307">
        <f>HYPERLINK("https://klasma.github.io/Logging_1737/klagomålsmail/A 61813-2021 FSC-klagomål mail.docx", "A 61813-2021")</f>
        <v/>
      </c>
      <c r="X307">
        <f>HYPERLINK("https://klasma.github.io/Logging_1737/tillsyn/A 61813-2021 tillsynsbegäran.docx", "A 61813-2021")</f>
        <v/>
      </c>
      <c r="Y307">
        <f>HYPERLINK("https://klasma.github.io/Logging_1737/tillsynsmail/A 61813-2021 tillsynsbegäran mail.docx", "A 61813-2021")</f>
        <v/>
      </c>
    </row>
    <row r="308" ht="15" customHeight="1">
      <c r="A308" t="inlineStr">
        <is>
          <t>A 62572-2021</t>
        </is>
      </c>
      <c r="B308" s="1" t="n">
        <v>44503</v>
      </c>
      <c r="C308" s="1" t="n">
        <v>45213</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 artfynd.xlsx", "A 62572-2021")</f>
        <v/>
      </c>
      <c r="T308">
        <f>HYPERLINK("https://klasma.github.io/Logging_1782/kartor/A 62572-2021 karta.png", "A 62572-2021")</f>
        <v/>
      </c>
      <c r="V308">
        <f>HYPERLINK("https://klasma.github.io/Logging_1782/klagomål/A 62572-2021 FSC-klagomål.docx", "A 62572-2021")</f>
        <v/>
      </c>
      <c r="W308">
        <f>HYPERLINK("https://klasma.github.io/Logging_1782/klagomålsmail/A 62572-2021 FSC-klagomål mail.docx", "A 62572-2021")</f>
        <v/>
      </c>
      <c r="X308">
        <f>HYPERLINK("https://klasma.github.io/Logging_1782/tillsyn/A 62572-2021 tillsynsbegäran.docx", "A 62572-2021")</f>
        <v/>
      </c>
      <c r="Y308">
        <f>HYPERLINK("https://klasma.github.io/Logging_1782/tillsynsmail/A 62572-2021 tillsynsbegäran mail.docx", "A 62572-2021")</f>
        <v/>
      </c>
    </row>
    <row r="309" ht="15" customHeight="1">
      <c r="A309" t="inlineStr">
        <is>
          <t>A 62619-2021</t>
        </is>
      </c>
      <c r="B309" s="1" t="n">
        <v>44503</v>
      </c>
      <c r="C309" s="1" t="n">
        <v>45213</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 artfynd.xlsx", "A 62619-2021")</f>
        <v/>
      </c>
      <c r="T309">
        <f>HYPERLINK("https://klasma.github.io/Logging_1784/kartor/A 62619-2021 karta.png", "A 62619-2021")</f>
        <v/>
      </c>
      <c r="V309">
        <f>HYPERLINK("https://klasma.github.io/Logging_1784/klagomål/A 62619-2021 FSC-klagomål.docx", "A 62619-2021")</f>
        <v/>
      </c>
      <c r="W309">
        <f>HYPERLINK("https://klasma.github.io/Logging_1784/klagomålsmail/A 62619-2021 FSC-klagomål mail.docx", "A 62619-2021")</f>
        <v/>
      </c>
      <c r="X309">
        <f>HYPERLINK("https://klasma.github.io/Logging_1784/tillsyn/A 62619-2021 tillsynsbegäran.docx", "A 62619-2021")</f>
        <v/>
      </c>
      <c r="Y309">
        <f>HYPERLINK("https://klasma.github.io/Logging_1784/tillsynsmail/A 62619-2021 tillsynsbegäran mail.docx", "A 62619-2021")</f>
        <v/>
      </c>
    </row>
    <row r="310" ht="15" customHeight="1">
      <c r="A310" t="inlineStr">
        <is>
          <t>A 64504-2021</t>
        </is>
      </c>
      <c r="B310" s="1" t="n">
        <v>44511</v>
      </c>
      <c r="C310" s="1" t="n">
        <v>45213</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 artfynd.xlsx", "A 64504-2021")</f>
        <v/>
      </c>
      <c r="T310">
        <f>HYPERLINK("https://klasma.github.io/Logging_1715/kartor/A 64504-2021 karta.png", "A 64504-2021")</f>
        <v/>
      </c>
      <c r="U310">
        <f>HYPERLINK("https://klasma.github.io/Logging_1715/knärot/A 64504-2021 karta knärot.png", "A 64504-2021")</f>
        <v/>
      </c>
      <c r="V310">
        <f>HYPERLINK("https://klasma.github.io/Logging_1715/klagomål/A 64504-2021 FSC-klagomål.docx", "A 64504-2021")</f>
        <v/>
      </c>
      <c r="W310">
        <f>HYPERLINK("https://klasma.github.io/Logging_1715/klagomålsmail/A 64504-2021 FSC-klagomål mail.docx", "A 64504-2021")</f>
        <v/>
      </c>
      <c r="X310">
        <f>HYPERLINK("https://klasma.github.io/Logging_1715/tillsyn/A 64504-2021 tillsynsbegäran.docx", "A 64504-2021")</f>
        <v/>
      </c>
      <c r="Y310">
        <f>HYPERLINK("https://klasma.github.io/Logging_1715/tillsynsmail/A 64504-2021 tillsynsbegäran mail.docx", "A 64504-2021")</f>
        <v/>
      </c>
    </row>
    <row r="311" ht="15" customHeight="1">
      <c r="A311" t="inlineStr">
        <is>
          <t>A 65767-2021</t>
        </is>
      </c>
      <c r="B311" s="1" t="n">
        <v>44516</v>
      </c>
      <c r="C311" s="1" t="n">
        <v>45213</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 artfynd.xlsx", "A 65767-2021")</f>
        <v/>
      </c>
      <c r="T311">
        <f>HYPERLINK("https://klasma.github.io/Logging_1737/kartor/A 65767-2021 karta.png", "A 65767-2021")</f>
        <v/>
      </c>
      <c r="V311">
        <f>HYPERLINK("https://klasma.github.io/Logging_1737/klagomål/A 65767-2021 FSC-klagomål.docx", "A 65767-2021")</f>
        <v/>
      </c>
      <c r="W311">
        <f>HYPERLINK("https://klasma.github.io/Logging_1737/klagomålsmail/A 65767-2021 FSC-klagomål mail.docx", "A 65767-2021")</f>
        <v/>
      </c>
      <c r="X311">
        <f>HYPERLINK("https://klasma.github.io/Logging_1737/tillsyn/A 65767-2021 tillsynsbegäran.docx", "A 65767-2021")</f>
        <v/>
      </c>
      <c r="Y311">
        <f>HYPERLINK("https://klasma.github.io/Logging_1737/tillsynsmail/A 65767-2021 tillsynsbegäran mail.docx", "A 65767-2021")</f>
        <v/>
      </c>
    </row>
    <row r="312" ht="15" customHeight="1">
      <c r="A312" t="inlineStr">
        <is>
          <t>A 65920-2021</t>
        </is>
      </c>
      <c r="B312" s="1" t="n">
        <v>44517</v>
      </c>
      <c r="C312" s="1" t="n">
        <v>45213</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 artfynd.xlsx", "A 65920-2021")</f>
        <v/>
      </c>
      <c r="T312">
        <f>HYPERLINK("https://klasma.github.io/Logging_1760/kartor/A 65920-2021 karta.png", "A 65920-2021")</f>
        <v/>
      </c>
      <c r="V312">
        <f>HYPERLINK("https://klasma.github.io/Logging_1760/klagomål/A 65920-2021 FSC-klagomål.docx", "A 65920-2021")</f>
        <v/>
      </c>
      <c r="W312">
        <f>HYPERLINK("https://klasma.github.io/Logging_1760/klagomålsmail/A 65920-2021 FSC-klagomål mail.docx", "A 65920-2021")</f>
        <v/>
      </c>
      <c r="X312">
        <f>HYPERLINK("https://klasma.github.io/Logging_1760/tillsyn/A 65920-2021 tillsynsbegäran.docx", "A 65920-2021")</f>
        <v/>
      </c>
      <c r="Y312">
        <f>HYPERLINK("https://klasma.github.io/Logging_1760/tillsynsmail/A 65920-2021 tillsynsbegäran mail.docx", "A 65920-2021")</f>
        <v/>
      </c>
    </row>
    <row r="313" ht="15" customHeight="1">
      <c r="A313" t="inlineStr">
        <is>
          <t>A 66274-2021</t>
        </is>
      </c>
      <c r="B313" s="1" t="n">
        <v>44518</v>
      </c>
      <c r="C313" s="1" t="n">
        <v>45213</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 artfynd.xlsx", "A 66274-2021")</f>
        <v/>
      </c>
      <c r="T313">
        <f>HYPERLINK("https://klasma.github.io/Logging_1780/kartor/A 66274-2021 karta.png", "A 66274-2021")</f>
        <v/>
      </c>
      <c r="V313">
        <f>HYPERLINK("https://klasma.github.io/Logging_1780/klagomål/A 66274-2021 FSC-klagomål.docx", "A 66274-2021")</f>
        <v/>
      </c>
      <c r="W313">
        <f>HYPERLINK("https://klasma.github.io/Logging_1780/klagomålsmail/A 66274-2021 FSC-klagomål mail.docx", "A 66274-2021")</f>
        <v/>
      </c>
      <c r="X313">
        <f>HYPERLINK("https://klasma.github.io/Logging_1780/tillsyn/A 66274-2021 tillsynsbegäran.docx", "A 66274-2021")</f>
        <v/>
      </c>
      <c r="Y313">
        <f>HYPERLINK("https://klasma.github.io/Logging_1780/tillsynsmail/A 66274-2021 tillsynsbegäran mail.docx", "A 66274-2021")</f>
        <v/>
      </c>
    </row>
    <row r="314" ht="15" customHeight="1">
      <c r="A314" t="inlineStr">
        <is>
          <t>A 69709-2021</t>
        </is>
      </c>
      <c r="B314" s="1" t="n">
        <v>44532</v>
      </c>
      <c r="C314" s="1" t="n">
        <v>45213</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 artfynd.xlsx", "A 69709-2021")</f>
        <v/>
      </c>
      <c r="T314">
        <f>HYPERLINK("https://klasma.github.io/Logging_1783/kartor/A 69709-2021 karta.png", "A 69709-2021")</f>
        <v/>
      </c>
      <c r="V314">
        <f>HYPERLINK("https://klasma.github.io/Logging_1783/klagomål/A 69709-2021 FSC-klagomål.docx", "A 69709-2021")</f>
        <v/>
      </c>
      <c r="W314">
        <f>HYPERLINK("https://klasma.github.io/Logging_1783/klagomålsmail/A 69709-2021 FSC-klagomål mail.docx", "A 69709-2021")</f>
        <v/>
      </c>
      <c r="X314">
        <f>HYPERLINK("https://klasma.github.io/Logging_1783/tillsyn/A 69709-2021 tillsynsbegäran.docx", "A 69709-2021")</f>
        <v/>
      </c>
      <c r="Y314">
        <f>HYPERLINK("https://klasma.github.io/Logging_1783/tillsynsmail/A 69709-2021 tillsynsbegäran mail.docx", "A 69709-2021")</f>
        <v/>
      </c>
    </row>
    <row r="315" ht="15" customHeight="1">
      <c r="A315" t="inlineStr">
        <is>
          <t>A 71594-2021</t>
        </is>
      </c>
      <c r="B315" s="1" t="n">
        <v>44541</v>
      </c>
      <c r="C315" s="1" t="n">
        <v>45213</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 artfynd.xlsx", "A 71594-2021")</f>
        <v/>
      </c>
      <c r="T315">
        <f>HYPERLINK("https://klasma.github.io/Logging_1737/kartor/A 71594-2021 karta.png", "A 71594-2021")</f>
        <v/>
      </c>
      <c r="V315">
        <f>HYPERLINK("https://klasma.github.io/Logging_1737/klagomål/A 71594-2021 FSC-klagomål.docx", "A 71594-2021")</f>
        <v/>
      </c>
      <c r="W315">
        <f>HYPERLINK("https://klasma.github.io/Logging_1737/klagomålsmail/A 71594-2021 FSC-klagomål mail.docx", "A 71594-2021")</f>
        <v/>
      </c>
      <c r="X315">
        <f>HYPERLINK("https://klasma.github.io/Logging_1737/tillsyn/A 71594-2021 tillsynsbegäran.docx", "A 71594-2021")</f>
        <v/>
      </c>
      <c r="Y315">
        <f>HYPERLINK("https://klasma.github.io/Logging_1737/tillsynsmail/A 71594-2021 tillsynsbegäran mail.docx", "A 71594-2021")</f>
        <v/>
      </c>
    </row>
    <row r="316" ht="15" customHeight="1">
      <c r="A316" t="inlineStr">
        <is>
          <t>A 72222-2021</t>
        </is>
      </c>
      <c r="B316" s="1" t="n">
        <v>44544</v>
      </c>
      <c r="C316" s="1" t="n">
        <v>45213</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 artfynd.xlsx", "A 72222-2021")</f>
        <v/>
      </c>
      <c r="T316">
        <f>HYPERLINK("https://klasma.github.io/Logging_1784/kartor/A 72222-2021 karta.png", "A 72222-2021")</f>
        <v/>
      </c>
      <c r="U316">
        <f>HYPERLINK("https://klasma.github.io/Logging_1784/knärot/A 72222-2021 karta knärot.png", "A 72222-2021")</f>
        <v/>
      </c>
      <c r="V316">
        <f>HYPERLINK("https://klasma.github.io/Logging_1784/klagomål/A 72222-2021 FSC-klagomål.docx", "A 72222-2021")</f>
        <v/>
      </c>
      <c r="W316">
        <f>HYPERLINK("https://klasma.github.io/Logging_1784/klagomålsmail/A 72222-2021 FSC-klagomål mail.docx", "A 72222-2021")</f>
        <v/>
      </c>
      <c r="X316">
        <f>HYPERLINK("https://klasma.github.io/Logging_1784/tillsyn/A 72222-2021 tillsynsbegäran.docx", "A 72222-2021")</f>
        <v/>
      </c>
      <c r="Y316">
        <f>HYPERLINK("https://klasma.github.io/Logging_1784/tillsynsmail/A 72222-2021 tillsynsbegäran mail.docx", "A 72222-2021")</f>
        <v/>
      </c>
    </row>
    <row r="317" ht="15" customHeight="1">
      <c r="A317" t="inlineStr">
        <is>
          <t>A 72045-2021</t>
        </is>
      </c>
      <c r="B317" s="1" t="n">
        <v>44544</v>
      </c>
      <c r="C317" s="1" t="n">
        <v>45213</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 artfynd.xlsx", "A 72045-2021")</f>
        <v/>
      </c>
      <c r="T317">
        <f>HYPERLINK("https://klasma.github.io/Logging_1780/kartor/A 72045-2021 karta.png", "A 72045-2021")</f>
        <v/>
      </c>
      <c r="V317">
        <f>HYPERLINK("https://klasma.github.io/Logging_1780/klagomål/A 72045-2021 FSC-klagomål.docx", "A 72045-2021")</f>
        <v/>
      </c>
      <c r="W317">
        <f>HYPERLINK("https://klasma.github.io/Logging_1780/klagomålsmail/A 72045-2021 FSC-klagomål mail.docx", "A 72045-2021")</f>
        <v/>
      </c>
      <c r="X317">
        <f>HYPERLINK("https://klasma.github.io/Logging_1780/tillsyn/A 72045-2021 tillsynsbegäran.docx", "A 72045-2021")</f>
        <v/>
      </c>
      <c r="Y317">
        <f>HYPERLINK("https://klasma.github.io/Logging_1780/tillsynsmail/A 72045-2021 tillsynsbegäran mail.docx", "A 72045-2021")</f>
        <v/>
      </c>
    </row>
    <row r="318" ht="15" customHeight="1">
      <c r="A318" t="inlineStr">
        <is>
          <t>A 72829-2021</t>
        </is>
      </c>
      <c r="B318" s="1" t="n">
        <v>44547</v>
      </c>
      <c r="C318" s="1" t="n">
        <v>45213</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 artfynd.xlsx", "A 72829-2021")</f>
        <v/>
      </c>
      <c r="T318">
        <f>HYPERLINK("https://klasma.github.io/Logging_1784/kartor/A 72829-2021 karta.png", "A 72829-2021")</f>
        <v/>
      </c>
      <c r="U318">
        <f>HYPERLINK("https://klasma.github.io/Logging_1784/knärot/A 72829-2021 karta knärot.png", "A 72829-2021")</f>
        <v/>
      </c>
      <c r="V318">
        <f>HYPERLINK("https://klasma.github.io/Logging_1784/klagomål/A 72829-2021 FSC-klagomål.docx", "A 72829-2021")</f>
        <v/>
      </c>
      <c r="W318">
        <f>HYPERLINK("https://klasma.github.io/Logging_1784/klagomålsmail/A 72829-2021 FSC-klagomål mail.docx", "A 72829-2021")</f>
        <v/>
      </c>
      <c r="X318">
        <f>HYPERLINK("https://klasma.github.io/Logging_1784/tillsyn/A 72829-2021 tillsynsbegäran.docx", "A 72829-2021")</f>
        <v/>
      </c>
      <c r="Y318">
        <f>HYPERLINK("https://klasma.github.io/Logging_1784/tillsynsmail/A 72829-2021 tillsynsbegäran mail.docx", "A 72829-2021")</f>
        <v/>
      </c>
    </row>
    <row r="319" ht="15" customHeight="1">
      <c r="A319" t="inlineStr">
        <is>
          <t>A 73999-2021</t>
        </is>
      </c>
      <c r="B319" s="1" t="n">
        <v>44557</v>
      </c>
      <c r="C319" s="1" t="n">
        <v>45213</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 artfynd.xlsx", "A 73999-2021")</f>
        <v/>
      </c>
      <c r="T319">
        <f>HYPERLINK("https://klasma.github.io/Logging_1784/kartor/A 73999-2021 karta.png", "A 73999-2021")</f>
        <v/>
      </c>
      <c r="U319">
        <f>HYPERLINK("https://klasma.github.io/Logging_1784/knärot/A 73999-2021 karta knärot.png", "A 73999-2021")</f>
        <v/>
      </c>
      <c r="V319">
        <f>HYPERLINK("https://klasma.github.io/Logging_1784/klagomål/A 73999-2021 FSC-klagomål.docx", "A 73999-2021")</f>
        <v/>
      </c>
      <c r="W319">
        <f>HYPERLINK("https://klasma.github.io/Logging_1784/klagomålsmail/A 73999-2021 FSC-klagomål mail.docx", "A 73999-2021")</f>
        <v/>
      </c>
      <c r="X319">
        <f>HYPERLINK("https://klasma.github.io/Logging_1784/tillsyn/A 73999-2021 tillsynsbegäran.docx", "A 73999-2021")</f>
        <v/>
      </c>
      <c r="Y319">
        <f>HYPERLINK("https://klasma.github.io/Logging_1784/tillsynsmail/A 73999-2021 tillsynsbegäran mail.docx", "A 73999-2021")</f>
        <v/>
      </c>
    </row>
    <row r="320" ht="15" customHeight="1">
      <c r="A320" t="inlineStr">
        <is>
          <t>A 1734-2022</t>
        </is>
      </c>
      <c r="B320" s="1" t="n">
        <v>44574</v>
      </c>
      <c r="C320" s="1" t="n">
        <v>45213</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 artfynd.xlsx", "A 1734-2022")</f>
        <v/>
      </c>
      <c r="T320">
        <f>HYPERLINK("https://klasma.github.io/Logging_1781/kartor/A 1734-2022 karta.png", "A 1734-2022")</f>
        <v/>
      </c>
      <c r="V320">
        <f>HYPERLINK("https://klasma.github.io/Logging_1781/klagomål/A 1734-2022 FSC-klagomål.docx", "A 1734-2022")</f>
        <v/>
      </c>
      <c r="W320">
        <f>HYPERLINK("https://klasma.github.io/Logging_1781/klagomålsmail/A 1734-2022 FSC-klagomål mail.docx", "A 1734-2022")</f>
        <v/>
      </c>
      <c r="X320">
        <f>HYPERLINK("https://klasma.github.io/Logging_1781/tillsyn/A 1734-2022 tillsynsbegäran.docx", "A 1734-2022")</f>
        <v/>
      </c>
      <c r="Y320">
        <f>HYPERLINK("https://klasma.github.io/Logging_1781/tillsynsmail/A 1734-2022 tillsynsbegäran mail.docx", "A 1734-2022")</f>
        <v/>
      </c>
    </row>
    <row r="321" ht="15" customHeight="1">
      <c r="A321" t="inlineStr">
        <is>
          <t>A 3404-2022</t>
        </is>
      </c>
      <c r="B321" s="1" t="n">
        <v>44585</v>
      </c>
      <c r="C321" s="1" t="n">
        <v>45213</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 artfynd.xlsx", "A 3404-2022")</f>
        <v/>
      </c>
      <c r="T321">
        <f>HYPERLINK("https://klasma.github.io/Logging_1737/kartor/A 3404-2022 karta.png", "A 3404-2022")</f>
        <v/>
      </c>
      <c r="V321">
        <f>HYPERLINK("https://klasma.github.io/Logging_1737/klagomål/A 3404-2022 FSC-klagomål.docx", "A 3404-2022")</f>
        <v/>
      </c>
      <c r="W321">
        <f>HYPERLINK("https://klasma.github.io/Logging_1737/klagomålsmail/A 3404-2022 FSC-klagomål mail.docx", "A 3404-2022")</f>
        <v/>
      </c>
      <c r="X321">
        <f>HYPERLINK("https://klasma.github.io/Logging_1737/tillsyn/A 3404-2022 tillsynsbegäran.docx", "A 3404-2022")</f>
        <v/>
      </c>
      <c r="Y321">
        <f>HYPERLINK("https://klasma.github.io/Logging_1737/tillsynsmail/A 3404-2022 tillsynsbegäran mail.docx", "A 3404-2022")</f>
        <v/>
      </c>
    </row>
    <row r="322" ht="15" customHeight="1">
      <c r="A322" t="inlineStr">
        <is>
          <t>A 4394-2022</t>
        </is>
      </c>
      <c r="B322" s="1" t="n">
        <v>44589</v>
      </c>
      <c r="C322" s="1" t="n">
        <v>45213</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 artfynd.xlsx", "A 4394-2022")</f>
        <v/>
      </c>
      <c r="T322">
        <f>HYPERLINK("https://klasma.github.io/Logging_1785/kartor/A 4394-2022 karta.png", "A 4394-2022")</f>
        <v/>
      </c>
      <c r="V322">
        <f>HYPERLINK("https://klasma.github.io/Logging_1785/klagomål/A 4394-2022 FSC-klagomål.docx", "A 4394-2022")</f>
        <v/>
      </c>
      <c r="W322">
        <f>HYPERLINK("https://klasma.github.io/Logging_1785/klagomålsmail/A 4394-2022 FSC-klagomål mail.docx", "A 4394-2022")</f>
        <v/>
      </c>
      <c r="X322">
        <f>HYPERLINK("https://klasma.github.io/Logging_1785/tillsyn/A 4394-2022 tillsynsbegäran.docx", "A 4394-2022")</f>
        <v/>
      </c>
      <c r="Y322">
        <f>HYPERLINK("https://klasma.github.io/Logging_1785/tillsynsmail/A 4394-2022 tillsynsbegäran mail.docx", "A 4394-2022")</f>
        <v/>
      </c>
    </row>
    <row r="323" ht="15" customHeight="1">
      <c r="A323" t="inlineStr">
        <is>
          <t>A 4664-2022</t>
        </is>
      </c>
      <c r="B323" s="1" t="n">
        <v>44592</v>
      </c>
      <c r="C323" s="1" t="n">
        <v>45213</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 artfynd.xlsx", "A 4664-2022")</f>
        <v/>
      </c>
      <c r="T323">
        <f>HYPERLINK("https://klasma.github.io/Logging_1780/kartor/A 4664-2022 karta.png", "A 4664-2022")</f>
        <v/>
      </c>
      <c r="V323">
        <f>HYPERLINK("https://klasma.github.io/Logging_1780/klagomål/A 4664-2022 FSC-klagomål.docx", "A 4664-2022")</f>
        <v/>
      </c>
      <c r="W323">
        <f>HYPERLINK("https://klasma.github.io/Logging_1780/klagomålsmail/A 4664-2022 FSC-klagomål mail.docx", "A 4664-2022")</f>
        <v/>
      </c>
      <c r="X323">
        <f>HYPERLINK("https://klasma.github.io/Logging_1780/tillsyn/A 4664-2022 tillsynsbegäran.docx", "A 4664-2022")</f>
        <v/>
      </c>
      <c r="Y323">
        <f>HYPERLINK("https://klasma.github.io/Logging_1780/tillsynsmail/A 4664-2022 tillsynsbegäran mail.docx", "A 4664-2022")</f>
        <v/>
      </c>
    </row>
    <row r="324" ht="15" customHeight="1">
      <c r="A324" t="inlineStr">
        <is>
          <t>A 6814-2022</t>
        </is>
      </c>
      <c r="B324" s="1" t="n">
        <v>44602</v>
      </c>
      <c r="C324" s="1" t="n">
        <v>45213</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 artfynd.xlsx", "A 6814-2022")</f>
        <v/>
      </c>
      <c r="T324">
        <f>HYPERLINK("https://klasma.github.io/Logging_1784/kartor/A 6814-2022 karta.png", "A 6814-2022")</f>
        <v/>
      </c>
      <c r="V324">
        <f>HYPERLINK("https://klasma.github.io/Logging_1784/klagomål/A 6814-2022 FSC-klagomål.docx", "A 6814-2022")</f>
        <v/>
      </c>
      <c r="W324">
        <f>HYPERLINK("https://klasma.github.io/Logging_1784/klagomålsmail/A 6814-2022 FSC-klagomål mail.docx", "A 6814-2022")</f>
        <v/>
      </c>
      <c r="X324">
        <f>HYPERLINK("https://klasma.github.io/Logging_1784/tillsyn/A 6814-2022 tillsynsbegäran.docx", "A 6814-2022")</f>
        <v/>
      </c>
      <c r="Y324">
        <f>HYPERLINK("https://klasma.github.io/Logging_1784/tillsynsmail/A 6814-2022 tillsynsbegäran mail.docx", "A 6814-2022")</f>
        <v/>
      </c>
    </row>
    <row r="325" ht="15" customHeight="1">
      <c r="A325" t="inlineStr">
        <is>
          <t>A 6986-2022</t>
        </is>
      </c>
      <c r="B325" s="1" t="n">
        <v>44603</v>
      </c>
      <c r="C325" s="1" t="n">
        <v>45213</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 artfynd.xlsx", "A 6986-2022")</f>
        <v/>
      </c>
      <c r="T325">
        <f>HYPERLINK("https://klasma.github.io/Logging_1783/kartor/A 6986-2022 karta.png", "A 6986-2022")</f>
        <v/>
      </c>
      <c r="V325">
        <f>HYPERLINK("https://klasma.github.io/Logging_1783/klagomål/A 6986-2022 FSC-klagomål.docx", "A 6986-2022")</f>
        <v/>
      </c>
      <c r="W325">
        <f>HYPERLINK("https://klasma.github.io/Logging_1783/klagomålsmail/A 6986-2022 FSC-klagomål mail.docx", "A 6986-2022")</f>
        <v/>
      </c>
      <c r="X325">
        <f>HYPERLINK("https://klasma.github.io/Logging_1783/tillsyn/A 6986-2022 tillsynsbegäran.docx", "A 6986-2022")</f>
        <v/>
      </c>
      <c r="Y325">
        <f>HYPERLINK("https://klasma.github.io/Logging_1783/tillsynsmail/A 6986-2022 tillsynsbegäran mail.docx", "A 6986-2022")</f>
        <v/>
      </c>
    </row>
    <row r="326" ht="15" customHeight="1">
      <c r="A326" t="inlineStr">
        <is>
          <t>A 8846-2022</t>
        </is>
      </c>
      <c r="B326" s="1" t="n">
        <v>44614</v>
      </c>
      <c r="C326" s="1" t="n">
        <v>45213</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 artfynd.xlsx", "A 8846-2022")</f>
        <v/>
      </c>
      <c r="T326">
        <f>HYPERLINK("https://klasma.github.io/Logging_1784/kartor/A 8846-2022 karta.png", "A 8846-2022")</f>
        <v/>
      </c>
      <c r="V326">
        <f>HYPERLINK("https://klasma.github.io/Logging_1784/klagomål/A 8846-2022 FSC-klagomål.docx", "A 8846-2022")</f>
        <v/>
      </c>
      <c r="W326">
        <f>HYPERLINK("https://klasma.github.io/Logging_1784/klagomålsmail/A 8846-2022 FSC-klagomål mail.docx", "A 8846-2022")</f>
        <v/>
      </c>
      <c r="X326">
        <f>HYPERLINK("https://klasma.github.io/Logging_1784/tillsyn/A 8846-2022 tillsynsbegäran.docx", "A 8846-2022")</f>
        <v/>
      </c>
      <c r="Y326">
        <f>HYPERLINK("https://klasma.github.io/Logging_1784/tillsynsmail/A 8846-2022 tillsynsbegäran mail.docx", "A 8846-2022")</f>
        <v/>
      </c>
    </row>
    <row r="327" ht="15" customHeight="1">
      <c r="A327" t="inlineStr">
        <is>
          <t>A 13548-2022</t>
        </is>
      </c>
      <c r="B327" s="1" t="n">
        <v>44648</v>
      </c>
      <c r="C327" s="1" t="n">
        <v>45213</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 artfynd.xlsx", "A 13548-2022")</f>
        <v/>
      </c>
      <c r="T327">
        <f>HYPERLINK("https://klasma.github.io/Logging_1780/kartor/A 13548-2022 karta.png", "A 13548-2022")</f>
        <v/>
      </c>
      <c r="V327">
        <f>HYPERLINK("https://klasma.github.io/Logging_1780/klagomål/A 13548-2022 FSC-klagomål.docx", "A 13548-2022")</f>
        <v/>
      </c>
      <c r="W327">
        <f>HYPERLINK("https://klasma.github.io/Logging_1780/klagomålsmail/A 13548-2022 FSC-klagomål mail.docx", "A 13548-2022")</f>
        <v/>
      </c>
      <c r="X327">
        <f>HYPERLINK("https://klasma.github.io/Logging_1780/tillsyn/A 13548-2022 tillsynsbegäran.docx", "A 13548-2022")</f>
        <v/>
      </c>
      <c r="Y327">
        <f>HYPERLINK("https://klasma.github.io/Logging_1780/tillsynsmail/A 13548-2022 tillsynsbegäran mail.docx", "A 13548-2022")</f>
        <v/>
      </c>
    </row>
    <row r="328" ht="15" customHeight="1">
      <c r="A328" t="inlineStr">
        <is>
          <t>A 14002-2022</t>
        </is>
      </c>
      <c r="B328" s="1" t="n">
        <v>44650</v>
      </c>
      <c r="C328" s="1" t="n">
        <v>45213</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 artfynd.xlsx", "A 14002-2022")</f>
        <v/>
      </c>
      <c r="T328">
        <f>HYPERLINK("https://klasma.github.io/Logging_1780/kartor/A 14002-2022 karta.png", "A 14002-2022")</f>
        <v/>
      </c>
      <c r="U328">
        <f>HYPERLINK("https://klasma.github.io/Logging_1780/knärot/A 14002-2022 karta knärot.png", "A 14002-2022")</f>
        <v/>
      </c>
      <c r="V328">
        <f>HYPERLINK("https://klasma.github.io/Logging_1780/klagomål/A 14002-2022 FSC-klagomål.docx", "A 14002-2022")</f>
        <v/>
      </c>
      <c r="W328">
        <f>HYPERLINK("https://klasma.github.io/Logging_1780/klagomålsmail/A 14002-2022 FSC-klagomål mail.docx", "A 14002-2022")</f>
        <v/>
      </c>
      <c r="X328">
        <f>HYPERLINK("https://klasma.github.io/Logging_1780/tillsyn/A 14002-2022 tillsynsbegäran.docx", "A 14002-2022")</f>
        <v/>
      </c>
      <c r="Y328">
        <f>HYPERLINK("https://klasma.github.io/Logging_1780/tillsynsmail/A 14002-2022 tillsynsbegäran mail.docx", "A 14002-2022")</f>
        <v/>
      </c>
    </row>
    <row r="329" ht="15" customHeight="1">
      <c r="A329" t="inlineStr">
        <is>
          <t>A 14594-2022</t>
        </is>
      </c>
      <c r="B329" s="1" t="n">
        <v>44655</v>
      </c>
      <c r="C329" s="1" t="n">
        <v>45213</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 artfynd.xlsx", "A 14594-2022")</f>
        <v/>
      </c>
      <c r="T329">
        <f>HYPERLINK("https://klasma.github.io/Logging_1780/kartor/A 14594-2022 karta.png", "A 14594-2022")</f>
        <v/>
      </c>
      <c r="V329">
        <f>HYPERLINK("https://klasma.github.io/Logging_1780/klagomål/A 14594-2022 FSC-klagomål.docx", "A 14594-2022")</f>
        <v/>
      </c>
      <c r="W329">
        <f>HYPERLINK("https://klasma.github.io/Logging_1780/klagomålsmail/A 14594-2022 FSC-klagomål mail.docx", "A 14594-2022")</f>
        <v/>
      </c>
      <c r="X329">
        <f>HYPERLINK("https://klasma.github.io/Logging_1780/tillsyn/A 14594-2022 tillsynsbegäran.docx", "A 14594-2022")</f>
        <v/>
      </c>
      <c r="Y329">
        <f>HYPERLINK("https://klasma.github.io/Logging_1780/tillsynsmail/A 14594-2022 tillsynsbegäran mail.docx", "A 14594-2022")</f>
        <v/>
      </c>
    </row>
    <row r="330" ht="15" customHeight="1">
      <c r="A330" t="inlineStr">
        <is>
          <t>A 19831-2022</t>
        </is>
      </c>
      <c r="B330" s="1" t="n">
        <v>44695</v>
      </c>
      <c r="C330" s="1" t="n">
        <v>45213</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 artfynd.xlsx", "A 19831-2022")</f>
        <v/>
      </c>
      <c r="T330">
        <f>HYPERLINK("https://klasma.github.io/Logging_1766/kartor/A 19831-2022 karta.png", "A 19831-2022")</f>
        <v/>
      </c>
      <c r="V330">
        <f>HYPERLINK("https://klasma.github.io/Logging_1766/klagomål/A 19831-2022 FSC-klagomål.docx", "A 19831-2022")</f>
        <v/>
      </c>
      <c r="W330">
        <f>HYPERLINK("https://klasma.github.io/Logging_1766/klagomålsmail/A 19831-2022 FSC-klagomål mail.docx", "A 19831-2022")</f>
        <v/>
      </c>
      <c r="X330">
        <f>HYPERLINK("https://klasma.github.io/Logging_1766/tillsyn/A 19831-2022 tillsynsbegäran.docx", "A 19831-2022")</f>
        <v/>
      </c>
      <c r="Y330">
        <f>HYPERLINK("https://klasma.github.io/Logging_1766/tillsynsmail/A 19831-2022 tillsynsbegäran mail.docx", "A 19831-2022")</f>
        <v/>
      </c>
    </row>
    <row r="331" ht="15" customHeight="1">
      <c r="A331" t="inlineStr">
        <is>
          <t>A 20754-2022</t>
        </is>
      </c>
      <c r="B331" s="1" t="n">
        <v>44701</v>
      </c>
      <c r="C331" s="1" t="n">
        <v>45213</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 artfynd.xlsx", "A 20754-2022")</f>
        <v/>
      </c>
      <c r="T331">
        <f>HYPERLINK("https://klasma.github.io/Logging_1782/kartor/A 20754-2022 karta.png", "A 20754-2022")</f>
        <v/>
      </c>
      <c r="V331">
        <f>HYPERLINK("https://klasma.github.io/Logging_1782/klagomål/A 20754-2022 FSC-klagomål.docx", "A 20754-2022")</f>
        <v/>
      </c>
      <c r="W331">
        <f>HYPERLINK("https://klasma.github.io/Logging_1782/klagomålsmail/A 20754-2022 FSC-klagomål mail.docx", "A 20754-2022")</f>
        <v/>
      </c>
      <c r="X331">
        <f>HYPERLINK("https://klasma.github.io/Logging_1782/tillsyn/A 20754-2022 tillsynsbegäran.docx", "A 20754-2022")</f>
        <v/>
      </c>
      <c r="Y331">
        <f>HYPERLINK("https://klasma.github.io/Logging_1782/tillsynsmail/A 20754-2022 tillsynsbegäran mail.docx", "A 20754-2022")</f>
        <v/>
      </c>
    </row>
    <row r="332" ht="15" customHeight="1">
      <c r="A332" t="inlineStr">
        <is>
          <t>A 22174-2022</t>
        </is>
      </c>
      <c r="B332" s="1" t="n">
        <v>44712</v>
      </c>
      <c r="C332" s="1" t="n">
        <v>45213</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 artfynd.xlsx", "A 22174-2022")</f>
        <v/>
      </c>
      <c r="T332">
        <f>HYPERLINK("https://klasma.github.io/Logging_1737/kartor/A 22174-2022 karta.png", "A 22174-2022")</f>
        <v/>
      </c>
      <c r="V332">
        <f>HYPERLINK("https://klasma.github.io/Logging_1737/klagomål/A 22174-2022 FSC-klagomål.docx", "A 22174-2022")</f>
        <v/>
      </c>
      <c r="W332">
        <f>HYPERLINK("https://klasma.github.io/Logging_1737/klagomålsmail/A 22174-2022 FSC-klagomål mail.docx", "A 22174-2022")</f>
        <v/>
      </c>
      <c r="X332">
        <f>HYPERLINK("https://klasma.github.io/Logging_1737/tillsyn/A 22174-2022 tillsynsbegäran.docx", "A 22174-2022")</f>
        <v/>
      </c>
      <c r="Y332">
        <f>HYPERLINK("https://klasma.github.io/Logging_1737/tillsynsmail/A 22174-2022 tillsynsbegäran mail.docx", "A 22174-2022")</f>
        <v/>
      </c>
    </row>
    <row r="333" ht="15" customHeight="1">
      <c r="A333" t="inlineStr">
        <is>
          <t>A 24618-2022</t>
        </is>
      </c>
      <c r="B333" s="1" t="n">
        <v>44727</v>
      </c>
      <c r="C333" s="1" t="n">
        <v>45213</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 artfynd.xlsx", "A 24618-2022")</f>
        <v/>
      </c>
      <c r="T333">
        <f>HYPERLINK("https://klasma.github.io/Logging_1761/kartor/A 24618-2022 karta.png", "A 24618-2022")</f>
        <v/>
      </c>
      <c r="U333">
        <f>HYPERLINK("https://klasma.github.io/Logging_1761/knärot/A 24618-2022 karta knärot.png", "A 24618-2022")</f>
        <v/>
      </c>
      <c r="V333">
        <f>HYPERLINK("https://klasma.github.io/Logging_1761/klagomål/A 24618-2022 FSC-klagomål.docx", "A 24618-2022")</f>
        <v/>
      </c>
      <c r="W333">
        <f>HYPERLINK("https://klasma.github.io/Logging_1761/klagomålsmail/A 24618-2022 FSC-klagomål mail.docx", "A 24618-2022")</f>
        <v/>
      </c>
      <c r="X333">
        <f>HYPERLINK("https://klasma.github.io/Logging_1761/tillsyn/A 24618-2022 tillsynsbegäran.docx", "A 24618-2022")</f>
        <v/>
      </c>
      <c r="Y333">
        <f>HYPERLINK("https://klasma.github.io/Logging_1761/tillsynsmail/A 24618-2022 tillsynsbegäran mail.docx", "A 24618-2022")</f>
        <v/>
      </c>
    </row>
    <row r="334" ht="15" customHeight="1">
      <c r="A334" t="inlineStr">
        <is>
          <t>A 24756-2022</t>
        </is>
      </c>
      <c r="B334" s="1" t="n">
        <v>44728</v>
      </c>
      <c r="C334" s="1" t="n">
        <v>45213</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 artfynd.xlsx", "A 24756-2022")</f>
        <v/>
      </c>
      <c r="T334">
        <f>HYPERLINK("https://klasma.github.io/Logging_1784/kartor/A 24756-2022 karta.png", "A 24756-2022")</f>
        <v/>
      </c>
      <c r="V334">
        <f>HYPERLINK("https://klasma.github.io/Logging_1784/klagomål/A 24756-2022 FSC-klagomål.docx", "A 24756-2022")</f>
        <v/>
      </c>
      <c r="W334">
        <f>HYPERLINK("https://klasma.github.io/Logging_1784/klagomålsmail/A 24756-2022 FSC-klagomål mail.docx", "A 24756-2022")</f>
        <v/>
      </c>
      <c r="X334">
        <f>HYPERLINK("https://klasma.github.io/Logging_1784/tillsyn/A 24756-2022 tillsynsbegäran.docx", "A 24756-2022")</f>
        <v/>
      </c>
      <c r="Y334">
        <f>HYPERLINK("https://klasma.github.io/Logging_1784/tillsynsmail/A 24756-2022 tillsynsbegäran mail.docx", "A 24756-2022")</f>
        <v/>
      </c>
    </row>
    <row r="335" ht="15" customHeight="1">
      <c r="A335" t="inlineStr">
        <is>
          <t>A 25999-2022</t>
        </is>
      </c>
      <c r="B335" s="1" t="n">
        <v>44734</v>
      </c>
      <c r="C335" s="1" t="n">
        <v>45213</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 artfynd.xlsx", "A 25999-2022")</f>
        <v/>
      </c>
      <c r="T335">
        <f>HYPERLINK("https://klasma.github.io/Logging_1737/kartor/A 25999-2022 karta.png", "A 25999-2022")</f>
        <v/>
      </c>
      <c r="V335">
        <f>HYPERLINK("https://klasma.github.io/Logging_1737/klagomål/A 25999-2022 FSC-klagomål.docx", "A 25999-2022")</f>
        <v/>
      </c>
      <c r="W335">
        <f>HYPERLINK("https://klasma.github.io/Logging_1737/klagomålsmail/A 25999-2022 FSC-klagomål mail.docx", "A 25999-2022")</f>
        <v/>
      </c>
      <c r="X335">
        <f>HYPERLINK("https://klasma.github.io/Logging_1737/tillsyn/A 25999-2022 tillsynsbegäran.docx", "A 25999-2022")</f>
        <v/>
      </c>
      <c r="Y335">
        <f>HYPERLINK("https://klasma.github.io/Logging_1737/tillsynsmail/A 25999-2022 tillsynsbegäran mail.docx", "A 25999-2022")</f>
        <v/>
      </c>
    </row>
    <row r="336" ht="15" customHeight="1">
      <c r="A336" t="inlineStr">
        <is>
          <t>A 26233-2022</t>
        </is>
      </c>
      <c r="B336" s="1" t="n">
        <v>44735</v>
      </c>
      <c r="C336" s="1" t="n">
        <v>45213</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 artfynd.xlsx", "A 26233-2022")</f>
        <v/>
      </c>
      <c r="T336">
        <f>HYPERLINK("https://klasma.github.io/Logging_1763/kartor/A 26233-2022 karta.png", "A 26233-2022")</f>
        <v/>
      </c>
      <c r="V336">
        <f>HYPERLINK("https://klasma.github.io/Logging_1763/klagomål/A 26233-2022 FSC-klagomål.docx", "A 26233-2022")</f>
        <v/>
      </c>
      <c r="W336">
        <f>HYPERLINK("https://klasma.github.io/Logging_1763/klagomålsmail/A 26233-2022 FSC-klagomål mail.docx", "A 26233-2022")</f>
        <v/>
      </c>
      <c r="X336">
        <f>HYPERLINK("https://klasma.github.io/Logging_1763/tillsyn/A 26233-2022 tillsynsbegäran.docx", "A 26233-2022")</f>
        <v/>
      </c>
      <c r="Y336">
        <f>HYPERLINK("https://klasma.github.io/Logging_1763/tillsynsmail/A 26233-2022 tillsynsbegäran mail.docx", "A 26233-2022")</f>
        <v/>
      </c>
    </row>
    <row r="337" ht="15" customHeight="1">
      <c r="A337" t="inlineStr">
        <is>
          <t>A 27105-2022</t>
        </is>
      </c>
      <c r="B337" s="1" t="n">
        <v>44741</v>
      </c>
      <c r="C337" s="1" t="n">
        <v>45213</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 artfynd.xlsx", "A 27105-2022")</f>
        <v/>
      </c>
      <c r="T337">
        <f>HYPERLINK("https://klasma.github.io/Logging_1782/kartor/A 27105-2022 karta.png", "A 27105-2022")</f>
        <v/>
      </c>
      <c r="V337">
        <f>HYPERLINK("https://klasma.github.io/Logging_1782/klagomål/A 27105-2022 FSC-klagomål.docx", "A 27105-2022")</f>
        <v/>
      </c>
      <c r="W337">
        <f>HYPERLINK("https://klasma.github.io/Logging_1782/klagomålsmail/A 27105-2022 FSC-klagomål mail.docx", "A 27105-2022")</f>
        <v/>
      </c>
      <c r="X337">
        <f>HYPERLINK("https://klasma.github.io/Logging_1782/tillsyn/A 27105-2022 tillsynsbegäran.docx", "A 27105-2022")</f>
        <v/>
      </c>
      <c r="Y337">
        <f>HYPERLINK("https://klasma.github.io/Logging_1782/tillsynsmail/A 27105-2022 tillsynsbegäran mail.docx", "A 27105-2022")</f>
        <v/>
      </c>
    </row>
    <row r="338" ht="15" customHeight="1">
      <c r="A338" t="inlineStr">
        <is>
          <t>A 29742-2022</t>
        </is>
      </c>
      <c r="B338" s="1" t="n">
        <v>44755</v>
      </c>
      <c r="C338" s="1" t="n">
        <v>45213</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 artfynd.xlsx", "A 29742-2022")</f>
        <v/>
      </c>
      <c r="T338">
        <f>HYPERLINK("https://klasma.github.io/Logging_1785/kartor/A 29742-2022 karta.png", "A 29742-2022")</f>
        <v/>
      </c>
      <c r="V338">
        <f>HYPERLINK("https://klasma.github.io/Logging_1785/klagomål/A 29742-2022 FSC-klagomål.docx", "A 29742-2022")</f>
        <v/>
      </c>
      <c r="W338">
        <f>HYPERLINK("https://klasma.github.io/Logging_1785/klagomålsmail/A 29742-2022 FSC-klagomål mail.docx", "A 29742-2022")</f>
        <v/>
      </c>
      <c r="X338">
        <f>HYPERLINK("https://klasma.github.io/Logging_1785/tillsyn/A 29742-2022 tillsynsbegäran.docx", "A 29742-2022")</f>
        <v/>
      </c>
      <c r="Y338">
        <f>HYPERLINK("https://klasma.github.io/Logging_1785/tillsynsmail/A 29742-2022 tillsynsbegäran mail.docx", "A 29742-2022")</f>
        <v/>
      </c>
    </row>
    <row r="339" ht="15" customHeight="1">
      <c r="A339" t="inlineStr">
        <is>
          <t>A 30596-2022</t>
        </is>
      </c>
      <c r="B339" s="1" t="n">
        <v>44762</v>
      </c>
      <c r="C339" s="1" t="n">
        <v>45213</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 artfynd.xlsx", "A 30596-2022")</f>
        <v/>
      </c>
      <c r="T339">
        <f>HYPERLINK("https://klasma.github.io/Logging_1785/kartor/A 30596-2022 karta.png", "A 30596-2022")</f>
        <v/>
      </c>
      <c r="V339">
        <f>HYPERLINK("https://klasma.github.io/Logging_1785/klagomål/A 30596-2022 FSC-klagomål.docx", "A 30596-2022")</f>
        <v/>
      </c>
      <c r="W339">
        <f>HYPERLINK("https://klasma.github.io/Logging_1785/klagomålsmail/A 30596-2022 FSC-klagomål mail.docx", "A 30596-2022")</f>
        <v/>
      </c>
      <c r="X339">
        <f>HYPERLINK("https://klasma.github.io/Logging_1785/tillsyn/A 30596-2022 tillsynsbegäran.docx", "A 30596-2022")</f>
        <v/>
      </c>
      <c r="Y339">
        <f>HYPERLINK("https://klasma.github.io/Logging_1785/tillsynsmail/A 30596-2022 tillsynsbegäran mail.docx", "A 30596-2022")</f>
        <v/>
      </c>
    </row>
    <row r="340" ht="15" customHeight="1">
      <c r="A340" t="inlineStr">
        <is>
          <t>A 34357-2022</t>
        </is>
      </c>
      <c r="B340" s="1" t="n">
        <v>44792</v>
      </c>
      <c r="C340" s="1" t="n">
        <v>45213</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 artfynd.xlsx", "A 34357-2022")</f>
        <v/>
      </c>
      <c r="T340">
        <f>HYPERLINK("https://klasma.github.io/Logging_1764/kartor/A 34357-2022 karta.png", "A 34357-2022")</f>
        <v/>
      </c>
      <c r="V340">
        <f>HYPERLINK("https://klasma.github.io/Logging_1764/klagomål/A 34357-2022 FSC-klagomål.docx", "A 34357-2022")</f>
        <v/>
      </c>
      <c r="W340">
        <f>HYPERLINK("https://klasma.github.io/Logging_1764/klagomålsmail/A 34357-2022 FSC-klagomål mail.docx", "A 34357-2022")</f>
        <v/>
      </c>
      <c r="X340">
        <f>HYPERLINK("https://klasma.github.io/Logging_1764/tillsyn/A 34357-2022 tillsynsbegäran.docx", "A 34357-2022")</f>
        <v/>
      </c>
      <c r="Y340">
        <f>HYPERLINK("https://klasma.github.io/Logging_1764/tillsynsmail/A 34357-2022 tillsynsbegäran mail.docx", "A 34357-2022")</f>
        <v/>
      </c>
    </row>
    <row r="341" ht="15" customHeight="1">
      <c r="A341" t="inlineStr">
        <is>
          <t>A 35709-2022</t>
        </is>
      </c>
      <c r="B341" s="1" t="n">
        <v>44799</v>
      </c>
      <c r="C341" s="1" t="n">
        <v>45213</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 artfynd.xlsx", "A 35709-2022")</f>
        <v/>
      </c>
      <c r="T341">
        <f>HYPERLINK("https://klasma.github.io/Logging_1737/kartor/A 35709-2022 karta.png", "A 35709-2022")</f>
        <v/>
      </c>
      <c r="V341">
        <f>HYPERLINK("https://klasma.github.io/Logging_1737/klagomål/A 35709-2022 FSC-klagomål.docx", "A 35709-2022")</f>
        <v/>
      </c>
      <c r="W341">
        <f>HYPERLINK("https://klasma.github.io/Logging_1737/klagomålsmail/A 35709-2022 FSC-klagomål mail.docx", "A 35709-2022")</f>
        <v/>
      </c>
      <c r="X341">
        <f>HYPERLINK("https://klasma.github.io/Logging_1737/tillsyn/A 35709-2022 tillsynsbegäran.docx", "A 35709-2022")</f>
        <v/>
      </c>
      <c r="Y341">
        <f>HYPERLINK("https://klasma.github.io/Logging_1737/tillsynsmail/A 35709-2022 tillsynsbegäran mail.docx", "A 35709-2022")</f>
        <v/>
      </c>
    </row>
    <row r="342" ht="15" customHeight="1">
      <c r="A342" t="inlineStr">
        <is>
          <t>A 36885-2022</t>
        </is>
      </c>
      <c r="B342" s="1" t="n">
        <v>44805</v>
      </c>
      <c r="C342" s="1" t="n">
        <v>45213</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 artfynd.xlsx", "A 36885-2022")</f>
        <v/>
      </c>
      <c r="T342">
        <f>HYPERLINK("https://klasma.github.io/Logging_1785/kartor/A 36885-2022 karta.png", "A 36885-2022")</f>
        <v/>
      </c>
      <c r="V342">
        <f>HYPERLINK("https://klasma.github.io/Logging_1785/klagomål/A 36885-2022 FSC-klagomål.docx", "A 36885-2022")</f>
        <v/>
      </c>
      <c r="W342">
        <f>HYPERLINK("https://klasma.github.io/Logging_1785/klagomålsmail/A 36885-2022 FSC-klagomål mail.docx", "A 36885-2022")</f>
        <v/>
      </c>
      <c r="X342">
        <f>HYPERLINK("https://klasma.github.io/Logging_1785/tillsyn/A 36885-2022 tillsynsbegäran.docx", "A 36885-2022")</f>
        <v/>
      </c>
      <c r="Y342">
        <f>HYPERLINK("https://klasma.github.io/Logging_1785/tillsynsmail/A 36885-2022 tillsynsbegäran mail.docx", "A 36885-2022")</f>
        <v/>
      </c>
    </row>
    <row r="343" ht="15" customHeight="1">
      <c r="A343" t="inlineStr">
        <is>
          <t>A 37408-2022</t>
        </is>
      </c>
      <c r="B343" s="1" t="n">
        <v>44809</v>
      </c>
      <c r="C343" s="1" t="n">
        <v>45213</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 artfynd.xlsx", "A 37408-2022")</f>
        <v/>
      </c>
      <c r="T343">
        <f>HYPERLINK("https://klasma.github.io/Logging_1715/kartor/A 37408-2022 karta.png", "A 37408-2022")</f>
        <v/>
      </c>
      <c r="V343">
        <f>HYPERLINK("https://klasma.github.io/Logging_1715/klagomål/A 37408-2022 FSC-klagomål.docx", "A 37408-2022")</f>
        <v/>
      </c>
      <c r="W343">
        <f>HYPERLINK("https://klasma.github.io/Logging_1715/klagomålsmail/A 37408-2022 FSC-klagomål mail.docx", "A 37408-2022")</f>
        <v/>
      </c>
      <c r="X343">
        <f>HYPERLINK("https://klasma.github.io/Logging_1715/tillsyn/A 37408-2022 tillsynsbegäran.docx", "A 37408-2022")</f>
        <v/>
      </c>
      <c r="Y343">
        <f>HYPERLINK("https://klasma.github.io/Logging_1715/tillsynsmail/A 37408-2022 tillsynsbegäran mail.docx", "A 37408-2022")</f>
        <v/>
      </c>
    </row>
    <row r="344" ht="15" customHeight="1">
      <c r="A344" t="inlineStr">
        <is>
          <t>A 38477-2022</t>
        </is>
      </c>
      <c r="B344" s="1" t="n">
        <v>44813</v>
      </c>
      <c r="C344" s="1" t="n">
        <v>45213</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 artfynd.xlsx", "A 38477-2022")</f>
        <v/>
      </c>
      <c r="T344">
        <f>HYPERLINK("https://klasma.github.io/Logging_1785/kartor/A 38477-2022 karta.png", "A 38477-2022")</f>
        <v/>
      </c>
      <c r="V344">
        <f>HYPERLINK("https://klasma.github.io/Logging_1785/klagomål/A 38477-2022 FSC-klagomål.docx", "A 38477-2022")</f>
        <v/>
      </c>
      <c r="W344">
        <f>HYPERLINK("https://klasma.github.io/Logging_1785/klagomålsmail/A 38477-2022 FSC-klagomål mail.docx", "A 38477-2022")</f>
        <v/>
      </c>
      <c r="X344">
        <f>HYPERLINK("https://klasma.github.io/Logging_1785/tillsyn/A 38477-2022 tillsynsbegäran.docx", "A 38477-2022")</f>
        <v/>
      </c>
      <c r="Y344">
        <f>HYPERLINK("https://klasma.github.io/Logging_1785/tillsynsmail/A 38477-2022 tillsynsbegäran mail.docx", "A 38477-2022")</f>
        <v/>
      </c>
    </row>
    <row r="345" ht="15" customHeight="1">
      <c r="A345" t="inlineStr">
        <is>
          <t>A 42500-2022</t>
        </is>
      </c>
      <c r="B345" s="1" t="n">
        <v>44831</v>
      </c>
      <c r="C345" s="1" t="n">
        <v>45213</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 artfynd.xlsx", "A 42500-2022")</f>
        <v/>
      </c>
      <c r="T345">
        <f>HYPERLINK("https://klasma.github.io/Logging_1737/kartor/A 42500-2022 karta.png", "A 42500-2022")</f>
        <v/>
      </c>
      <c r="U345">
        <f>HYPERLINK("https://klasma.github.io/Logging_1737/knärot/A 42500-2022 karta knärot.png", "A 42500-2022")</f>
        <v/>
      </c>
      <c r="V345">
        <f>HYPERLINK("https://klasma.github.io/Logging_1737/klagomål/A 42500-2022 FSC-klagomål.docx", "A 42500-2022")</f>
        <v/>
      </c>
      <c r="W345">
        <f>HYPERLINK("https://klasma.github.io/Logging_1737/klagomålsmail/A 42500-2022 FSC-klagomål mail.docx", "A 42500-2022")</f>
        <v/>
      </c>
      <c r="X345">
        <f>HYPERLINK("https://klasma.github.io/Logging_1737/tillsyn/A 42500-2022 tillsynsbegäran.docx", "A 42500-2022")</f>
        <v/>
      </c>
      <c r="Y345">
        <f>HYPERLINK("https://klasma.github.io/Logging_1737/tillsynsmail/A 42500-2022 tillsynsbegäran mail.docx", "A 42500-2022")</f>
        <v/>
      </c>
    </row>
    <row r="346" ht="15" customHeight="1">
      <c r="A346" t="inlineStr">
        <is>
          <t>A 44007-2022</t>
        </is>
      </c>
      <c r="B346" s="1" t="n">
        <v>44838</v>
      </c>
      <c r="C346" s="1" t="n">
        <v>45213</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 artfynd.xlsx", "A 44007-2022")</f>
        <v/>
      </c>
      <c r="T346">
        <f>HYPERLINK("https://klasma.github.io/Logging_1737/kartor/A 44007-2022 karta.png", "A 44007-2022")</f>
        <v/>
      </c>
      <c r="V346">
        <f>HYPERLINK("https://klasma.github.io/Logging_1737/klagomål/A 44007-2022 FSC-klagomål.docx", "A 44007-2022")</f>
        <v/>
      </c>
      <c r="W346">
        <f>HYPERLINK("https://klasma.github.io/Logging_1737/klagomålsmail/A 44007-2022 FSC-klagomål mail.docx", "A 44007-2022")</f>
        <v/>
      </c>
      <c r="X346">
        <f>HYPERLINK("https://klasma.github.io/Logging_1737/tillsyn/A 44007-2022 tillsynsbegäran.docx", "A 44007-2022")</f>
        <v/>
      </c>
      <c r="Y346">
        <f>HYPERLINK("https://klasma.github.io/Logging_1737/tillsynsmail/A 44007-2022 tillsynsbegäran mail.docx", "A 44007-2022")</f>
        <v/>
      </c>
    </row>
    <row r="347" ht="15" customHeight="1">
      <c r="A347" t="inlineStr">
        <is>
          <t>A 45293-2022</t>
        </is>
      </c>
      <c r="B347" s="1" t="n">
        <v>44840</v>
      </c>
      <c r="C347" s="1" t="n">
        <v>45213</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 artfynd.xlsx", "A 45293-2022")</f>
        <v/>
      </c>
      <c r="T347">
        <f>HYPERLINK("https://klasma.github.io/Logging_1766/kartor/A 45293-2022 karta.png", "A 45293-2022")</f>
        <v/>
      </c>
      <c r="V347">
        <f>HYPERLINK("https://klasma.github.io/Logging_1766/klagomål/A 45293-2022 FSC-klagomål.docx", "A 45293-2022")</f>
        <v/>
      </c>
      <c r="W347">
        <f>HYPERLINK("https://klasma.github.io/Logging_1766/klagomålsmail/A 45293-2022 FSC-klagomål mail.docx", "A 45293-2022")</f>
        <v/>
      </c>
      <c r="X347">
        <f>HYPERLINK("https://klasma.github.io/Logging_1766/tillsyn/A 45293-2022 tillsynsbegäran.docx", "A 45293-2022")</f>
        <v/>
      </c>
      <c r="Y347">
        <f>HYPERLINK("https://klasma.github.io/Logging_1766/tillsynsmail/A 45293-2022 tillsynsbegäran mail.docx", "A 45293-2022")</f>
        <v/>
      </c>
    </row>
    <row r="348" ht="15" customHeight="1">
      <c r="A348" t="inlineStr">
        <is>
          <t>A 45938-2022</t>
        </is>
      </c>
      <c r="B348" s="1" t="n">
        <v>44846</v>
      </c>
      <c r="C348" s="1" t="n">
        <v>45213</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 artfynd.xlsx", "A 45938-2022")</f>
        <v/>
      </c>
      <c r="T348">
        <f>HYPERLINK("https://klasma.github.io/Logging_1765/kartor/A 45938-2022 karta.png", "A 45938-2022")</f>
        <v/>
      </c>
      <c r="U348">
        <f>HYPERLINK("https://klasma.github.io/Logging_1765/knärot/A 45938-2022 karta knärot.png", "A 45938-2022")</f>
        <v/>
      </c>
      <c r="V348">
        <f>HYPERLINK("https://klasma.github.io/Logging_1765/klagomål/A 45938-2022 FSC-klagomål.docx", "A 45938-2022")</f>
        <v/>
      </c>
      <c r="W348">
        <f>HYPERLINK("https://klasma.github.io/Logging_1765/klagomålsmail/A 45938-2022 FSC-klagomål mail.docx", "A 45938-2022")</f>
        <v/>
      </c>
      <c r="X348">
        <f>HYPERLINK("https://klasma.github.io/Logging_1765/tillsyn/A 45938-2022 tillsynsbegäran.docx", "A 45938-2022")</f>
        <v/>
      </c>
      <c r="Y348">
        <f>HYPERLINK("https://klasma.github.io/Logging_1765/tillsynsmail/A 45938-2022 tillsynsbegäran mail.docx", "A 45938-2022")</f>
        <v/>
      </c>
    </row>
    <row r="349" ht="15" customHeight="1">
      <c r="A349" t="inlineStr">
        <is>
          <t>A 46927-2022</t>
        </is>
      </c>
      <c r="B349" s="1" t="n">
        <v>44851</v>
      </c>
      <c r="C349" s="1" t="n">
        <v>45213</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 artfynd.xlsx", "A 46927-2022")</f>
        <v/>
      </c>
      <c r="T349">
        <f>HYPERLINK("https://klasma.github.io/Logging_1784/kartor/A 46927-2022 karta.png", "A 46927-2022")</f>
        <v/>
      </c>
      <c r="U349">
        <f>HYPERLINK("https://klasma.github.io/Logging_1784/knärot/A 46927-2022 karta knärot.png", "A 46927-2022")</f>
        <v/>
      </c>
      <c r="V349">
        <f>HYPERLINK("https://klasma.github.io/Logging_1784/klagomål/A 46927-2022 FSC-klagomål.docx", "A 46927-2022")</f>
        <v/>
      </c>
      <c r="W349">
        <f>HYPERLINK("https://klasma.github.io/Logging_1784/klagomålsmail/A 46927-2022 FSC-klagomål mail.docx", "A 46927-2022")</f>
        <v/>
      </c>
      <c r="X349">
        <f>HYPERLINK("https://klasma.github.io/Logging_1784/tillsyn/A 46927-2022 tillsynsbegäran.docx", "A 46927-2022")</f>
        <v/>
      </c>
      <c r="Y349">
        <f>HYPERLINK("https://klasma.github.io/Logging_1784/tillsynsmail/A 46927-2022 tillsynsbegäran mail.docx", "A 46927-2022")</f>
        <v/>
      </c>
    </row>
    <row r="350" ht="15" customHeight="1">
      <c r="A350" t="inlineStr">
        <is>
          <t>A 47699-2022</t>
        </is>
      </c>
      <c r="B350" s="1" t="n">
        <v>44854</v>
      </c>
      <c r="C350" s="1" t="n">
        <v>45213</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 artfynd.xlsx", "A 47699-2022")</f>
        <v/>
      </c>
      <c r="T350">
        <f>HYPERLINK("https://klasma.github.io/Logging_1784/kartor/A 47699-2022 karta.png", "A 47699-2022")</f>
        <v/>
      </c>
      <c r="V350">
        <f>HYPERLINK("https://klasma.github.io/Logging_1784/klagomål/A 47699-2022 FSC-klagomål.docx", "A 47699-2022")</f>
        <v/>
      </c>
      <c r="W350">
        <f>HYPERLINK("https://klasma.github.io/Logging_1784/klagomålsmail/A 47699-2022 FSC-klagomål mail.docx", "A 47699-2022")</f>
        <v/>
      </c>
      <c r="X350">
        <f>HYPERLINK("https://klasma.github.io/Logging_1784/tillsyn/A 47699-2022 tillsynsbegäran.docx", "A 47699-2022")</f>
        <v/>
      </c>
      <c r="Y350">
        <f>HYPERLINK("https://klasma.github.io/Logging_1784/tillsynsmail/A 47699-2022 tillsynsbegäran mail.docx", "A 47699-2022")</f>
        <v/>
      </c>
    </row>
    <row r="351" ht="15" customHeight="1">
      <c r="A351" t="inlineStr">
        <is>
          <t>A 48243-2022</t>
        </is>
      </c>
      <c r="B351" s="1" t="n">
        <v>44858</v>
      </c>
      <c r="C351" s="1" t="n">
        <v>45213</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 artfynd.xlsx", "A 48243-2022")</f>
        <v/>
      </c>
      <c r="T351">
        <f>HYPERLINK("https://klasma.github.io/Logging_1760/kartor/A 48243-2022 karta.png", "A 48243-2022")</f>
        <v/>
      </c>
      <c r="V351">
        <f>HYPERLINK("https://klasma.github.io/Logging_1760/klagomål/A 48243-2022 FSC-klagomål.docx", "A 48243-2022")</f>
        <v/>
      </c>
      <c r="W351">
        <f>HYPERLINK("https://klasma.github.io/Logging_1760/klagomålsmail/A 48243-2022 FSC-klagomål mail.docx", "A 48243-2022")</f>
        <v/>
      </c>
      <c r="X351">
        <f>HYPERLINK("https://klasma.github.io/Logging_1760/tillsyn/A 48243-2022 tillsynsbegäran.docx", "A 48243-2022")</f>
        <v/>
      </c>
      <c r="Y351">
        <f>HYPERLINK("https://klasma.github.io/Logging_1760/tillsynsmail/A 48243-2022 tillsynsbegäran mail.docx", "A 48243-2022")</f>
        <v/>
      </c>
    </row>
    <row r="352" ht="15" customHeight="1">
      <c r="A352" t="inlineStr">
        <is>
          <t>A 50236-2022</t>
        </is>
      </c>
      <c r="B352" s="1" t="n">
        <v>44865</v>
      </c>
      <c r="C352" s="1" t="n">
        <v>45213</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 artfynd.xlsx", "A 50236-2022")</f>
        <v/>
      </c>
      <c r="T352">
        <f>HYPERLINK("https://klasma.github.io/Logging_1737/kartor/A 50236-2022 karta.png", "A 50236-2022")</f>
        <v/>
      </c>
      <c r="V352">
        <f>HYPERLINK("https://klasma.github.io/Logging_1737/klagomål/A 50236-2022 FSC-klagomål.docx", "A 50236-2022")</f>
        <v/>
      </c>
      <c r="W352">
        <f>HYPERLINK("https://klasma.github.io/Logging_1737/klagomålsmail/A 50236-2022 FSC-klagomål mail.docx", "A 50236-2022")</f>
        <v/>
      </c>
      <c r="X352">
        <f>HYPERLINK("https://klasma.github.io/Logging_1737/tillsyn/A 50236-2022 tillsynsbegäran.docx", "A 50236-2022")</f>
        <v/>
      </c>
      <c r="Y352">
        <f>HYPERLINK("https://klasma.github.io/Logging_1737/tillsynsmail/A 50236-2022 tillsynsbegäran mail.docx", "A 50236-2022")</f>
        <v/>
      </c>
    </row>
    <row r="353" ht="15" customHeight="1">
      <c r="A353" t="inlineStr">
        <is>
          <t>A 51288-2022</t>
        </is>
      </c>
      <c r="B353" s="1" t="n">
        <v>44868</v>
      </c>
      <c r="C353" s="1" t="n">
        <v>45213</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 artfynd.xlsx", "A 51288-2022")</f>
        <v/>
      </c>
      <c r="T353">
        <f>HYPERLINK("https://klasma.github.io/Logging_1737/kartor/A 51288-2022 karta.png", "A 51288-2022")</f>
        <v/>
      </c>
      <c r="V353">
        <f>HYPERLINK("https://klasma.github.io/Logging_1737/klagomål/A 51288-2022 FSC-klagomål.docx", "A 51288-2022")</f>
        <v/>
      </c>
      <c r="W353">
        <f>HYPERLINK("https://klasma.github.io/Logging_1737/klagomålsmail/A 51288-2022 FSC-klagomål mail.docx", "A 51288-2022")</f>
        <v/>
      </c>
      <c r="X353">
        <f>HYPERLINK("https://klasma.github.io/Logging_1737/tillsyn/A 51288-2022 tillsynsbegäran.docx", "A 51288-2022")</f>
        <v/>
      </c>
      <c r="Y353">
        <f>HYPERLINK("https://klasma.github.io/Logging_1737/tillsynsmail/A 51288-2022 tillsynsbegäran mail.docx", "A 51288-2022")</f>
        <v/>
      </c>
    </row>
    <row r="354" ht="15" customHeight="1">
      <c r="A354" t="inlineStr">
        <is>
          <t>A 51522-2022</t>
        </is>
      </c>
      <c r="B354" s="1" t="n">
        <v>44869</v>
      </c>
      <c r="C354" s="1" t="n">
        <v>45213</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 artfynd.xlsx", "A 51522-2022")</f>
        <v/>
      </c>
      <c r="T354">
        <f>HYPERLINK("https://klasma.github.io/Logging_1782/kartor/A 51522-2022 karta.png", "A 51522-2022")</f>
        <v/>
      </c>
      <c r="V354">
        <f>HYPERLINK("https://klasma.github.io/Logging_1782/klagomål/A 51522-2022 FSC-klagomål.docx", "A 51522-2022")</f>
        <v/>
      </c>
      <c r="W354">
        <f>HYPERLINK("https://klasma.github.io/Logging_1782/klagomålsmail/A 51522-2022 FSC-klagomål mail.docx", "A 51522-2022")</f>
        <v/>
      </c>
      <c r="X354">
        <f>HYPERLINK("https://klasma.github.io/Logging_1782/tillsyn/A 51522-2022 tillsynsbegäran.docx", "A 51522-2022")</f>
        <v/>
      </c>
      <c r="Y354">
        <f>HYPERLINK("https://klasma.github.io/Logging_1782/tillsynsmail/A 51522-2022 tillsynsbegäran mail.docx", "A 51522-2022")</f>
        <v/>
      </c>
    </row>
    <row r="355" ht="15" customHeight="1">
      <c r="A355" t="inlineStr">
        <is>
          <t>A 52166-2022</t>
        </is>
      </c>
      <c r="B355" s="1" t="n">
        <v>44873</v>
      </c>
      <c r="C355" s="1" t="n">
        <v>45213</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 artfynd.xlsx", "A 52166-2022")</f>
        <v/>
      </c>
      <c r="T355">
        <f>HYPERLINK("https://klasma.github.io/Logging_1765/kartor/A 52166-2022 karta.png", "A 52166-2022")</f>
        <v/>
      </c>
      <c r="V355">
        <f>HYPERLINK("https://klasma.github.io/Logging_1765/klagomål/A 52166-2022 FSC-klagomål.docx", "A 52166-2022")</f>
        <v/>
      </c>
      <c r="W355">
        <f>HYPERLINK("https://klasma.github.io/Logging_1765/klagomålsmail/A 52166-2022 FSC-klagomål mail.docx", "A 52166-2022")</f>
        <v/>
      </c>
      <c r="X355">
        <f>HYPERLINK("https://klasma.github.io/Logging_1765/tillsyn/A 52166-2022 tillsynsbegäran.docx", "A 52166-2022")</f>
        <v/>
      </c>
      <c r="Y355">
        <f>HYPERLINK("https://klasma.github.io/Logging_1765/tillsynsmail/A 52166-2022 tillsynsbegäran mail.docx", "A 52166-2022")</f>
        <v/>
      </c>
    </row>
    <row r="356" ht="15" customHeight="1">
      <c r="A356" t="inlineStr">
        <is>
          <t>A 54957-2022</t>
        </is>
      </c>
      <c r="B356" s="1" t="n">
        <v>44886</v>
      </c>
      <c r="C356" s="1" t="n">
        <v>45213</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 artfynd.xlsx", "A 54957-2022")</f>
        <v/>
      </c>
      <c r="T356">
        <f>HYPERLINK("https://klasma.github.io/Logging_1785/kartor/A 54957-2022 karta.png", "A 54957-2022")</f>
        <v/>
      </c>
      <c r="V356">
        <f>HYPERLINK("https://klasma.github.io/Logging_1785/klagomål/A 54957-2022 FSC-klagomål.docx", "A 54957-2022")</f>
        <v/>
      </c>
      <c r="W356">
        <f>HYPERLINK("https://klasma.github.io/Logging_1785/klagomålsmail/A 54957-2022 FSC-klagomål mail.docx", "A 54957-2022")</f>
        <v/>
      </c>
      <c r="X356">
        <f>HYPERLINK("https://klasma.github.io/Logging_1785/tillsyn/A 54957-2022 tillsynsbegäran.docx", "A 54957-2022")</f>
        <v/>
      </c>
      <c r="Y356">
        <f>HYPERLINK("https://klasma.github.io/Logging_1785/tillsynsmail/A 54957-2022 tillsynsbegäran mail.docx", "A 54957-2022")</f>
        <v/>
      </c>
    </row>
    <row r="357" ht="15" customHeight="1">
      <c r="A357" t="inlineStr">
        <is>
          <t>A 56083-2022</t>
        </is>
      </c>
      <c r="B357" s="1" t="n">
        <v>44889</v>
      </c>
      <c r="C357" s="1" t="n">
        <v>45213</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 artfynd.xlsx", "A 56083-2022")</f>
        <v/>
      </c>
      <c r="T357">
        <f>HYPERLINK("https://klasma.github.io/Logging_1783/kartor/A 56083-2022 karta.png", "A 56083-2022")</f>
        <v/>
      </c>
      <c r="V357">
        <f>HYPERLINK("https://klasma.github.io/Logging_1783/klagomål/A 56083-2022 FSC-klagomål.docx", "A 56083-2022")</f>
        <v/>
      </c>
      <c r="W357">
        <f>HYPERLINK("https://klasma.github.io/Logging_1783/klagomålsmail/A 56083-2022 FSC-klagomål mail.docx", "A 56083-2022")</f>
        <v/>
      </c>
      <c r="X357">
        <f>HYPERLINK("https://klasma.github.io/Logging_1783/tillsyn/A 56083-2022 tillsynsbegäran.docx", "A 56083-2022")</f>
        <v/>
      </c>
      <c r="Y357">
        <f>HYPERLINK("https://klasma.github.io/Logging_1783/tillsynsmail/A 56083-2022 tillsynsbegäran mail.docx", "A 56083-2022")</f>
        <v/>
      </c>
    </row>
    <row r="358" ht="15" customHeight="1">
      <c r="A358" t="inlineStr">
        <is>
          <t>A 56590-2022</t>
        </is>
      </c>
      <c r="B358" s="1" t="n">
        <v>44893</v>
      </c>
      <c r="C358" s="1" t="n">
        <v>45213</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 artfynd.xlsx", "A 56590-2022")</f>
        <v/>
      </c>
      <c r="T358">
        <f>HYPERLINK("https://klasma.github.io/Logging_1781/kartor/A 56590-2022 karta.png", "A 56590-2022")</f>
        <v/>
      </c>
      <c r="V358">
        <f>HYPERLINK("https://klasma.github.io/Logging_1781/klagomål/A 56590-2022 FSC-klagomål.docx", "A 56590-2022")</f>
        <v/>
      </c>
      <c r="W358">
        <f>HYPERLINK("https://klasma.github.io/Logging_1781/klagomålsmail/A 56590-2022 FSC-klagomål mail.docx", "A 56590-2022")</f>
        <v/>
      </c>
      <c r="X358">
        <f>HYPERLINK("https://klasma.github.io/Logging_1781/tillsyn/A 56590-2022 tillsynsbegäran.docx", "A 56590-2022")</f>
        <v/>
      </c>
      <c r="Y358">
        <f>HYPERLINK("https://klasma.github.io/Logging_1781/tillsynsmail/A 56590-2022 tillsynsbegäran mail.docx", "A 56590-2022")</f>
        <v/>
      </c>
    </row>
    <row r="359" ht="15" customHeight="1">
      <c r="A359" t="inlineStr">
        <is>
          <t>A 56642-2022</t>
        </is>
      </c>
      <c r="B359" s="1" t="n">
        <v>44893</v>
      </c>
      <c r="C359" s="1" t="n">
        <v>45213</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 artfynd.xlsx", "A 56642-2022")</f>
        <v/>
      </c>
      <c r="T359">
        <f>HYPERLINK("https://klasma.github.io/Logging_1715/kartor/A 56642-2022 karta.png", "A 56642-2022")</f>
        <v/>
      </c>
      <c r="V359">
        <f>HYPERLINK("https://klasma.github.io/Logging_1715/klagomål/A 56642-2022 FSC-klagomål.docx", "A 56642-2022")</f>
        <v/>
      </c>
      <c r="W359">
        <f>HYPERLINK("https://klasma.github.io/Logging_1715/klagomålsmail/A 56642-2022 FSC-klagomål mail.docx", "A 56642-2022")</f>
        <v/>
      </c>
      <c r="X359">
        <f>HYPERLINK("https://klasma.github.io/Logging_1715/tillsyn/A 56642-2022 tillsynsbegäran.docx", "A 56642-2022")</f>
        <v/>
      </c>
      <c r="Y359">
        <f>HYPERLINK("https://klasma.github.io/Logging_1715/tillsynsmail/A 56642-2022 tillsynsbegäran mail.docx", "A 56642-2022")</f>
        <v/>
      </c>
    </row>
    <row r="360" ht="15" customHeight="1">
      <c r="A360" t="inlineStr">
        <is>
          <t>A 56676-2022</t>
        </is>
      </c>
      <c r="B360" s="1" t="n">
        <v>44893</v>
      </c>
      <c r="C360" s="1" t="n">
        <v>45213</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 artfynd.xlsx", "A 56676-2022")</f>
        <v/>
      </c>
      <c r="T360">
        <f>HYPERLINK("https://klasma.github.io/Logging_1784/kartor/A 56676-2022 karta.png", "A 56676-2022")</f>
        <v/>
      </c>
      <c r="U360">
        <f>HYPERLINK("https://klasma.github.io/Logging_1784/knärot/A 56676-2022 karta knärot.png", "A 56676-2022")</f>
        <v/>
      </c>
      <c r="V360">
        <f>HYPERLINK("https://klasma.github.io/Logging_1784/klagomål/A 56676-2022 FSC-klagomål.docx", "A 56676-2022")</f>
        <v/>
      </c>
      <c r="W360">
        <f>HYPERLINK("https://klasma.github.io/Logging_1784/klagomålsmail/A 56676-2022 FSC-klagomål mail.docx", "A 56676-2022")</f>
        <v/>
      </c>
      <c r="X360">
        <f>HYPERLINK("https://klasma.github.io/Logging_1784/tillsyn/A 56676-2022 tillsynsbegäran.docx", "A 56676-2022")</f>
        <v/>
      </c>
      <c r="Y360">
        <f>HYPERLINK("https://klasma.github.io/Logging_1784/tillsynsmail/A 56676-2022 tillsynsbegäran mail.docx", "A 56676-2022")</f>
        <v/>
      </c>
    </row>
    <row r="361" ht="15" customHeight="1">
      <c r="A361" t="inlineStr">
        <is>
          <t>A 56794-2022</t>
        </is>
      </c>
      <c r="B361" s="1" t="n">
        <v>44894</v>
      </c>
      <c r="C361" s="1" t="n">
        <v>45213</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 artfynd.xlsx", "A 56794-2022")</f>
        <v/>
      </c>
      <c r="T361">
        <f>HYPERLINK("https://klasma.github.io/Logging_1785/kartor/A 56794-2022 karta.png", "A 56794-2022")</f>
        <v/>
      </c>
      <c r="V361">
        <f>HYPERLINK("https://klasma.github.io/Logging_1785/klagomål/A 56794-2022 FSC-klagomål.docx", "A 56794-2022")</f>
        <v/>
      </c>
      <c r="W361">
        <f>HYPERLINK("https://klasma.github.io/Logging_1785/klagomålsmail/A 56794-2022 FSC-klagomål mail.docx", "A 56794-2022")</f>
        <v/>
      </c>
      <c r="X361">
        <f>HYPERLINK("https://klasma.github.io/Logging_1785/tillsyn/A 56794-2022 tillsynsbegäran.docx", "A 56794-2022")</f>
        <v/>
      </c>
      <c r="Y361">
        <f>HYPERLINK("https://klasma.github.io/Logging_1785/tillsynsmail/A 56794-2022 tillsynsbegäran mail.docx", "A 56794-2022")</f>
        <v/>
      </c>
    </row>
    <row r="362" ht="15" customHeight="1">
      <c r="A362" t="inlineStr">
        <is>
          <t>A 59323-2022</t>
        </is>
      </c>
      <c r="B362" s="1" t="n">
        <v>44904</v>
      </c>
      <c r="C362" s="1" t="n">
        <v>45213</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row>
    <row r="363" ht="15" customHeight="1">
      <c r="A363" t="inlineStr">
        <is>
          <t>A 60736-2022</t>
        </is>
      </c>
      <c r="B363" s="1" t="n">
        <v>44913</v>
      </c>
      <c r="C363" s="1" t="n">
        <v>45213</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 artfynd.xlsx", "A 60736-2022")</f>
        <v/>
      </c>
      <c r="T363">
        <f>HYPERLINK("https://klasma.github.io/Logging_1763/kartor/A 60736-2022 karta.png", "A 60736-2022")</f>
        <v/>
      </c>
      <c r="V363">
        <f>HYPERLINK("https://klasma.github.io/Logging_1763/klagomål/A 60736-2022 FSC-klagomål.docx", "A 60736-2022")</f>
        <v/>
      </c>
      <c r="W363">
        <f>HYPERLINK("https://klasma.github.io/Logging_1763/klagomålsmail/A 60736-2022 FSC-klagomål mail.docx", "A 60736-2022")</f>
        <v/>
      </c>
      <c r="X363">
        <f>HYPERLINK("https://klasma.github.io/Logging_1763/tillsyn/A 60736-2022 tillsynsbegäran.docx", "A 60736-2022")</f>
        <v/>
      </c>
      <c r="Y363">
        <f>HYPERLINK("https://klasma.github.io/Logging_1763/tillsynsmail/A 60736-2022 tillsynsbegäran mail.docx", "A 60736-2022")</f>
        <v/>
      </c>
    </row>
    <row r="364" ht="15" customHeight="1">
      <c r="A364" t="inlineStr">
        <is>
          <t>A 62010-2022</t>
        </is>
      </c>
      <c r="B364" s="1" t="n">
        <v>44914</v>
      </c>
      <c r="C364" s="1" t="n">
        <v>45213</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 artfynd.xlsx", "A 62010-2022")</f>
        <v/>
      </c>
      <c r="T364">
        <f>HYPERLINK("https://klasma.github.io/Logging_1715/kartor/A 62010-2022 karta.png", "A 62010-2022")</f>
        <v/>
      </c>
      <c r="V364">
        <f>HYPERLINK("https://klasma.github.io/Logging_1715/klagomål/A 62010-2022 FSC-klagomål.docx", "A 62010-2022")</f>
        <v/>
      </c>
      <c r="W364">
        <f>HYPERLINK("https://klasma.github.io/Logging_1715/klagomålsmail/A 62010-2022 FSC-klagomål mail.docx", "A 62010-2022")</f>
        <v/>
      </c>
      <c r="X364">
        <f>HYPERLINK("https://klasma.github.io/Logging_1715/tillsyn/A 62010-2022 tillsynsbegäran.docx", "A 62010-2022")</f>
        <v/>
      </c>
      <c r="Y364">
        <f>HYPERLINK("https://klasma.github.io/Logging_1715/tillsynsmail/A 62010-2022 tillsynsbegäran mail.docx", "A 62010-2022")</f>
        <v/>
      </c>
    </row>
    <row r="365" ht="15" customHeight="1">
      <c r="A365" t="inlineStr">
        <is>
          <t>A 1823-2023</t>
        </is>
      </c>
      <c r="B365" s="1" t="n">
        <v>44938</v>
      </c>
      <c r="C365" s="1" t="n">
        <v>45213</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 artfynd.xlsx", "A 1823-2023")</f>
        <v/>
      </c>
      <c r="T365">
        <f>HYPERLINK("https://klasma.github.io/Logging_1785/kartor/A 1823-2023 karta.png", "A 1823-2023")</f>
        <v/>
      </c>
      <c r="V365">
        <f>HYPERLINK("https://klasma.github.io/Logging_1785/klagomål/A 1823-2023 FSC-klagomål.docx", "A 1823-2023")</f>
        <v/>
      </c>
      <c r="W365">
        <f>HYPERLINK("https://klasma.github.io/Logging_1785/klagomålsmail/A 1823-2023 FSC-klagomål mail.docx", "A 1823-2023")</f>
        <v/>
      </c>
      <c r="X365">
        <f>HYPERLINK("https://klasma.github.io/Logging_1785/tillsyn/A 1823-2023 tillsynsbegäran.docx", "A 1823-2023")</f>
        <v/>
      </c>
      <c r="Y365">
        <f>HYPERLINK("https://klasma.github.io/Logging_1785/tillsynsmail/A 1823-2023 tillsynsbegäran mail.docx", "A 1823-2023")</f>
        <v/>
      </c>
    </row>
    <row r="366" ht="15" customHeight="1">
      <c r="A366" t="inlineStr">
        <is>
          <t>A 6661-2023</t>
        </is>
      </c>
      <c r="B366" s="1" t="n">
        <v>44963</v>
      </c>
      <c r="C366" s="1" t="n">
        <v>45213</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 artfynd.xlsx", "A 6661-2023")</f>
        <v/>
      </c>
      <c r="T366">
        <f>HYPERLINK("https://klasma.github.io/Logging_1766/kartor/A 6661-2023 karta.png", "A 6661-2023")</f>
        <v/>
      </c>
      <c r="V366">
        <f>HYPERLINK("https://klasma.github.io/Logging_1766/klagomål/A 6661-2023 FSC-klagomål.docx", "A 6661-2023")</f>
        <v/>
      </c>
      <c r="W366">
        <f>HYPERLINK("https://klasma.github.io/Logging_1766/klagomålsmail/A 6661-2023 FSC-klagomål mail.docx", "A 6661-2023")</f>
        <v/>
      </c>
      <c r="X366">
        <f>HYPERLINK("https://klasma.github.io/Logging_1766/tillsyn/A 6661-2023 tillsynsbegäran.docx", "A 6661-2023")</f>
        <v/>
      </c>
      <c r="Y366">
        <f>HYPERLINK("https://klasma.github.io/Logging_1766/tillsynsmail/A 6661-2023 tillsynsbegäran mail.docx", "A 6661-2023")</f>
        <v/>
      </c>
    </row>
    <row r="367" ht="15" customHeight="1">
      <c r="A367" t="inlineStr">
        <is>
          <t>A 7240-2023</t>
        </is>
      </c>
      <c r="B367" s="1" t="n">
        <v>44970</v>
      </c>
      <c r="C367" s="1" t="n">
        <v>45213</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 artfynd.xlsx", "A 7240-2023")</f>
        <v/>
      </c>
      <c r="T367">
        <f>HYPERLINK("https://klasma.github.io/Logging_1730/kartor/A 7240-2023 karta.png", "A 7240-2023")</f>
        <v/>
      </c>
      <c r="V367">
        <f>HYPERLINK("https://klasma.github.io/Logging_1730/klagomål/A 7240-2023 FSC-klagomål.docx", "A 7240-2023")</f>
        <v/>
      </c>
      <c r="W367">
        <f>HYPERLINK("https://klasma.github.io/Logging_1730/klagomålsmail/A 7240-2023 FSC-klagomål mail.docx", "A 7240-2023")</f>
        <v/>
      </c>
      <c r="X367">
        <f>HYPERLINK("https://klasma.github.io/Logging_1730/tillsyn/A 7240-2023 tillsynsbegäran.docx", "A 7240-2023")</f>
        <v/>
      </c>
      <c r="Y367">
        <f>HYPERLINK("https://klasma.github.io/Logging_1730/tillsynsmail/A 7240-2023 tillsynsbegäran mail.docx", "A 7240-2023")</f>
        <v/>
      </c>
    </row>
    <row r="368" ht="15" customHeight="1">
      <c r="A368" t="inlineStr">
        <is>
          <t>A 8525-2023</t>
        </is>
      </c>
      <c r="B368" s="1" t="n">
        <v>44977</v>
      </c>
      <c r="C368" s="1" t="n">
        <v>45213</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 artfynd.xlsx", "A 8525-2023")</f>
        <v/>
      </c>
      <c r="T368">
        <f>HYPERLINK("https://klasma.github.io/Logging_1784/kartor/A 8525-2023 karta.png", "A 8525-2023")</f>
        <v/>
      </c>
      <c r="U368">
        <f>HYPERLINK("https://klasma.github.io/Logging_1784/knärot/A 8525-2023 karta knärot.png", "A 8525-2023")</f>
        <v/>
      </c>
      <c r="V368">
        <f>HYPERLINK("https://klasma.github.io/Logging_1784/klagomål/A 8525-2023 FSC-klagomål.docx", "A 8525-2023")</f>
        <v/>
      </c>
      <c r="W368">
        <f>HYPERLINK("https://klasma.github.io/Logging_1784/klagomålsmail/A 8525-2023 FSC-klagomål mail.docx", "A 8525-2023")</f>
        <v/>
      </c>
      <c r="X368">
        <f>HYPERLINK("https://klasma.github.io/Logging_1784/tillsyn/A 8525-2023 tillsynsbegäran.docx", "A 8525-2023")</f>
        <v/>
      </c>
      <c r="Y368">
        <f>HYPERLINK("https://klasma.github.io/Logging_1784/tillsynsmail/A 8525-2023 tillsynsbegäran mail.docx", "A 8525-2023")</f>
        <v/>
      </c>
    </row>
    <row r="369" ht="15" customHeight="1">
      <c r="A369" t="inlineStr">
        <is>
          <t>A 8591-2023</t>
        </is>
      </c>
      <c r="B369" s="1" t="n">
        <v>44977</v>
      </c>
      <c r="C369" s="1" t="n">
        <v>45213</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 artfynd.xlsx", "A 8591-2023")</f>
        <v/>
      </c>
      <c r="T369">
        <f>HYPERLINK("https://klasma.github.io/Logging_1784/kartor/A 8591-2023 karta.png", "A 8591-2023")</f>
        <v/>
      </c>
      <c r="U369">
        <f>HYPERLINK("https://klasma.github.io/Logging_1784/knärot/A 8591-2023 karta knärot.png", "A 8591-2023")</f>
        <v/>
      </c>
      <c r="V369">
        <f>HYPERLINK("https://klasma.github.io/Logging_1784/klagomål/A 8591-2023 FSC-klagomål.docx", "A 8591-2023")</f>
        <v/>
      </c>
      <c r="W369">
        <f>HYPERLINK("https://klasma.github.io/Logging_1784/klagomålsmail/A 8591-2023 FSC-klagomål mail.docx", "A 8591-2023")</f>
        <v/>
      </c>
      <c r="X369">
        <f>HYPERLINK("https://klasma.github.io/Logging_1784/tillsyn/A 8591-2023 tillsynsbegäran.docx", "A 8591-2023")</f>
        <v/>
      </c>
      <c r="Y369">
        <f>HYPERLINK("https://klasma.github.io/Logging_1784/tillsynsmail/A 8591-2023 tillsynsbegäran mail.docx", "A 8591-2023")</f>
        <v/>
      </c>
    </row>
    <row r="370" ht="15" customHeight="1">
      <c r="A370" t="inlineStr">
        <is>
          <t>A 10279-2023</t>
        </is>
      </c>
      <c r="B370" s="1" t="n">
        <v>44986</v>
      </c>
      <c r="C370" s="1" t="n">
        <v>45213</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 artfynd.xlsx", "A 10279-2023")</f>
        <v/>
      </c>
      <c r="T370">
        <f>HYPERLINK("https://klasma.github.io/Logging_1766/kartor/A 10279-2023 karta.png", "A 10279-2023")</f>
        <v/>
      </c>
      <c r="V370">
        <f>HYPERLINK("https://klasma.github.io/Logging_1766/klagomål/A 10279-2023 FSC-klagomål.docx", "A 10279-2023")</f>
        <v/>
      </c>
      <c r="W370">
        <f>HYPERLINK("https://klasma.github.io/Logging_1766/klagomålsmail/A 10279-2023 FSC-klagomål mail.docx", "A 10279-2023")</f>
        <v/>
      </c>
      <c r="X370">
        <f>HYPERLINK("https://klasma.github.io/Logging_1766/tillsyn/A 10279-2023 tillsynsbegäran.docx", "A 10279-2023")</f>
        <v/>
      </c>
      <c r="Y370">
        <f>HYPERLINK("https://klasma.github.io/Logging_1766/tillsynsmail/A 10279-2023 tillsynsbegäran mail.docx", "A 10279-2023")</f>
        <v/>
      </c>
    </row>
    <row r="371" ht="15" customHeight="1">
      <c r="A371" t="inlineStr">
        <is>
          <t>A 11849-2023</t>
        </is>
      </c>
      <c r="B371" s="1" t="n">
        <v>44995</v>
      </c>
      <c r="C371" s="1" t="n">
        <v>45213</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 artfynd.xlsx", "A 11849-2023")</f>
        <v/>
      </c>
      <c r="T371">
        <f>HYPERLINK("https://klasma.github.io/Logging_1715/kartor/A 11849-2023 karta.png", "A 11849-2023")</f>
        <v/>
      </c>
      <c r="V371">
        <f>HYPERLINK("https://klasma.github.io/Logging_1715/klagomål/A 11849-2023 FSC-klagomål.docx", "A 11849-2023")</f>
        <v/>
      </c>
      <c r="W371">
        <f>HYPERLINK("https://klasma.github.io/Logging_1715/klagomålsmail/A 11849-2023 FSC-klagomål mail.docx", "A 11849-2023")</f>
        <v/>
      </c>
      <c r="X371">
        <f>HYPERLINK("https://klasma.github.io/Logging_1715/tillsyn/A 11849-2023 tillsynsbegäran.docx", "A 11849-2023")</f>
        <v/>
      </c>
      <c r="Y371">
        <f>HYPERLINK("https://klasma.github.io/Logging_1715/tillsynsmail/A 11849-2023 tillsynsbegäran mail.docx", "A 11849-2023")</f>
        <v/>
      </c>
    </row>
    <row r="372" ht="15" customHeight="1">
      <c r="A372" t="inlineStr">
        <is>
          <t>A 13361-2023</t>
        </is>
      </c>
      <c r="B372" s="1" t="n">
        <v>45005</v>
      </c>
      <c r="C372" s="1" t="n">
        <v>45213</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 artfynd.xlsx", "A 13361-2023")</f>
        <v/>
      </c>
      <c r="T372">
        <f>HYPERLINK("https://klasma.github.io/Logging_1737/kartor/A 13361-2023 karta.png", "A 13361-2023")</f>
        <v/>
      </c>
      <c r="V372">
        <f>HYPERLINK("https://klasma.github.io/Logging_1737/klagomål/A 13361-2023 FSC-klagomål.docx", "A 13361-2023")</f>
        <v/>
      </c>
      <c r="W372">
        <f>HYPERLINK("https://klasma.github.io/Logging_1737/klagomålsmail/A 13361-2023 FSC-klagomål mail.docx", "A 13361-2023")</f>
        <v/>
      </c>
      <c r="X372">
        <f>HYPERLINK("https://klasma.github.io/Logging_1737/tillsyn/A 13361-2023 tillsynsbegäran.docx", "A 13361-2023")</f>
        <v/>
      </c>
      <c r="Y372">
        <f>HYPERLINK("https://klasma.github.io/Logging_1737/tillsynsmail/A 13361-2023 tillsynsbegäran mail.docx", "A 13361-2023")</f>
        <v/>
      </c>
    </row>
    <row r="373" ht="15" customHeight="1">
      <c r="A373" t="inlineStr">
        <is>
          <t>A 15109-2023</t>
        </is>
      </c>
      <c r="B373" s="1" t="n">
        <v>45016</v>
      </c>
      <c r="C373" s="1" t="n">
        <v>45213</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 artfynd.xlsx", "A 15109-2023")</f>
        <v/>
      </c>
      <c r="T373">
        <f>HYPERLINK("https://klasma.github.io/Logging_1785/kartor/A 15109-2023 karta.png", "A 15109-2023")</f>
        <v/>
      </c>
      <c r="V373">
        <f>HYPERLINK("https://klasma.github.io/Logging_1785/klagomål/A 15109-2023 FSC-klagomål.docx", "A 15109-2023")</f>
        <v/>
      </c>
      <c r="W373">
        <f>HYPERLINK("https://klasma.github.io/Logging_1785/klagomålsmail/A 15109-2023 FSC-klagomål mail.docx", "A 15109-2023")</f>
        <v/>
      </c>
      <c r="X373">
        <f>HYPERLINK("https://klasma.github.io/Logging_1785/tillsyn/A 15109-2023 tillsynsbegäran.docx", "A 15109-2023")</f>
        <v/>
      </c>
      <c r="Y373">
        <f>HYPERLINK("https://klasma.github.io/Logging_1785/tillsynsmail/A 15109-2023 tillsynsbegäran mail.docx", "A 15109-2023")</f>
        <v/>
      </c>
    </row>
    <row r="374" ht="15" customHeight="1">
      <c r="A374" t="inlineStr">
        <is>
          <t>A 15145-2023</t>
        </is>
      </c>
      <c r="B374" s="1" t="n">
        <v>45016</v>
      </c>
      <c r="C374" s="1" t="n">
        <v>45213</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 artfynd.xlsx", "A 15145-2023")</f>
        <v/>
      </c>
      <c r="T374">
        <f>HYPERLINK("https://klasma.github.io/Logging_1784/kartor/A 15145-2023 karta.png", "A 15145-2023")</f>
        <v/>
      </c>
      <c r="U374">
        <f>HYPERLINK("https://klasma.github.io/Logging_1784/knärot/A 15145-2023 karta knärot.png", "A 15145-2023")</f>
        <v/>
      </c>
      <c r="V374">
        <f>HYPERLINK("https://klasma.github.io/Logging_1784/klagomål/A 15145-2023 FSC-klagomål.docx", "A 15145-2023")</f>
        <v/>
      </c>
      <c r="W374">
        <f>HYPERLINK("https://klasma.github.io/Logging_1784/klagomålsmail/A 15145-2023 FSC-klagomål mail.docx", "A 15145-2023")</f>
        <v/>
      </c>
      <c r="X374">
        <f>HYPERLINK("https://klasma.github.io/Logging_1784/tillsyn/A 15145-2023 tillsynsbegäran.docx", "A 15145-2023")</f>
        <v/>
      </c>
      <c r="Y374">
        <f>HYPERLINK("https://klasma.github.io/Logging_1784/tillsynsmail/A 15145-2023 tillsynsbegäran mail.docx", "A 15145-2023")</f>
        <v/>
      </c>
    </row>
    <row r="375" ht="15" customHeight="1">
      <c r="A375" t="inlineStr">
        <is>
          <t>A 15321-2023</t>
        </is>
      </c>
      <c r="B375" s="1" t="n">
        <v>45019</v>
      </c>
      <c r="C375" s="1" t="n">
        <v>45213</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HYPERLINK("https://klasma.github.io/Logging_1764/kartor/A 15321-2023 karta.png", "A 15321-2023")</f>
        <v/>
      </c>
      <c r="V375">
        <f>HYPERLINK("https://klasma.github.io/Logging_1764/klagomål/A 15321-2023 FSC-klagomål.docx", "A 15321-2023")</f>
        <v/>
      </c>
      <c r="W375">
        <f>HYPERLINK("https://klasma.github.io/Logging_1764/klagomålsmail/A 15321-2023 FSC-klagomål mail.docx", "A 15321-2023")</f>
        <v/>
      </c>
      <c r="X375">
        <f>HYPERLINK("https://klasma.github.io/Logging_1764/tillsyn/A 15321-2023 tillsynsbegäran.docx", "A 15321-2023")</f>
        <v/>
      </c>
      <c r="Y375">
        <f>HYPERLINK("https://klasma.github.io/Logging_1764/tillsynsmail/A 15321-2023 tillsynsbegäran mail.docx", "A 15321-2023")</f>
        <v/>
      </c>
    </row>
    <row r="376" ht="15" customHeight="1">
      <c r="A376" t="inlineStr">
        <is>
          <t>A 15548-2023</t>
        </is>
      </c>
      <c r="B376" s="1" t="n">
        <v>45020</v>
      </c>
      <c r="C376" s="1" t="n">
        <v>45213</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 artfynd.xlsx", "A 15548-2023")</f>
        <v/>
      </c>
      <c r="T376">
        <f>HYPERLINK("https://klasma.github.io/Logging_1737/kartor/A 15548-2023 karta.png", "A 15548-2023")</f>
        <v/>
      </c>
      <c r="V376">
        <f>HYPERLINK("https://klasma.github.io/Logging_1737/klagomål/A 15548-2023 FSC-klagomål.docx", "A 15548-2023")</f>
        <v/>
      </c>
      <c r="W376">
        <f>HYPERLINK("https://klasma.github.io/Logging_1737/klagomålsmail/A 15548-2023 FSC-klagomål mail.docx", "A 15548-2023")</f>
        <v/>
      </c>
      <c r="X376">
        <f>HYPERLINK("https://klasma.github.io/Logging_1737/tillsyn/A 15548-2023 tillsynsbegäran.docx", "A 15548-2023")</f>
        <v/>
      </c>
      <c r="Y376">
        <f>HYPERLINK("https://klasma.github.io/Logging_1737/tillsynsmail/A 15548-2023 tillsynsbegäran mail.docx", "A 15548-2023")</f>
        <v/>
      </c>
    </row>
    <row r="377" ht="15" customHeight="1">
      <c r="A377" t="inlineStr">
        <is>
          <t>A 18882-2023</t>
        </is>
      </c>
      <c r="B377" s="1" t="n">
        <v>45044</v>
      </c>
      <c r="C377" s="1" t="n">
        <v>45213</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 artfynd.xlsx", "A 18882-2023")</f>
        <v/>
      </c>
      <c r="T377">
        <f>HYPERLINK("https://klasma.github.io/Logging_1737/kartor/A 18882-2023 karta.png", "A 18882-2023")</f>
        <v/>
      </c>
      <c r="V377">
        <f>HYPERLINK("https://klasma.github.io/Logging_1737/klagomål/A 18882-2023 FSC-klagomål.docx", "A 18882-2023")</f>
        <v/>
      </c>
      <c r="W377">
        <f>HYPERLINK("https://klasma.github.io/Logging_1737/klagomålsmail/A 18882-2023 FSC-klagomål mail.docx", "A 18882-2023")</f>
        <v/>
      </c>
      <c r="X377">
        <f>HYPERLINK("https://klasma.github.io/Logging_1737/tillsyn/A 18882-2023 tillsynsbegäran.docx", "A 18882-2023")</f>
        <v/>
      </c>
      <c r="Y377">
        <f>HYPERLINK("https://klasma.github.io/Logging_1737/tillsynsmail/A 18882-2023 tillsynsbegäran mail.docx", "A 18882-2023")</f>
        <v/>
      </c>
    </row>
    <row r="378" ht="15" customHeight="1">
      <c r="A378" t="inlineStr">
        <is>
          <t>A 19669-2023</t>
        </is>
      </c>
      <c r="B378" s="1" t="n">
        <v>45051</v>
      </c>
      <c r="C378" s="1" t="n">
        <v>45213</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 artfynd.xlsx", "A 19669-2023")</f>
        <v/>
      </c>
      <c r="T378">
        <f>HYPERLINK("https://klasma.github.io/Logging_1737/kartor/A 19669-2023 karta.png", "A 19669-2023")</f>
        <v/>
      </c>
      <c r="V378">
        <f>HYPERLINK("https://klasma.github.io/Logging_1737/klagomål/A 19669-2023 FSC-klagomål.docx", "A 19669-2023")</f>
        <v/>
      </c>
      <c r="W378">
        <f>HYPERLINK("https://klasma.github.io/Logging_1737/klagomålsmail/A 19669-2023 FSC-klagomål mail.docx", "A 19669-2023")</f>
        <v/>
      </c>
      <c r="X378">
        <f>HYPERLINK("https://klasma.github.io/Logging_1737/tillsyn/A 19669-2023 tillsynsbegäran.docx", "A 19669-2023")</f>
        <v/>
      </c>
      <c r="Y378">
        <f>HYPERLINK("https://klasma.github.io/Logging_1737/tillsynsmail/A 19669-2023 tillsynsbegäran mail.docx", "A 19669-2023")</f>
        <v/>
      </c>
    </row>
    <row r="379" ht="15" customHeight="1">
      <c r="A379" t="inlineStr">
        <is>
          <t>A 21934-2023</t>
        </is>
      </c>
      <c r="B379" s="1" t="n">
        <v>45068</v>
      </c>
      <c r="C379" s="1" t="n">
        <v>45213</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 artfynd.xlsx", "A 21934-2023")</f>
        <v/>
      </c>
      <c r="T379">
        <f>HYPERLINK("https://klasma.github.io/Logging_1780/kartor/A 21934-2023 karta.png", "A 21934-2023")</f>
        <v/>
      </c>
      <c r="V379">
        <f>HYPERLINK("https://klasma.github.io/Logging_1780/klagomål/A 21934-2023 FSC-klagomål.docx", "A 21934-2023")</f>
        <v/>
      </c>
      <c r="W379">
        <f>HYPERLINK("https://klasma.github.io/Logging_1780/klagomålsmail/A 21934-2023 FSC-klagomål mail.docx", "A 21934-2023")</f>
        <v/>
      </c>
      <c r="X379">
        <f>HYPERLINK("https://klasma.github.io/Logging_1780/tillsyn/A 21934-2023 tillsynsbegäran.docx", "A 21934-2023")</f>
        <v/>
      </c>
      <c r="Y379">
        <f>HYPERLINK("https://klasma.github.io/Logging_1780/tillsynsmail/A 21934-2023 tillsynsbegäran mail.docx", "A 21934-2023")</f>
        <v/>
      </c>
    </row>
    <row r="380" ht="15" customHeight="1">
      <c r="A380" t="inlineStr">
        <is>
          <t>A 21919-2023</t>
        </is>
      </c>
      <c r="B380" s="1" t="n">
        <v>45068</v>
      </c>
      <c r="C380" s="1" t="n">
        <v>45213</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 artfynd.xlsx", "A 21919-2023")</f>
        <v/>
      </c>
      <c r="T380">
        <f>HYPERLINK("https://klasma.github.io/Logging_1780/kartor/A 21919-2023 karta.png", "A 21919-2023")</f>
        <v/>
      </c>
      <c r="V380">
        <f>HYPERLINK("https://klasma.github.io/Logging_1780/klagomål/A 21919-2023 FSC-klagomål.docx", "A 21919-2023")</f>
        <v/>
      </c>
      <c r="W380">
        <f>HYPERLINK("https://klasma.github.io/Logging_1780/klagomålsmail/A 21919-2023 FSC-klagomål mail.docx", "A 21919-2023")</f>
        <v/>
      </c>
      <c r="X380">
        <f>HYPERLINK("https://klasma.github.io/Logging_1780/tillsyn/A 21919-2023 tillsynsbegäran.docx", "A 21919-2023")</f>
        <v/>
      </c>
      <c r="Y380">
        <f>HYPERLINK("https://klasma.github.io/Logging_1780/tillsynsmail/A 21919-2023 tillsynsbegäran mail.docx", "A 21919-2023")</f>
        <v/>
      </c>
    </row>
    <row r="381" ht="15" customHeight="1">
      <c r="A381" t="inlineStr">
        <is>
          <t>A 24239-2023</t>
        </is>
      </c>
      <c r="B381" s="1" t="n">
        <v>45079</v>
      </c>
      <c r="C381" s="1" t="n">
        <v>45213</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 artfynd.xlsx", "A 24239-2023")</f>
        <v/>
      </c>
      <c r="T381">
        <f>HYPERLINK("https://klasma.github.io/Logging_1784/kartor/A 24239-2023 karta.png", "A 24239-2023")</f>
        <v/>
      </c>
      <c r="U381">
        <f>HYPERLINK("https://klasma.github.io/Logging_1784/knärot/A 24239-2023 karta knärot.png", "A 24239-2023")</f>
        <v/>
      </c>
      <c r="V381">
        <f>HYPERLINK("https://klasma.github.io/Logging_1784/klagomål/A 24239-2023 FSC-klagomål.docx", "A 24239-2023")</f>
        <v/>
      </c>
      <c r="W381">
        <f>HYPERLINK("https://klasma.github.io/Logging_1784/klagomålsmail/A 24239-2023 FSC-klagomål mail.docx", "A 24239-2023")</f>
        <v/>
      </c>
      <c r="X381">
        <f>HYPERLINK("https://klasma.github.io/Logging_1784/tillsyn/A 24239-2023 tillsynsbegäran.docx", "A 24239-2023")</f>
        <v/>
      </c>
      <c r="Y381">
        <f>HYPERLINK("https://klasma.github.io/Logging_1784/tillsynsmail/A 24239-2023 tillsynsbegäran mail.docx", "A 24239-2023")</f>
        <v/>
      </c>
    </row>
    <row r="382" ht="15" customHeight="1">
      <c r="A382" t="inlineStr">
        <is>
          <t>A 25144-2023</t>
        </is>
      </c>
      <c r="B382" s="1" t="n">
        <v>45086</v>
      </c>
      <c r="C382" s="1" t="n">
        <v>45213</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 artfynd.xlsx", "A 25144-2023")</f>
        <v/>
      </c>
      <c r="T382">
        <f>HYPERLINK("https://klasma.github.io/Logging_1780/kartor/A 25144-2023 karta.png", "A 25144-2023")</f>
        <v/>
      </c>
      <c r="V382">
        <f>HYPERLINK("https://klasma.github.io/Logging_1780/klagomål/A 25144-2023 FSC-klagomål.docx", "A 25144-2023")</f>
        <v/>
      </c>
      <c r="W382">
        <f>HYPERLINK("https://klasma.github.io/Logging_1780/klagomålsmail/A 25144-2023 FSC-klagomål mail.docx", "A 25144-2023")</f>
        <v/>
      </c>
      <c r="X382">
        <f>HYPERLINK("https://klasma.github.io/Logging_1780/tillsyn/A 25144-2023 tillsynsbegäran.docx", "A 25144-2023")</f>
        <v/>
      </c>
      <c r="Y382">
        <f>HYPERLINK("https://klasma.github.io/Logging_1780/tillsynsmail/A 25144-2023 tillsynsbegäran mail.docx", "A 25144-2023")</f>
        <v/>
      </c>
    </row>
    <row r="383" ht="15" customHeight="1">
      <c r="A383" t="inlineStr">
        <is>
          <t>A 29560-2023</t>
        </is>
      </c>
      <c r="B383" s="1" t="n">
        <v>45106</v>
      </c>
      <c r="C383" s="1" t="n">
        <v>45213</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 artfynd.xlsx", "A 29560-2023")</f>
        <v/>
      </c>
      <c r="T383">
        <f>HYPERLINK("https://klasma.github.io/Logging_1737/kartor/A 29560-2023 karta.png", "A 29560-2023")</f>
        <v/>
      </c>
      <c r="V383">
        <f>HYPERLINK("https://klasma.github.io/Logging_1737/klagomål/A 29560-2023 FSC-klagomål.docx", "A 29560-2023")</f>
        <v/>
      </c>
      <c r="W383">
        <f>HYPERLINK("https://klasma.github.io/Logging_1737/klagomålsmail/A 29560-2023 FSC-klagomål mail.docx", "A 29560-2023")</f>
        <v/>
      </c>
      <c r="X383">
        <f>HYPERLINK("https://klasma.github.io/Logging_1737/tillsyn/A 29560-2023 tillsynsbegäran.docx", "A 29560-2023")</f>
        <v/>
      </c>
      <c r="Y383">
        <f>HYPERLINK("https://klasma.github.io/Logging_1737/tillsynsmail/A 29560-2023 tillsynsbegäran mail.docx", "A 29560-2023")</f>
        <v/>
      </c>
    </row>
    <row r="384" ht="15" customHeight="1">
      <c r="A384" t="inlineStr">
        <is>
          <t>A 30202-2023</t>
        </is>
      </c>
      <c r="B384" s="1" t="n">
        <v>45110</v>
      </c>
      <c r="C384" s="1" t="n">
        <v>45213</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 artfynd.xlsx", "A 30202-2023")</f>
        <v/>
      </c>
      <c r="T384">
        <f>HYPERLINK("https://klasma.github.io/Logging_1781/kartor/A 30202-2023 karta.png", "A 30202-2023")</f>
        <v/>
      </c>
      <c r="V384">
        <f>HYPERLINK("https://klasma.github.io/Logging_1781/klagomål/A 30202-2023 FSC-klagomål.docx", "A 30202-2023")</f>
        <v/>
      </c>
      <c r="W384">
        <f>HYPERLINK("https://klasma.github.io/Logging_1781/klagomålsmail/A 30202-2023 FSC-klagomål mail.docx", "A 30202-2023")</f>
        <v/>
      </c>
      <c r="X384">
        <f>HYPERLINK("https://klasma.github.io/Logging_1781/tillsyn/A 30202-2023 tillsynsbegäran.docx", "A 30202-2023")</f>
        <v/>
      </c>
      <c r="Y384">
        <f>HYPERLINK("https://klasma.github.io/Logging_1781/tillsynsmail/A 30202-2023 tillsynsbegäran mail.docx", "A 30202-2023")</f>
        <v/>
      </c>
    </row>
    <row r="385" ht="15" customHeight="1">
      <c r="A385" t="inlineStr">
        <is>
          <t>A 30550-2023</t>
        </is>
      </c>
      <c r="B385" s="1" t="n">
        <v>45111</v>
      </c>
      <c r="C385" s="1" t="n">
        <v>45213</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HYPERLINK("https://klasma.github.io/Logging_1765/kartor/A 30550-2023 karta.png", "A 30550-2023")</f>
        <v/>
      </c>
      <c r="V385">
        <f>HYPERLINK("https://klasma.github.io/Logging_1765/klagomål/A 30550-2023 FSC-klagomål.docx", "A 30550-2023")</f>
        <v/>
      </c>
      <c r="W385">
        <f>HYPERLINK("https://klasma.github.io/Logging_1765/klagomålsmail/A 30550-2023 FSC-klagomål mail.docx", "A 30550-2023")</f>
        <v/>
      </c>
      <c r="X385">
        <f>HYPERLINK("https://klasma.github.io/Logging_1765/tillsyn/A 30550-2023 tillsynsbegäran.docx", "A 30550-2023")</f>
        <v/>
      </c>
      <c r="Y385">
        <f>HYPERLINK("https://klasma.github.io/Logging_1765/tillsynsmail/A 30550-2023 tillsynsbegäran mail.docx", "A 30550-2023")</f>
        <v/>
      </c>
    </row>
    <row r="386" ht="15" customHeight="1">
      <c r="A386" t="inlineStr">
        <is>
          <t>A 32877-2023</t>
        </is>
      </c>
      <c r="B386" s="1" t="n">
        <v>45124</v>
      </c>
      <c r="C386" s="1" t="n">
        <v>45213</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 artfynd.xlsx", "A 32877-2023")</f>
        <v/>
      </c>
      <c r="T386">
        <f>HYPERLINK("https://klasma.github.io/Logging_1784/kartor/A 32877-2023 karta.png", "A 32877-2023")</f>
        <v/>
      </c>
      <c r="U386">
        <f>HYPERLINK("https://klasma.github.io/Logging_1784/knärot/A 32877-2023 karta knärot.png", "A 32877-2023")</f>
        <v/>
      </c>
      <c r="V386">
        <f>HYPERLINK("https://klasma.github.io/Logging_1784/klagomål/A 32877-2023 FSC-klagomål.docx", "A 32877-2023")</f>
        <v/>
      </c>
      <c r="W386">
        <f>HYPERLINK("https://klasma.github.io/Logging_1784/klagomålsmail/A 32877-2023 FSC-klagomål mail.docx", "A 32877-2023")</f>
        <v/>
      </c>
      <c r="X386">
        <f>HYPERLINK("https://klasma.github.io/Logging_1784/tillsyn/A 32877-2023 tillsynsbegäran.docx", "A 32877-2023")</f>
        <v/>
      </c>
      <c r="Y386">
        <f>HYPERLINK("https://klasma.github.io/Logging_1784/tillsynsmail/A 32877-2023 tillsynsbegäran mail.docx", "A 32877-2023")</f>
        <v/>
      </c>
    </row>
    <row r="387" ht="15" customHeight="1">
      <c r="A387" t="inlineStr">
        <is>
          <t>A 35809-2023</t>
        </is>
      </c>
      <c r="B387" s="1" t="n">
        <v>45147</v>
      </c>
      <c r="C387" s="1" t="n">
        <v>45213</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 artfynd.xlsx", "A 35809-2023")</f>
        <v/>
      </c>
      <c r="T387">
        <f>HYPERLINK("https://klasma.github.io/Logging_1737/kartor/A 35809-2023 karta.png", "A 35809-2023")</f>
        <v/>
      </c>
      <c r="V387">
        <f>HYPERLINK("https://klasma.github.io/Logging_1737/klagomål/A 35809-2023 FSC-klagomål.docx", "A 35809-2023")</f>
        <v/>
      </c>
      <c r="W387">
        <f>HYPERLINK("https://klasma.github.io/Logging_1737/klagomålsmail/A 35809-2023 FSC-klagomål mail.docx", "A 35809-2023")</f>
        <v/>
      </c>
      <c r="X387">
        <f>HYPERLINK("https://klasma.github.io/Logging_1737/tillsyn/A 35809-2023 tillsynsbegäran.docx", "A 35809-2023")</f>
        <v/>
      </c>
      <c r="Y387">
        <f>HYPERLINK("https://klasma.github.io/Logging_1737/tillsynsmail/A 35809-2023 tillsynsbegäran mail.docx", "A 35809-2023")</f>
        <v/>
      </c>
    </row>
    <row r="388" ht="15" customHeight="1">
      <c r="A388" t="inlineStr">
        <is>
          <t>A 36666-2023</t>
        </is>
      </c>
      <c r="B388" s="1" t="n">
        <v>45153</v>
      </c>
      <c r="C388" s="1" t="n">
        <v>45213</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 artfynd.xlsx", "A 36666-2023")</f>
        <v/>
      </c>
      <c r="T388">
        <f>HYPERLINK("https://klasma.github.io/Logging_1766/kartor/A 36666-2023 karta.png", "A 36666-2023")</f>
        <v/>
      </c>
      <c r="V388">
        <f>HYPERLINK("https://klasma.github.io/Logging_1766/klagomål/A 36666-2023 FSC-klagomål.docx", "A 36666-2023")</f>
        <v/>
      </c>
      <c r="W388">
        <f>HYPERLINK("https://klasma.github.io/Logging_1766/klagomålsmail/A 36666-2023 FSC-klagomål mail.docx", "A 36666-2023")</f>
        <v/>
      </c>
      <c r="X388">
        <f>HYPERLINK("https://klasma.github.io/Logging_1766/tillsyn/A 36666-2023 tillsynsbegäran.docx", "A 36666-2023")</f>
        <v/>
      </c>
      <c r="Y388">
        <f>HYPERLINK("https://klasma.github.io/Logging_1766/tillsynsmail/A 36666-2023 tillsynsbegäran mail.docx", "A 36666-2023")</f>
        <v/>
      </c>
    </row>
    <row r="389" ht="15" customHeight="1">
      <c r="A389" t="inlineStr">
        <is>
          <t>A 37427-2023</t>
        </is>
      </c>
      <c r="B389" s="1" t="n">
        <v>45156</v>
      </c>
      <c r="C389" s="1" t="n">
        <v>45213</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 artfynd.xlsx", "A 37427-2023")</f>
        <v/>
      </c>
      <c r="T389">
        <f>HYPERLINK("https://klasma.github.io/Logging_1782/kartor/A 37427-2023 karta.png", "A 37427-2023")</f>
        <v/>
      </c>
      <c r="V389">
        <f>HYPERLINK("https://klasma.github.io/Logging_1782/klagomål/A 37427-2023 FSC-klagomål.docx", "A 37427-2023")</f>
        <v/>
      </c>
      <c r="W389">
        <f>HYPERLINK("https://klasma.github.io/Logging_1782/klagomålsmail/A 37427-2023 FSC-klagomål mail.docx", "A 37427-2023")</f>
        <v/>
      </c>
      <c r="X389">
        <f>HYPERLINK("https://klasma.github.io/Logging_1782/tillsyn/A 37427-2023 tillsynsbegäran.docx", "A 37427-2023")</f>
        <v/>
      </c>
      <c r="Y389">
        <f>HYPERLINK("https://klasma.github.io/Logging_1782/tillsynsmail/A 37427-2023 tillsynsbegäran mail.docx", "A 37427-2023")</f>
        <v/>
      </c>
    </row>
    <row r="390" ht="15" customHeight="1">
      <c r="A390" t="inlineStr">
        <is>
          <t>A 41484-2023</t>
        </is>
      </c>
      <c r="B390" s="1" t="n">
        <v>45175</v>
      </c>
      <c r="C390" s="1" t="n">
        <v>45213</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 artfynd.xlsx", "A 41484-2023")</f>
        <v/>
      </c>
      <c r="T390">
        <f>HYPERLINK("https://klasma.github.io/Logging_1780/kartor/A 41484-2023 karta.png", "A 41484-2023")</f>
        <v/>
      </c>
      <c r="V390">
        <f>HYPERLINK("https://klasma.github.io/Logging_1780/klagomål/A 41484-2023 FSC-klagomål.docx", "A 41484-2023")</f>
        <v/>
      </c>
      <c r="W390">
        <f>HYPERLINK("https://klasma.github.io/Logging_1780/klagomålsmail/A 41484-2023 FSC-klagomål mail.docx", "A 41484-2023")</f>
        <v/>
      </c>
      <c r="X390">
        <f>HYPERLINK("https://klasma.github.io/Logging_1780/tillsyn/A 41484-2023 tillsynsbegäran.docx", "A 41484-2023")</f>
        <v/>
      </c>
      <c r="Y390">
        <f>HYPERLINK("https://klasma.github.io/Logging_1780/tillsynsmail/A 41484-2023 tillsynsbegäran mail.docx", "A 41484-2023")</f>
        <v/>
      </c>
    </row>
    <row r="391" ht="15" customHeight="1">
      <c r="A391" t="inlineStr">
        <is>
          <t>A 42610-2023</t>
        </is>
      </c>
      <c r="B391" s="1" t="n">
        <v>45181</v>
      </c>
      <c r="C391" s="1" t="n">
        <v>45213</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 artfynd.xlsx", "A 42610-2023")</f>
        <v/>
      </c>
      <c r="T391">
        <f>HYPERLINK("https://klasma.github.io/Logging_1737/kartor/A 42610-2023 karta.png", "A 42610-2023")</f>
        <v/>
      </c>
      <c r="V391">
        <f>HYPERLINK("https://klasma.github.io/Logging_1737/klagomål/A 42610-2023 FSC-klagomål.docx", "A 42610-2023")</f>
        <v/>
      </c>
      <c r="W391">
        <f>HYPERLINK("https://klasma.github.io/Logging_1737/klagomålsmail/A 42610-2023 FSC-klagomål mail.docx", "A 42610-2023")</f>
        <v/>
      </c>
      <c r="X391">
        <f>HYPERLINK("https://klasma.github.io/Logging_1737/tillsyn/A 42610-2023 tillsynsbegäran.docx", "A 42610-2023")</f>
        <v/>
      </c>
      <c r="Y391">
        <f>HYPERLINK("https://klasma.github.io/Logging_1737/tillsynsmail/A 42610-2023 tillsynsbegäran mail.docx", "A 42610-2023")</f>
        <v/>
      </c>
    </row>
    <row r="392" ht="15" customHeight="1">
      <c r="A392" t="inlineStr">
        <is>
          <t>A 44095-2023</t>
        </is>
      </c>
      <c r="B392" s="1" t="n">
        <v>45188</v>
      </c>
      <c r="C392" s="1" t="n">
        <v>45213</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45213</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45213</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45213</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45213</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45213</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45213</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45213</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45213</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45213</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45213</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45213</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45213</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45213</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45213</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45213</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45213</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45213</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45213</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45213</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45213</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45213</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45213</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45213</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45213</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45213</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45213</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45213</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45213</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45213</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45213</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45213</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45213</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45213</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45213</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45213</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45213</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45213</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45213</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45213</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45213</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45213</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45213</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45213</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45213</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45213</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45213</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45213</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45213</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45213</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45213</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45213</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45213</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45213</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45213</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45213</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45213</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45213</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45213</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45213</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45213</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45213</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45213</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45213</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45213</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45213</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45213</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45213</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45213</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45213</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45213</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45213</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45213</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45213</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45213</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45213</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45213</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45213</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45213</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45213</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45213</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45213</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45213</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45213</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45213</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45213</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45213</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45213</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45213</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45213</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45213</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45213</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45213</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45213</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45213</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45213</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45213</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45213</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45213</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45213</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45213</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45213</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45213</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45213</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45213</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45213</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45213</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45213</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45213</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45213</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45213</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45213</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45213</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45213</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45213</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45213</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45213</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45213</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45213</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45213</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45213</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45213</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45213</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45213</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45213</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45213</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45213</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45213</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45213</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45213</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45213</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45213</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45213</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45213</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45213</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45213</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45213</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45213</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45213</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45213</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45213</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45213</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45213</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45213</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45213</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45213</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45213</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45213</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45213</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45213</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45213</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45213</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45213</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45213</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45213</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45213</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45213</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45213</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45213</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45213</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45213</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45213</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45213</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45213</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45213</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45213</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45213</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45213</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45213</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45213</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45213</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45213</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45213</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45213</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45213</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45213</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45213</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45213</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45213</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45213</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45213</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45213</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45213</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45213</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45213</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45213</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45213</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45213</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45213</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45213</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45213</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45213</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45213</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45213</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45213</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45213</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45213</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45213</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45213</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45213</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45213</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45213</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45213</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45213</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45213</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45213</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45213</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45213</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45213</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45213</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45213</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45213</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45213</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45213</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45213</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45213</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45213</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45213</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45213</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45213</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45213</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45213</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45213</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45213</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45213</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45213</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45213</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45213</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45213</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45213</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45213</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45213</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45213</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45213</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45213</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45213</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45213</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45213</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45213</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45213</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45213</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45213</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45213</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45213</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45213</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45213</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45213</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45213</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45213</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45213</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45213</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45213</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45213</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45213</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45213</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45213</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45213</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45213</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45213</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45213</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45213</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45213</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45213</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45213</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45213</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45213</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45213</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45213</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45213</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45213</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45213</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45213</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45213</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45213</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45213</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45213</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45213</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45213</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45213</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45213</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45213</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45213</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45213</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45213</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45213</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45213</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45213</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45213</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45213</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45213</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45213</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45213</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45213</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45213</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45213</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45213</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45213</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45213</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45213</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45213</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45213</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45213</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45213</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45213</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45213</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45213</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45213</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45213</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45213</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45213</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45213</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45213</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45213</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45213</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45213</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45213</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45213</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45213</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45213</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45213</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45213</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45213</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45213</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45213</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45213</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45213</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45213</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45213</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45213</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45213</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45213</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45213</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45213</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45213</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45213</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45213</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45213</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45213</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45213</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45213</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45213</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45213</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45213</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45213</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45213</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45213</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45213</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45213</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45213</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45213</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45213</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45213</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45213</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45213</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45213</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45213</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45213</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45213</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45213</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45213</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45213</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45213</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45213</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45213</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45213</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45213</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45213</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45213</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45213</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45213</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45213</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45213</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45213</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45213</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45213</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45213</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45213</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45213</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45213</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45213</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45213</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45213</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45213</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45213</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45213</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45213</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45213</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45213</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45213</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45213</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45213</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45213</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45213</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45213</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45213</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45213</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45213</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45213</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45213</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45213</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45213</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45213</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45213</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45213</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45213</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45213</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45213</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45213</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45213</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45213</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45213</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45213</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45213</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45213</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45213</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45213</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45213</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45213</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45213</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45213</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45213</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45213</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45213</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45213</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45213</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45213</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45213</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45213</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45213</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45213</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45213</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45213</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45213</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45213</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45213</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45213</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45213</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45213</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45213</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45213</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45213</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45213</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45213</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45213</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45213</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45213</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45213</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45213</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45213</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45213</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45213</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45213</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45213</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45213</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45213</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45213</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45213</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45213</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45213</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45213</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45213</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45213</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45213</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45213</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45213</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45213</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45213</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45213</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45213</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45213</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45213</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45213</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45213</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45213</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45213</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45213</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45213</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45213</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45213</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45213</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45213</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45213</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45213</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45213</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45213</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45213</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45213</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45213</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45213</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45213</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45213</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45213</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45213</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45213</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45213</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45213</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45213</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45213</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45213</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45213</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45213</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45213</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45213</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45213</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45213</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45213</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45213</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45213</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45213</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45213</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45213</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45213</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45213</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45213</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45213</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45213</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45213</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45213</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45213</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45213</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45213</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45213</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45213</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45213</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45213</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45213</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45213</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45213</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45213</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45213</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45213</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45213</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45213</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45213</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45213</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45213</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45213</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45213</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45213</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45213</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45213</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45213</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45213</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45213</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45213</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45213</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45213</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45213</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45213</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45213</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45213</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45213</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45213</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45213</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45213</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45213</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45213</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45213</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45213</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45213</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45213</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45213</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45213</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45213</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45213</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45213</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45213</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45213</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45213</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45213</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45213</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45213</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45213</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45213</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45213</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45213</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45213</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45213</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45213</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45213</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45213</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45213</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45213</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45213</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45213</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45213</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45213</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45213</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45213</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45213</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45213</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45213</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45213</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45213</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45213</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45213</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45213</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45213</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45213</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45213</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45213</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45213</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45213</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45213</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45213</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45213</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45213</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45213</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45213</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45213</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45213</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45213</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45213</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45213</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45213</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45213</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45213</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45213</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45213</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45213</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45213</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45213</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45213</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45213</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45213</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45213</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45213</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45213</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45213</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45213</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45213</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45213</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45213</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45213</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45213</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45213</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45213</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45213</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45213</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45213</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45213</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45213</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45213</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45213</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45213</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45213</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45213</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45213</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45213</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45213</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45213</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45213</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45213</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45213</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45213</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45213</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45213</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45213</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45213</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45213</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45213</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45213</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45213</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45213</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45213</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45213</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45213</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45213</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45213</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45213</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45213</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45213</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45213</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45213</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45213</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45213</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45213</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45213</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45213</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45213</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45213</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45213</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45213</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45213</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45213</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45213</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45213</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45213</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45213</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45213</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45213</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45213</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45213</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45213</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45213</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45213</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45213</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45213</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45213</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45213</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45213</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45213</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45213</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45213</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45213</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45213</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45213</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45213</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45213</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45213</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45213</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45213</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45213</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45213</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45213</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45213</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45213</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45213</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45213</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45213</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45213</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45213</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45213</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45213</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45213</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45213</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45213</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45213</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45213</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45213</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45213</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45213</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45213</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45213</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45213</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45213</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45213</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45213</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45213</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45213</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45213</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45213</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45213</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45213</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45213</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45213</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45213</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45213</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45213</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45213</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45213</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45213</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45213</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45213</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45213</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45213</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45213</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45213</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45213</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45213</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45213</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45213</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45213</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45213</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45213</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45213</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45213</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45213</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45213</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45213</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45213</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45213</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45213</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45213</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45213</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45213</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45213</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45213</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45213</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45213</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45213</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45213</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45213</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45213</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45213</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45213</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45213</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45213</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45213</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45213</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45213</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45213</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45213</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45213</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45213</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45213</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45213</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45213</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45213</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45213</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45213</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45213</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45213</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45213</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45213</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45213</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45213</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45213</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45213</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45213</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45213</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45213</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45213</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45213</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45213</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45213</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45213</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45213</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45213</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45213</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45213</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45213</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45213</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45213</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45213</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45213</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45213</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45213</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45213</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45213</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45213</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45213</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45213</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45213</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45213</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45213</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45213</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45213</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45213</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45213</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45213</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45213</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45213</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45213</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45213</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45213</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45213</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45213</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45213</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45213</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45213</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45213</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45213</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45213</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45213</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45213</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45213</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45213</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45213</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45213</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45213</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45213</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45213</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45213</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45213</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45213</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45213</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45213</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45213</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45213</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45213</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45213</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45213</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45213</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45213</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45213</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45213</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45213</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45213</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45213</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45213</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45213</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45213</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45213</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45213</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45213</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45213</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45213</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45213</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45213</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45213</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45213</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45213</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45213</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45213</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45213</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45213</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45213</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45213</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45213</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45213</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45213</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45213</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45213</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45213</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45213</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45213</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45213</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45213</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45213</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45213</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45213</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45213</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45213</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45213</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45213</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45213</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45213</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45213</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45213</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45213</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45213</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45213</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45213</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45213</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45213</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45213</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45213</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45213</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45213</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45213</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45213</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45213</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45213</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45213</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45213</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45213</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45213</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45213</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45213</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45213</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45213</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45213</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45213</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45213</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45213</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45213</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45213</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45213</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45213</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45213</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45213</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45213</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45213</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45213</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45213</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45213</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45213</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45213</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45213</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45213</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45213</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45213</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45213</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45213</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45213</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45213</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45213</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45213</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45213</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45213</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45213</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45213</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45213</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45213</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45213</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45213</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45213</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45213</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45213</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45213</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45213</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45213</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45213</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45213</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45213</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45213</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45213</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45213</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45213</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45213</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45213</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45213</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45213</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45213</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45213</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45213</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45213</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45213</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45213</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45213</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45213</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45213</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45213</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45213</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45213</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45213</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45213</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45213</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45213</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45213</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45213</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45213</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45213</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45213</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45213</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45213</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45213</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45213</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45213</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45213</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45213</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45213</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45213</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45213</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45213</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45213</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45213</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45213</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45213</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45213</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45213</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45213</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45213</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45213</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45213</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45213</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45213</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45213</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45213</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45213</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45213</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45213</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45213</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45213</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45213</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45213</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45213</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45213</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45213</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45213</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45213</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45213</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45213</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45213</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45213</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45213</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45213</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45213</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45213</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45213</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45213</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45213</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45213</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45213</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45213</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45213</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45213</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45213</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45213</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45213</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45213</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45213</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45213</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45213</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45213</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45213</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45213</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45213</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45213</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45213</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45213</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45213</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45213</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45213</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45213</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45213</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45213</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45213</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45213</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45213</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45213</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45213</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45213</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45213</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45213</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45213</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45213</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45213</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45213</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45213</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45213</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45213</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45213</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45213</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45213</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45213</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45213</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45213</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45213</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45213</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45213</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45213</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45213</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45213</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45213</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45213</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45213</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45213</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45213</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45213</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45213</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45213</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45213</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45213</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45213</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45213</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45213</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45213</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45213</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45213</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45213</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45213</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45213</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45213</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45213</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45213</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45213</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45213</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45213</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45213</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45213</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45213</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45213</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45213</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45213</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45213</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45213</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45213</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45213</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45213</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45213</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45213</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45213</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45213</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45213</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45213</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45213</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45213</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45213</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45213</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45213</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45213</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45213</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45213</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45213</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45213</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45213</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45213</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45213</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45213</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45213</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45213</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45213</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45213</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45213</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45213</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45213</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45213</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45213</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45213</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45213</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45213</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45213</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45213</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45213</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45213</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45213</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45213</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45213</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45213</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45213</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45213</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45213</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45213</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45213</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45213</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45213</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45213</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45213</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45213</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45213</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45213</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45213</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45213</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45213</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45213</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45213</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45213</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45213</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45213</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45213</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45213</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45213</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45213</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45213</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45213</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45213</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45213</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45213</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45213</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45213</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45213</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45213</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45213</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45213</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45213</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45213</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45213</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45213</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45213</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45213</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45213</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45213</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45213</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45213</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45213</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45213</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45213</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45213</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45213</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45213</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45213</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45213</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45213</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45213</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45213</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45213</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45213</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45213</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45213</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45213</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45213</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45213</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45213</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45213</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45213</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45213</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45213</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45213</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45213</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45213</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45213</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45213</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45213</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45213</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45213</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45213</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45213</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45213</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45213</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45213</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45213</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45213</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45213</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45213</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45213</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45213</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45213</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45213</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45213</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45213</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45213</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45213</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45213</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45213</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45213</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45213</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45213</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45213</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45213</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45213</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45213</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45213</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45213</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45213</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45213</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45213</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45213</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45213</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45213</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45213</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45213</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45213</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45213</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45213</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45213</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45213</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45213</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45213</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45213</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45213</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45213</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45213</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45213</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45213</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45213</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45213</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45213</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45213</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45213</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45213</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45213</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45213</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45213</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45213</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45213</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45213</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45213</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45213</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45213</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45213</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45213</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45213</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45213</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45213</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45213</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45213</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45213</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45213</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45213</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45213</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45213</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45213</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45213</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45213</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45213</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45213</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45213</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45213</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45213</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45213</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45213</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45213</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45213</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45213</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45213</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45213</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45213</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45213</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45213</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45213</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45213</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45213</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45213</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45213</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45213</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45213</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45213</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45213</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45213</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45213</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45213</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45213</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45213</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45213</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45213</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45213</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45213</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45213</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45213</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45213</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45213</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45213</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45213</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45213</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45213</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45213</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45213</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45213</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45213</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45213</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45213</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45213</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45213</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45213</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45213</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45213</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45213</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45213</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45213</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45213</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45213</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45213</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45213</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45213</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45213</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45213</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45213</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45213</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45213</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45213</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45213</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45213</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45213</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45213</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45213</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45213</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45213</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45213</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45213</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45213</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45213</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45213</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45213</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45213</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45213</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45213</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45213</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45213</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45213</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45213</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45213</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45213</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45213</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45213</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45213</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45213</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45213</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45213</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45213</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45213</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45213</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45213</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45213</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45213</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45213</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45213</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45213</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45213</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45213</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45213</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45213</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45213</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45213</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45213</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45213</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45213</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45213</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45213</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45213</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45213</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45213</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45213</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45213</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45213</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45213</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45213</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45213</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45213</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45213</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45213</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45213</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45213</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45213</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45213</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45213</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45213</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45213</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45213</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45213</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45213</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45213</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45213</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45213</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45213</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45213</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45213</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45213</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45213</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45213</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45213</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45213</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45213</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45213</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45213</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45213</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45213</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45213</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45213</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45213</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45213</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45213</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45213</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45213</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45213</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45213</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45213</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45213</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45213</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45213</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45213</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45213</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45213</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45213</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45213</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45213</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45213</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45213</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45213</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45213</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45213</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45213</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45213</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45213</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45213</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45213</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45213</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45213</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45213</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45213</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45213</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45213</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45213</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45213</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45213</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45213</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45213</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45213</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45213</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45213</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45213</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45213</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45213</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45213</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45213</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45213</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45213</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45213</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45213</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45213</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45213</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45213</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45213</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45213</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45213</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45213</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45213</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45213</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45213</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45213</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45213</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45213</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45213</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45213</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45213</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45213</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45213</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45213</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45213</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45213</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45213</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45213</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45213</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45213</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45213</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45213</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45213</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45213</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45213</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45213</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45213</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45213</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45213</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45213</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45213</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45213</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45213</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45213</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45213</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45213</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45213</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45213</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45213</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45213</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45213</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45213</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45213</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45213</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45213</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45213</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45213</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45213</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45213</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45213</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45213</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45213</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45213</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45213</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45213</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45213</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45213</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45213</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45213</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45213</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45213</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45213</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45213</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45213</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45213</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45213</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45213</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45213</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45213</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45213</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45213</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45213</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45213</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45213</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45213</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45213</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45213</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45213</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45213</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45213</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45213</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45213</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45213</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45213</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45213</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45213</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45213</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45213</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45213</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45213</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45213</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45213</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45213</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45213</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45213</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45213</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45213</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45213</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45213</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45213</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45213</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45213</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45213</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45213</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45213</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45213</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45213</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45213</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45213</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45213</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45213</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45213</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45213</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45213</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45213</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45213</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45213</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45213</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45213</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45213</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45213</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45213</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45213</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45213</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45213</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45213</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45213</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45213</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45213</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45213</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45213</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45213</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45213</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45213</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45213</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45213</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45213</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45213</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45213</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45213</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45213</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45213</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45213</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45213</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45213</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45213</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45213</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45213</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45213</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45213</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45213</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45213</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45213</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45213</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45213</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45213</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45213</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45213</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45213</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45213</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45213</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45213</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45213</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45213</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45213</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45213</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45213</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45213</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45213</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45213</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45213</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45213</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45213</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45213</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45213</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45213</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45213</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45213</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45213</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45213</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45213</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45213</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45213</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45213</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45213</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45213</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45213</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45213</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45213</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45213</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45213</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45213</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45213</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45213</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45213</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45213</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45213</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45213</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45213</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45213</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45213</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45213</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45213</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45213</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45213</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45213</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45213</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45213</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45213</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45213</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45213</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45213</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45213</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45213</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45213</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45213</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45213</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45213</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45213</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45213</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45213</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45213</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45213</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45213</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45213</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45213</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45213</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45213</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45213</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45213</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45213</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45213</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45213</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45213</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45213</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45213</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45213</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45213</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45213</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45213</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45213</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45213</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45213</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45213</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45213</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45213</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45213</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45213</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45213</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45213</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45213</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45213</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45213</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45213</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45213</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45213</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45213</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45213</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45213</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45213</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45213</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45213</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45213</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45213</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45213</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45213</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45213</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45213</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45213</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45213</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45213</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45213</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45213</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45213</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45213</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45213</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45213</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45213</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45213</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45213</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45213</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45213</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45213</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45213</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45213</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45213</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45213</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45213</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45213</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45213</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45213</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45213</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45213</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45213</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45213</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45213</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45213</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45213</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45213</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45213</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45213</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45213</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45213</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45213</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45213</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45213</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45213</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45213</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45213</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45213</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45213</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45213</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45213</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45213</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45213</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45213</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45213</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45213</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45213</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45213</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45213</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45213</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45213</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45213</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45213</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45213</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45213</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45213</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45213</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45213</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45213</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45213</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45213</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45213</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45213</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45213</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45213</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45213</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45213</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45213</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45213</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45213</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45213</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45213</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45213</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45213</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45213</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45213</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45213</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45213</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45213</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45213</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45213</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45213</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45213</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45213</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45213</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45213</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45213</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45213</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45213</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45213</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45213</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45213</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45213</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45213</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45213</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45213</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45213</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45213</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45213</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45213</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45213</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45213</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45213</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45213</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45213</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45213</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45213</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45213</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45213</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45213</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45213</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45213</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45213</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45213</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45213</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45213</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45213</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45213</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45213</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45213</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45213</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45213</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45213</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45213</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45213</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45213</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45213</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45213</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45213</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45213</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45213</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45213</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45213</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45213</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45213</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45213</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45213</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45213</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45213</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45213</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45213</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45213</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45213</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45213</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45213</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45213</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45213</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45213</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45213</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45213</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45213</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45213</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45213</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45213</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45213</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45213</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45213</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45213</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45213</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45213</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45213</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45213</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45213</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45213</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45213</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45213</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45213</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45213</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45213</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45213</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45213</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45213</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45213</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45213</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45213</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45213</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45213</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45213</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45213</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45213</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45213</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45213</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45213</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45213</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45213</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45213</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45213</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45213</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45213</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45213</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45213</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45213</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45213</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45213</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45213</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45213</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45213</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45213</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45213</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45213</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45213</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45213</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45213</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45213</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45213</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45213</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45213</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45213</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45213</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45213</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45213</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45213</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45213</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45213</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45213</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45213</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45213</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45213</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45213</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45213</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45213</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45213</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45213</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45213</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45213</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45213</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45213</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45213</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45213</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45213</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45213</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45213</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45213</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45213</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45213</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45213</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45213</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45213</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45213</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45213</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45213</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45213</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45213</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45213</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45213</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45213</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45213</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45213</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45213</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45213</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45213</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45213</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45213</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45213</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45213</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45213</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45213</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45213</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45213</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45213</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45213</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45213</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45213</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45213</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45213</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45213</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45213</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45213</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45213</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45213</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45213</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45213</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45213</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45213</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45213</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45213</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45213</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45213</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45213</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45213</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45213</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45213</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45213</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45213</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45213</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45213</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45213</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45213</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45213</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45213</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45213</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45213</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45213</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45213</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45213</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45213</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45213</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45213</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45213</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45213</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45213</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45213</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45213</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45213</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45213</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45213</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45213</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45213</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45213</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45213</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45213</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45213</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45213</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45213</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45213</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45213</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45213</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45213</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45213</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45213</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45213</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45213</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45213</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45213</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45213</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45213</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45213</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45213</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45213</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45213</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45213</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45213</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45213</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45213</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45213</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45213</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45213</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45213</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45213</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45213</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45213</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45213</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45213</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45213</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45213</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45213</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45213</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45213</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45213</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45213</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45213</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45213</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45213</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45213</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45213</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45213</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45213</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45213</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45213</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45213</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45213</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45213</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45213</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45213</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45213</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45213</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45213</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45213</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45213</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45213</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45213</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45213</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45213</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45213</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45213</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45213</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45213</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45213</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45213</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45213</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45213</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45213</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45213</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45213</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45213</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45213</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45213</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45213</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45213</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45213</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45213</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45213</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45213</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45213</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45213</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45213</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45213</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45213</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45213</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45213</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45213</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45213</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45213</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45213</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45213</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45213</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45213</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45213</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45213</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45213</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45213</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45213</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45213</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45213</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45213</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45213</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45213</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45213</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45213</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45213</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45213</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45213</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45213</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45213</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45213</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45213</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45213</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45213</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45213</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45213</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45213</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45213</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45213</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45213</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45213</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45213</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45213</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45213</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45213</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45213</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45213</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45213</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45213</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45213</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45213</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45213</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45213</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45213</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45213</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45213</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45213</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45213</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45213</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45213</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45213</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45213</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45213</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45213</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45213</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45213</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45213</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45213</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45213</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45213</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45213</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45213</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45213</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45213</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45213</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45213</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45213</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45213</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45213</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45213</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45213</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45213</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45213</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45213</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45213</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45213</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45213</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45213</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45213</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45213</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45213</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45213</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45213</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45213</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45213</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45213</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45213</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45213</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45213</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45213</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45213</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45213</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45213</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45213</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45213</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45213</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45213</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45213</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45213</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45213</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45213</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45213</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45213</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45213</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45213</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45213</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45213</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45213</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45213</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45213</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45213</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45213</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45213</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45213</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45213</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45213</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45213</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45213</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45213</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45213</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45213</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45213</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45213</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45213</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45213</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45213</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45213</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45213</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45213</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45213</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45213</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45213</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45213</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45213</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45213</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45213</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45213</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45213</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45213</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45213</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45213</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45213</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45213</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45213</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45213</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45213</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45213</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45213</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45213</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45213</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45213</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45213</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45213</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45213</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45213</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45213</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45213</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45213</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45213</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45213</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45213</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45213</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45213</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45213</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45213</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45213</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45213</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45213</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45213</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45213</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45213</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45213</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45213</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45213</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45213</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45213</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45213</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45213</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45213</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45213</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45213</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45213</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45213</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45213</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45213</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45213</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45213</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45213</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45213</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45213</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45213</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45213</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45213</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45213</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45213</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45213</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45213</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45213</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45213</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45213</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45213</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45213</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45213</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45213</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45213</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45213</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45213</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45213</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45213</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45213</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45213</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45213</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45213</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45213</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45213</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45213</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45213</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45213</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45213</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45213</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45213</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45213</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45213</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45213</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45213</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45213</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45213</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45213</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45213</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45213</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45213</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45213</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45213</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45213</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45213</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45213</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45213</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45213</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45213</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45213</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45213</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45213</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45213</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45213</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45213</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45213</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45213</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45213</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45213</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45213</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45213</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45213</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45213</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45213</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45213</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45213</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45213</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45213</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45213</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45213</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45213</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45213</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45213</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45213</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45213</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45213</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45213</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45213</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45213</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45213</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45213</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45213</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45213</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45213</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45213</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45213</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45213</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45213</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45213</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45213</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45213</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45213</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45213</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45213</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45213</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45213</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45213</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45213</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45213</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45213</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45213</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45213</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45213</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45213</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45213</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45213</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45213</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45213</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45213</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45213</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45213</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45213</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45213</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45213</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45213</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45213</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45213</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45213</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45213</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45213</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45213</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45213</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45213</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45213</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45213</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45213</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45213</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45213</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45213</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45213</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45213</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45213</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45213</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45213</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45213</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45213</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45213</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45213</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45213</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45213</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45213</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45213</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45213</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45213</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45213</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45213</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45213</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45213</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45213</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45213</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45213</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45213</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45213</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45213</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45213</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45213</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45213</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45213</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45213</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45213</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45213</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45213</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45213</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45213</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45213</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45213</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45213</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45213</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45213</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45213</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45213</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45213</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45213</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45213</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45213</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45213</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45213</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45213</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45213</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45213</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45213</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45213</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45213</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45213</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45213</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45213</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45213</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45213</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45213</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45213</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45213</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45213</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45213</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45213</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45213</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45213</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45213</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45213</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45213</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45213</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45213</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45213</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45213</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45213</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45213</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45213</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45213</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45213</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45213</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45213</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45213</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45213</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45213</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45213</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45213</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45213</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45213</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45213</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45213</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45213</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45213</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45213</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45213</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45213</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45213</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45213</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45213</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45213</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45213</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45213</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45213</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45213</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45213</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45213</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45213</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45213</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45213</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45213</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45213</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45213</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45213</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45213</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45213</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45213</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45213</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45213</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45213</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45213</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45213</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45213</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45213</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45213</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45213</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45213</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45213</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45213</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45213</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45213</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45213</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45213</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45213</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45213</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45213</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45213</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45213</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45213</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45213</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45213</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45213</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45213</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45213</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45213</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45213</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45213</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45213</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45213</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45213</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45213</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45213</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45213</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45213</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45213</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45213</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45213</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45213</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45213</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45213</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45213</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45213</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45213</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45213</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45213</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45213</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45213</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45213</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45213</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45213</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45213</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45213</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45213</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45213</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45213</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45213</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45213</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45213</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45213</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45213</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45213</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45213</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45213</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45213</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45213</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45213</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45213</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45213</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45213</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45213</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45213</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45213</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45213</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45213</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45213</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45213</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45213</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45213</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45213</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45213</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45213</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45213</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45213</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45213</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45213</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45213</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45213</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45213</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45213</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45213</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45213</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45213</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45213</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45213</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45213</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45213</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45213</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45213</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45213</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45213</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45213</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45213</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45213</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45213</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45213</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45213</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45213</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45213</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45213</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45213</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45213</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45213</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45213</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45213</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45213</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45213</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45213</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45213</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45213</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45213</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45213</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45213</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45213</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45213</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45213</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45213</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45213</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45213</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45213</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45213</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45213</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45213</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45213</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45213</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45213</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45213</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45213</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45213</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45213</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45213</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45213</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45213</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45213</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45213</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45213</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45213</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45213</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45213</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45213</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45213</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45213</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45213</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45213</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45213</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45213</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45213</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45213</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45213</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45213</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45213</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45213</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45213</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45213</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45213</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45213</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45213</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45213</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45213</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45213</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45213</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45213</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45213</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45213</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45213</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45213</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45213</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45213</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45213</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45213</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45213</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45213</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45213</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45213</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45213</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45213</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45213</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45213</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45213</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45213</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45213</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45213</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45213</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45213</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45213</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45213</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45213</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45213</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45213</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45213</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45213</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45213</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45213</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45213</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45213</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45213</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45213</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45213</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45213</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45213</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45213</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45213</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45213</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45213</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45213</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45213</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45213</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45213</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45213</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45213</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45213</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45213</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45213</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45213</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45213</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45213</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45213</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45213</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45213</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45213</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45213</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45213</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45213</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45213</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45213</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45213</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45213</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45213</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45213</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45213</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45213</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45213</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45213</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45213</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45213</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45213</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45213</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45213</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45213</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45213</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45213</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45213</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45213</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45213</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45213</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45213</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45213</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45213</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45213</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45213</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45213</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45213</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45213</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45213</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45213</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45213</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45213</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45213</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45213</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45213</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45213</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45213</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45213</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45213</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45213</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45213</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45213</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45213</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45213</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45213</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45213</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45213</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45213</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45213</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45213</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45213</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45213</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45213</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45213</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45213</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45213</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45213</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45213</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45213</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45213</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45213</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45213</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45213</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45213</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45213</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45213</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45213</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45213</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45213</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45213</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45213</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45213</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45213</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45213</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45213</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45213</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45213</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45213</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45213</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45213</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45213</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45213</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45213</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45213</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45213</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45213</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45213</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45213</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45213</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45213</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45213</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45213</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45213</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45213</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45213</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45213</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45213</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45213</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45213</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45213</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45213</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45213</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45213</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45213</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45213</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45213</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45213</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45213</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45213</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45213</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45213</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45213</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45213</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45213</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45213</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45213</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45213</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45213</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45213</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45213</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45213</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45213</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45213</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45213</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45213</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45213</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45213</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45213</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45213</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45213</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45213</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45213</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45213</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45213</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45213</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45213</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45213</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45213</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45213</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45213</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45213</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45213</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45213</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45213</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45213</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45213</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45213</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45213</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45213</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45213</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45213</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45213</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45213</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45213</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45213</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45213</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45213</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45213</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45213</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45213</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45213</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45213</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45213</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45213</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45213</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45213</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45213</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45213</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45213</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45213</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45213</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45213</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45213</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45213</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45213</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45213</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45213</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45213</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45213</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45213</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45213</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45213</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45213</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45213</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45213</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45213</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45213</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45213</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45213</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45213</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45213</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45213</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45213</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45213</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45213</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45213</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45213</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45213</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45213</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45213</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45213</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45213</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45213</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45213</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45213</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45213</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45213</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45213</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45213</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45213</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45213</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45213</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45213</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45213</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45213</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45213</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45213</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45213</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45213</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45213</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45213</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45213</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45213</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45213</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45213</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45213</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45213</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45213</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45213</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45213</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45213</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45213</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45213</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45213</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45213</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45213</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45213</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45213</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45213</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45213</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45213</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45213</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45213</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45213</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45213</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45213</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45213</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45213</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45213</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45213</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45213</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45213</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45213</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45213</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45213</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45213</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45213</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45213</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45213</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45213</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45213</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45213</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45213</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45213</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45213</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45213</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45213</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45213</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45213</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45213</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45213</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45213</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45213</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45213</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45213</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45213</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45213</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45213</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45213</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45213</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45213</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45213</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45213</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45213</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45213</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45213</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45213</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45213</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45213</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45213</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45213</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45213</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45213</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45213</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45213</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45213</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45213</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45213</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45213</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45213</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45213</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45213</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45213</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45213</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45213</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45213</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45213</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45213</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45213</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45213</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45213</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45213</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45213</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45213</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45213</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45213</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45213</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45213</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45213</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45213</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45213</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45213</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45213</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45213</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45213</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45213</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45213</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45213</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45213</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45213</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45213</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45213</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45213</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45213</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45213</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45213</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45213</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45213</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45213</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45213</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45213</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45213</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45213</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45213</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45213</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45213</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45213</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45213</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45213</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45213</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45213</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45213</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45213</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45213</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45213</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45213</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45213</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45213</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45213</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45213</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45213</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45213</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45213</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45213</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45213</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45213</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45213</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45213</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45213</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45213</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45213</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45213</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45213</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45213</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45213</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45213</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45213</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45213</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45213</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45213</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45213</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45213</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45213</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45213</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45213</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45213</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45213</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45213</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45213</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45213</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45213</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45213</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45213</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45213</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45213</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45213</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45213</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45213</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45213</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45213</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45213</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45213</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45213</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45213</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45213</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45213</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45213</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45213</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45213</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45213</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45213</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45213</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45213</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45213</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45213</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45213</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45213</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45213</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45213</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45213</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45213</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45213</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45213</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45213</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45213</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45213</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45213</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45213</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45213</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45213</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45213</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45213</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45213</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45213</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45213</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45213</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45213</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45213</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45213</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45213</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45213</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45213</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45213</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45213</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45213</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45213</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45213</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45213</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45213</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45213</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45213</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45213</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45213</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45213</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45213</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45213</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45213</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45213</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45213</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45213</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45213</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45213</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45213</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45213</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45213</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45213</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45213</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45213</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45213</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45213</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45213</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45213</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45213</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45213</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45213</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45213</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45213</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45213</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45213</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45213</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45213</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45213</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45213</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45213</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45213</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45213</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45213</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45213</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45213</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45213</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45213</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45213</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45213</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45213</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45213</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45213</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45213</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45213</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45213</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45213</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45213</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45213</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45213</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45213</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45213</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45213</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45213</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45213</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45213</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45213</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45213</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45213</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45213</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45213</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45213</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45213</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45213</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45213</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45213</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45213</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45213</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45213</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45213</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45213</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45213</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45213</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45213</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45213</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45213</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45213</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45213</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45213</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45213</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45213</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45213</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45213</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45213</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45213</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45213</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45213</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45213</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45213</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45213</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45213</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45213</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45213</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45213</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45213</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45213</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45213</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45213</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45213</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45213</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45213</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45213</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45213</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45213</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45213</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45213</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45213</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45213</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45213</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45213</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45213</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45213</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45213</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45213</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45213</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45213</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45213</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45213</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45213</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45213</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45213</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45213</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45213</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45213</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45213</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45213</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45213</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45213</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45213</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45213</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45213</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45213</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45213</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45213</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45213</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45213</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45213</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45213</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45213</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45213</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45213</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45213</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45213</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45213</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45213</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45213</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45213</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45213</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45213</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45213</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45213</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45213</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45213</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45213</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45213</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45213</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45213</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45213</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45213</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45213</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45213</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45213</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45213</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45213</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45213</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45213</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45213</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45213</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45213</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45213</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45213</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45213</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45213</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45213</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45213</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45213</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45213</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45213</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45213</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45213</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45213</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45213</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45213</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45213</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45213</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45213</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45213</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45213</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45213</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45213</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45213</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45213</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45213</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45213</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45213</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45213</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45213</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45213</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45213</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45213</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45213</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45213</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45213</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45213</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45213</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45213</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45213</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45213</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45213</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45213</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45213</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45213</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45213</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45213</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45213</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45213</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45213</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45213</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45213</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45213</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45213</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45213</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45213</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45213</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45213</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45213</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45213</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45213</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45213</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45213</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45213</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45213</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45213</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45213</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45213</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45213</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45213</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45213</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45213</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45213</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45213</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45213</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45213</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45213</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45213</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45213</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45213</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45213</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45213</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45213</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45213</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45213</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45213</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45213</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45213</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45213</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45213</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45213</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45213</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45213</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45213</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45213</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45213</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45213</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45213</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45213</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45213</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45213</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45213</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45213</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45213</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45213</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45213</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45213</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45213</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45213</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45213</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45213</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45213</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45213</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45213</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45213</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45213</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45213</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45213</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45213</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45213</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45213</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45213</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45213</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45213</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45213</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45213</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45213</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45213</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45213</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45213</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45213</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45213</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45213</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45213</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45213</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45213</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45213</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45213</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45213</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45213</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45213</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45213</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45213</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45213</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45213</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45213</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45213</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45213</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45213</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45213</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45213</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45213</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45213</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45213</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45213</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45213</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45213</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45213</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45213</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45213</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45213</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45213</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45213</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45213</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45213</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45213</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45213</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45213</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45213</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45213</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45213</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45213</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45213</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45213</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45213</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45213</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45213</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45213</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45213</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45213</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45213</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45213</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45213</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45213</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45213</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45213</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45213</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45213</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45213</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45213</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45213</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45213</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45213</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45213</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45213</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45213</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45213</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45213</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45213</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45213</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45213</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45213</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45213</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45213</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45213</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45213</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45213</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45213</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45213</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45213</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45213</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45213</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45213</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45213</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45213</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45213</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45213</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45213</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45213</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45213</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45213</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45213</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45213</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45213</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45213</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45213</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45213</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45213</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45213</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45213</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45213</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45213</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45213</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45213</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45213</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45213</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45213</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45213</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45213</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45213</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45213</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45213</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45213</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45213</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45213</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45213</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45213</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45213</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45213</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45213</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45213</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45213</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45213</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45213</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45213</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45213</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45213</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45213</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45213</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45213</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45213</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45213</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45213</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45213</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45213</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45213</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45213</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45213</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45213</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45213</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45213</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45213</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45213</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45213</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45213</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45213</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45213</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45213</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45213</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45213</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45213</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45213</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45213</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45213</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45213</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45213</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45213</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45213</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45213</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45213</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45213</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45213</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45213</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45213</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45213</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45213</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45213</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45213</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45213</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45213</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45213</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45213</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45213</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45213</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45213</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45213</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45213</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45213</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45213</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45213</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45213</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45213</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45213</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45213</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45213</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45213</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45213</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45213</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45213</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45213</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45213</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45213</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45213</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45213</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45213</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45213</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45213</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45213</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45213</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45213</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45213</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45213</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45213</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45213</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45213</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45213</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45213</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45213</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45213</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45213</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45213</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45213</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45213</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45213</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45213</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45213</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45213</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45213</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45213</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45213</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45213</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45213</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45213</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45213</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45213</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45213</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45213</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45213</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45213</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45213</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45213</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45213</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45213</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45213</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45213</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45213</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45213</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45213</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45213</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45213</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45213</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45213</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45213</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45213</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45213</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45213</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45213</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45213</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45213</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45213</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45213</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45213</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45213</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45213</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45213</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45213</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45213</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45213</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45213</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45213</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45213</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45213</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45213</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45213</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45213</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45213</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45213</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45213</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45213</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45213</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45213</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45213</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45213</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45213</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45213</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45213</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45213</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45213</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45213</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45213</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45213</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45213</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45213</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45213</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45213</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45213</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45213</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45213</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45213</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45213</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45213</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45213</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45213</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45213</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45213</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45213</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45213</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45213</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45213</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45213</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45213</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45213</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45213</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45213</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45213</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45213</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45213</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45213</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45213</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45213</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45213</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45213</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45213</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45213</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45213</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45213</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45213</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45213</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45213</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45213</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45213</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45213</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45213</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45213</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45213</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45213</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45213</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45213</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45213</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45213</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45213</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45213</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45213</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45213</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45213</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45213</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45213</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45213</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45213</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45213</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45213</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45213</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45213</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45213</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45213</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45213</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45213</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45213</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45213</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45213</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45213</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45213</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45213</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45213</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45213</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45213</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45213</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45213</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45213</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45213</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45213</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45213</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45213</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45213</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45213</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45213</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45213</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45213</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45213</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45213</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45213</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45213</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45213</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45213</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45213</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45213</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45213</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45213</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45213</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45213</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45213</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45213</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45213</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45213</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45213</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45213</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45213</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45213</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45213</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45213</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45213</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45213</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45213</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45213</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45213</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45213</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45213</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45213</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45213</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45213</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45213</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45213</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45213</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45213</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45213</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45213</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45213</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45213</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45213</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45213</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45213</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45213</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45213</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45213</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45213</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45213</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45213</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45213</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45213</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45213</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45213</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45213</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45213</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45213</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45213</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45213</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45213</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45213</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45213</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45213</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45213</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45213</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45213</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45213</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45213</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45213</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45213</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45213</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45213</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45213</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45213</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45213</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45213</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45213</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45213</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45213</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45213</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45213</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45213</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45213</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45213</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45213</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45213</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45213</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45213</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45213</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45213</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45213</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45213</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45213</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45213</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45213</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45213</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45213</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45213</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45213</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45213</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45213</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45213</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45213</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45213</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45213</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45213</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45213</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45213</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45213</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45213</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45213</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45213</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45213</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45213</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45213</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45213</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45213</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45213</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45213</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45213</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45213</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45213</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45213</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45213</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45213</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45213</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45213</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45213</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45213</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45213</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45213</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45213</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45213</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45213</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45213</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45213</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45213</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45213</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45213</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45213</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45213</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45213</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45213</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45213</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45213</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45213</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45213</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45213</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45213</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45213</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45213</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45213</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45213</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45213</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45213</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45213</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45213</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45213</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45213</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45213</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45213</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45213</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45213</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45213</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45213</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45213</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45213</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45213</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45213</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45213</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45213</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45213</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45213</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45213</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45213</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45213</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45213</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45213</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45213</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45213</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45213</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45213</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45213</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45213</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45213</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45213</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45213</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45213</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45213</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45213</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45213</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45213</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45213</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45213</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45213</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45213</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45213</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45213</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45213</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45213</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45213</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45213</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45213</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45213</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45213</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45213</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45213</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45213</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45213</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45213</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45213</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45213</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45213</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45213</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45213</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45213</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45213</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45213</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45213</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45213</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45213</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45213</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45213</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45213</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45213</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45213</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45213</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45213</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45213</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45213</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45213</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45213</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45213</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45213</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45213</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45213</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45213</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45213</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45213</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45213</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45213</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45213</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45213</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45213</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45213</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45213</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45213</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45213</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45213</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45213</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45213</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45213</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45213</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45213</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45213</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45213</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45213</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45213</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45213</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45213</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45213</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45213</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45213</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45213</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45213</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45213</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45213</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45213</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45213</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45213</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45213</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45213</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45213</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45213</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45213</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45213</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45213</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45213</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45213</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45213</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45213</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45213</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45213</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45213</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45213</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45213</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45213</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45213</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45213</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45213</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45213</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45213</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45213</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45213</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45213</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45213</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45213</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45213</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45213</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45213</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45213</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45213</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45213</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45213</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45213</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45213</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45213</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45213</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45213</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45213</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45213</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45213</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45213</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45213</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45213</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45213</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45213</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45213</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45213</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45213</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45213</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45213</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45213</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45213</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45213</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45213</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45213</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45213</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45213</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45213</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45213</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45213</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45213</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45213</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45213</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45213</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45213</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45213</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45213</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45213</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45213</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45213</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45213</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45213</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45213</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45213</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45213</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45213</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45213</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45213</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45213</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45213</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45213</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45213</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45213</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45213</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45213</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45213</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45213</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45213</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45213</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45213</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45213</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45213</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45213</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45213</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45213</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45213</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45213</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45213</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45213</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45213</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45213</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45213</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45213</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45213</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45213</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45213</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45213</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45213</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45213</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45213</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45213</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45213</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45213</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45213</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45213</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45213</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45213</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45213</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45213</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45213</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45213</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45213</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45213</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45213</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45213</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45213</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45213</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45213</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45213</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45213</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45213</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45213</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45213</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45213</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45213</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45213</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45213</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45213</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45213</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45213</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45213</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45213</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45213</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45213</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45213</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45213</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45213</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45213</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45213</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45213</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45213</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45213</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45213</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45213</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45213</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45213</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45213</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45213</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45213</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45213</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45213</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45213</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45213</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45213</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45213</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45213</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45213</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45213</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45213</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45213</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45213</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45213</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45213</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45213</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45213</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45213</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45213</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45213</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45213</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45213</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45213</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45213</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45213</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45213</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45213</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45213</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45213</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45213</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45213</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45213</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45213</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45213</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45213</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45213</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45213</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45213</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45213</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45213</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45213</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45213</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45213</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45213</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45213</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45213</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45213</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45213</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45213</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45213</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45213</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45213</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45213</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45213</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45213</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45213</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45213</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45213</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45213</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45213</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45213</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45213</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45213</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45213</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45213</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45213</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45213</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45213</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45213</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45213</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45213</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45213</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45213</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45213</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45213</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45213</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45213</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45213</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45213</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45213</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45213</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45213</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45213</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45213</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45213</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45213</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45213</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45213</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45213</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45213</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45213</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45213</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45213</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45213</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45213</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45213</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45213</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45213</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45213</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45213</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45213</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45213</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45213</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45213</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45213</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45213</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45213</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45213</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45213</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45213</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45213</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45213</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45213</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45213</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45213</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45213</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45213</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45213</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45213</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45213</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45213</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45213</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45213</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45213</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45213</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45213</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45213</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45213</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45213</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45213</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45213</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45213</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45213</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45213</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45213</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45213</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45213</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45213</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45213</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45213</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45213</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45213</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45213</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45213</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45213</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45213</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45213</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45213</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45213</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45213</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45213</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45213</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45213</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45213</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45213</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45213</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45213</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45213</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45213</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45213</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45213</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45213</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45213</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45213</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45213</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45213</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45213</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45213</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45213</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45213</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45213</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45213</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45213</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45213</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45213</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45213</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45213</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45213</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45213</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45213</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45213</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45213</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45213</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45213</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45213</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45213</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45213</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45213</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45213</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45213</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45213</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45213</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45213</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45213</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45213</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45213</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45213</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45213</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45213</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45213</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45213</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45213</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45213</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45213</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45213</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45213</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45213</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45213</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45213</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45213</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45213</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45213</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45213</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45213</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45213</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45213</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45213</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45213</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45213</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45213</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45213</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45213</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45213</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45213</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45213</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45213</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45213</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45213</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45213</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45213</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45213</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45213</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45213</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45213</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45213</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45213</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45213</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45213</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45213</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45213</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45213</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45213</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45213</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45213</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45213</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45213</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45213</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45213</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45213</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45213</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45213</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45213</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45213</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45213</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45213</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45213</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45213</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45213</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45213</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45213</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45213</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45213</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45213</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45213</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45213</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45213</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45213</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45213</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45213</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45213</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45213</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45213</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45213</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45213</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45213</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45213</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45213</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45213</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45213</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45213</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45213</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45213</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45213</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45213</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45213</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45213</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45213</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45213</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45213</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45213</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45213</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45213</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45213</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45213</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45213</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45213</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45213</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45213</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45213</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45213</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45213</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45213</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45213</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45213</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45213</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45213</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45213</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45213</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45213</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45213</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45213</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45213</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45213</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45213</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45213</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45213</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45213</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45213</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45213</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45213</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45213</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45213</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45213</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45213</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45213</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45213</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45213</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45213</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45213</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45213</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45213</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45213</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45213</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45213</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45213</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45213</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45213</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45213</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45213</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45213</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45213</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45213</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45213</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45213</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45213</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45213</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45213</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45213</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45213</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45213</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45213</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45213</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45213</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45213</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45213</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45213</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45213</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45213</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45213</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45213</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45213</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45213</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45213</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45213</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45213</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45213</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45213</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45213</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45213</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45213</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45213</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45213</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45213</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45213</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45213</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45213</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45213</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45213</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45213</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45213</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45213</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45213</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45213</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45213</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45213</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45213</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45213</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45213</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45213</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45213</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45213</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45213</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45213</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45213</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45213</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45213</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45213</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45213</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45213</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45213</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45213</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45213</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45213</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45213</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45213</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45213</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45213</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45213</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45213</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45213</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45213</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45213</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45213</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45213</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45213</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45213</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45213</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45213</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45213</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45213</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45213</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45213</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45213</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45213</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45213</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45213</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45213</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45213</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45213</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45213</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45213</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45213</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45213</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45213</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45213</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45213</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45213</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45213</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45213</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45213</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45213</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45213</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45213</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45213</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45213</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45213</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45213</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45213</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45213</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45213</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45213</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45213</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45213</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45213</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45213</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45213</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45213</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45213</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45213</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45213</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45213</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45213</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45213</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45213</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45213</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45213</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45213</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45213</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45213</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45213</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45213</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45213</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45213</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45213</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45213</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45213</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45213</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45213</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45213</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45213</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45213</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45213</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45213</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45213</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45213</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45213</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45213</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45213</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45213</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45213</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45213</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45213</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45213</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45213</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45213</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45213</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45213</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45213</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45213</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45213</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45213</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45213</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45213</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45213</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45213</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45213</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45213</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45213</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45213</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45213</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45213</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45213</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45213</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45213</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45213</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45213</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45213</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45213</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45213</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45213</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45213</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45213</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45213</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45213</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45213</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45213</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45213</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45213</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45213</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45213</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45213</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45213</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45213</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45213</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45213</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45213</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45213</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45213</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45213</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45213</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45213</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45213</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45213</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45213</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45213</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45213</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45213</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45213</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45213</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45213</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45213</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45213</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45213</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45213</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45213</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45213</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45213</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45213</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45213</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45213</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45213</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45213</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45213</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45213</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45213</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45213</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45213</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45213</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45213</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45213</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45213</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45213</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45213</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45213</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45213</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45213</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45213</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45213</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45213</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45213</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45213</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45213</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45213</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45213</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45213</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45213</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45213</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45213</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45213</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45213</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45213</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45213</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45213</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45213</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45213</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45213</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45213</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45213</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45213</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45213</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45213</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45213</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45213</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45213</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45213</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45213</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45213</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45213</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45213</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45213</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45213</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45213</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45213</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45213</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45213</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45213</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45213</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45213</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45213</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45213</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45213</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45213</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45213</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45213</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45213</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45213</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45213</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45213</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45213</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45213</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45213</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45213</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45213</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45213</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45213</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45213</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45213</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45213</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45213</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45213</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45213</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45213</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45213</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45213</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45213</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45213</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45213</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45213</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45213</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45213</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45213</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45213</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45213</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45213</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45213</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45213</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45213</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45213</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45213</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45213</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45213</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45213</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45213</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45213</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45213</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45213</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45213</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45213</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45213</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45213</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45213</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45213</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45213</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45213</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45213</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45213</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45213</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45213</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45213</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45213</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45213</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45213</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45213</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45213</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45213</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45213</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45213</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45213</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45213</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45213</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45213</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45213</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45213</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45213</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45213</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45213</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45213</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45213</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45213</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45213</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45213</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45213</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45213</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45213</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45213</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45213</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45213</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45213</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45213</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45213</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45213</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45213</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45213</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45213</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45213</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45213</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45213</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45213</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45213</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45213</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45213</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45213</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45213</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45213</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45213</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45213</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45213</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45213</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45213</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45213</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45213</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45213</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45213</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45213</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45213</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45213</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45213</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45213</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45213</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45213</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45213</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45213</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45213</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45213</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45213</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45213</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45213</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45213</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45213</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45213</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45213</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45213</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45213</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45213</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45213</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45213</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45213</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45213</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45213</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45213</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45213</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45213</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45213</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45213</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45213</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45213</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45213</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45213</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45213</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45213</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45213</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45213</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45213</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45213</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45213</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45213</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45213</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45213</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45213</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45213</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45213</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45213</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45213</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45213</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45213</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45213</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45213</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45213</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45213</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45213</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45213</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45213</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45213</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45213</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45213</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45213</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45213</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45213</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45213</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45213</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45213</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45213</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45213</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45213</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45213</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45213</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45213</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45213</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45213</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45213</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45213</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45213</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45213</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45213</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45213</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45213</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45213</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45213</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45213</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45213</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45213</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45213</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45213</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45213</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45213</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45213</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45213</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45213</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45213</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45213</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45213</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45213</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45213</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45213</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45213</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45213</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45213</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45213</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45213</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45213</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45213</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45213</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45213</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45213</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45213</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45213</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45213</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45213</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45213</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45213</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45213</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45213</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45213</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45213</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45213</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45213</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45213</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45213</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45213</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45213</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45213</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45213</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45213</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45213</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45213</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45213</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45213</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45213</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45213</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45213</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45213</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45213</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45213</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45213</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45213</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45213</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45213</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45213</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45213</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45213</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45213</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45213</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45213</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45213</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45213</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45213</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45213</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45213</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45213</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45213</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45213</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45213</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45213</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45213</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45213</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45213</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45213</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45213</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45213</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45213</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45213</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45213</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45213</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45213</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45213</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45213</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45213</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45213</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45213</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45213</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45213</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45213</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45213</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45213</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45213</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45213</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45213</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45213</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45213</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45213</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45213</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45213</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45213</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45213</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45213</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45213</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45213</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45213</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45213</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45213</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45213</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45213</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45213</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45213</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45213</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45213</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45213</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45213</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45213</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45213</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45213</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45213</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45213</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45213</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45213</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45213</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45213</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45213</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45213</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45213</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45213</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45213</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45213</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45213</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45213</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45213</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45213</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45213</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45213</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45213</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45213</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45213</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45213</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45213</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45213</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45213</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45213</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45213</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45213</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45213</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45213</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45213</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45213</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45213</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45213</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45213</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45213</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45213</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45213</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45213</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45213</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45213</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45213</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45213</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45213</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45213</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45213</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45213</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45213</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45213</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45213</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45213</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45213</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45213</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45213</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45213</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45213</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45213</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45213</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45213</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45213</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45213</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45213</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45213</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45213</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45213</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45213</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45213</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45213</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45213</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45213</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45213</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45213</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45213</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45213</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45213</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45213</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45213</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45213</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45213</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45213</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45213</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45213</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45213</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45213</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45213</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45213</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45213</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45213</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45213</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45213</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45213</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45213</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45213</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45213</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45213</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45213</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45213</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45213</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45213</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45213</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45213</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45213</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45213</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45213</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45213</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45213</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45213</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45213</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45213</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45213</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45213</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45213</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45213</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45213</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45213</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45213</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45213</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45213</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45213</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45213</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45213</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45213</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45213</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45213</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45213</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45213</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45213</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45213</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45213</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45213</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45213</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45213</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45213</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45213</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45213</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45213</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45213</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45213</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45213</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45213</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45213</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45213</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45213</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45213</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45213</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45213</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45213</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45213</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45213</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45213</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45213</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45213</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45213</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45213</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45213</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45213</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45213</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45213</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45213</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45213</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45213</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45213</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45213</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45213</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45213</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45213</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45213</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45213</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45213</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45213</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45213</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45213</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45213</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45213</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45213</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45213</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45213</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45213</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45213</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45213</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45213</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45213</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45213</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45213</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45213</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45213</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45213</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45213</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45213</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45213</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45213</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45213</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45213</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45213</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45213</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45213</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45213</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45213</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45213</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45213</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45213</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45213</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45213</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45213</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45213</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45213</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45213</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45213</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45213</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45213</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45213</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45213</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45213</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45213</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45213</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45213</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45213</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45213</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45213</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45213</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45213</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45213</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45213</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45213</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45213</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45213</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45213</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45213</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45213</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45213</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45213</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45213</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45213</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45213</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45213</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45213</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45213</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45213</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45213</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45213</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45213</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45213</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45213</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45213</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45213</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45213</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45213</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45213</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45213</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45213</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45213</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45213</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45213</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45213</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45213</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45213</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45213</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45213</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45213</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45213</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45213</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45213</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45213</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45213</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45213</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45213</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45213</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45213</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45213</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45213</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45213</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45213</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45213</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45213</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45213</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45213</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45213</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45213</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45213</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45213</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45213</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45213</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45213</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45213</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45213</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45213</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45213</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45213</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45213</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45213</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45213</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45213</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45213</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45213</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45213</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45213</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45213</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45213</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45213</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45213</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45213</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45213</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45213</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45213</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45213</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45213</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45213</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45213</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45213</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45213</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45213</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45213</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45213</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45213</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45213</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45213</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45213</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45213</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45213</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45213</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45213</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45213</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45213</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45213</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45213</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45213</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45213</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45213</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45213</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45213</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45213</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45213</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45213</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45213</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45213</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45213</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45213</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45213</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45213</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45213</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45213</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45213</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45213</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45213</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45213</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45213</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45213</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45213</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45213</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45213</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45213</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45213</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45213</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45213</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45213</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45213</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45213</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45213</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45213</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45213</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45213</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45213</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45213</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45213</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45213</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45213</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45213</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45213</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45213</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45213</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45213</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45213</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45213</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45213</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45213</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45213</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45213</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45213</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45213</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45213</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45213</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45213</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45213</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45213</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45213</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45213</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45213</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45213</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45213</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45213</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45213</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45213</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45213</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45213</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45213</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45213</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45213</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45213</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45213</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45213</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45213</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45213</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45213</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45213</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45213</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45213</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45213</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45213</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45213</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45213</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45213</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45213</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45213</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45213</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45213</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45213</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45213</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45213</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45213</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45213</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45213</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45213</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45213</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45213</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45213</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45213</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45213</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45213</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45213</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45213</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45213</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45213</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45213</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45213</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45213</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45213</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45213</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45213</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45213</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45213</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45213</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45213</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45213</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45213</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45213</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45213</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45213</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45213</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45213</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45213</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45213</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45213</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45213</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45213</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45213</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45213</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45213</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45213</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45213</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45213</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45213</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45213</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45213</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45213</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45213</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45213</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45213</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45213</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45213</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45213</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45213</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45213</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45213</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45213</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45213</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45213</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45213</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45213</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45213</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45213</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45213</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45213</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45213</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45213</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45213</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45213</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45213</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45213</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45213</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45213</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45213</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45213</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45213</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45213</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45213</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45213</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45213</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45213</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45213</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45213</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45213</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45213</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45213</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45213</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45213</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45213</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45213</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45213</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45213</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45213</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45213</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45213</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45213</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45213</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45213</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45213</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45213</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45213</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45213</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45213</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45213</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45213</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45213</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45213</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45213</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45213</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45213</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45213</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45213</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45213</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45213</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45213</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45213</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45213</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45213</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45213</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45213</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45213</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45213</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45213</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45213</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45213</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45213</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45213</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45213</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45213</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45213</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45213</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45213</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45213</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45213</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45213</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45213</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45213</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45213</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45213</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45213</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45213</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45213</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45213</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45213</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45213</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45213</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45213</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45213</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45213</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45213</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45213</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45213</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45213</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45213</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45213</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45213</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45213</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45213</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45213</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45213</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45213</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45213</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45213</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45213</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45213</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45213</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45213</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45213</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45213</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45213</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45213</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45213</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45213</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45213</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45213</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45213</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45213</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45213</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45213</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45213</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45213</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45213</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45213</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45213</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45213</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45213</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45213</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45213</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45213</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45213</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45213</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45213</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45213</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45213</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45213</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45213</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45213</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45213</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45213</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45213</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45213</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45213</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45213</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45213</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45213</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45213</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45213</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45213</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45213</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45213</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45213</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45213</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45213</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45213</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45213</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45213</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45213</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45213</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45213</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45213</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45213</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45213</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45213</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45213</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45213</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45213</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45213</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45213</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45213</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45213</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45213</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45213</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45213</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45213</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45213</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45213</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45213</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45213</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45213</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45213</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45213</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45213</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45213</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45213</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45213</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45213</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45213</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45213</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45213</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45213</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45213</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45213</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45213</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45213</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45213</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45213</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45213</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45213</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45213</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45213</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45213</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45213</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45213</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45213</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45213</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45213</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45213</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45213</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45213</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45213</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45213</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45213</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45213</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45213</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45213</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45213</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45213</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45213</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45213</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45213</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45213</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45213</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45213</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45213</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45213</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45213</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45213</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45213</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45213</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45213</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45213</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45213</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45213</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45213</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45213</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45213</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45213</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45213</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45213</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45213</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45213</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45213</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45213</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45213</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45213</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45213</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45213</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45213</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45213</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45213</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45213</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45213</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45213</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45213</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45213</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45213</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45213</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45213</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45213</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45213</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45213</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45213</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45213</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45213</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45213</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45213</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45213</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45213</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45213</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45213</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45213</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45213</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45213</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45213</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45213</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45213</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45213</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45213</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45213</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45213</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45213</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45213</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45213</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45213</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45213</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45213</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45213</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45213</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45213</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45213</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45213</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45213</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45213</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45213</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45213</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45213</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45213</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45213</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45213</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45213</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45213</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45213</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45213</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45213</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45213</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45213</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45213</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45213</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45213</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45213</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45213</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45213</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45213</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45213</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45213</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45213</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45213</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45213</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45213</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45213</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45213</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45213</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45213</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45213</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45213</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45213</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45213</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45213</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45213</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45213</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45213</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45213</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45213</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45213</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45213</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45213</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45213</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45213</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45213</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45213</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45213</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45213</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45213</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45213</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45213</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45213</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45213</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45213</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45213</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45213</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45213</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45213</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45213</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45213</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45213</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45213</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45213</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45213</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45213</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45213</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45213</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45213</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45213</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45213</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45213</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45213</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45213</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45213</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45213</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45213</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45213</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45213</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45213</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45213</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45213</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45213</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45213</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45213</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45213</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45213</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45213</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45213</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45213</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45213</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45213</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45213</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45213</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45213</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45213</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45213</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45213</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45213</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45213</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45213</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45213</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45213</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45213</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45213</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45213</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45213</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45213</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45213</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45213</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45213</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45213</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45213</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45213</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45213</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45213</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45213</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45213</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45213</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45213</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45213</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45213</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45213</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45213</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45213</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45213</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45213</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45213</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45213</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45213</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45213</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45213</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45213</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45213</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45213</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45213</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45213</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45213</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45213</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45213</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45213</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45213</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45213</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45213</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45213</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45213</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45213</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45213</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45213</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45213</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45213</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45213</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45213</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45213</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45213</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45213</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45213</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45213</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45213</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45213</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45213</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45213</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45213</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45213</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45213</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45213</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45213</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45213</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45213</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45213</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45213</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45213</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45213</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45213</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45213</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45213</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45213</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45213</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45213</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45213</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45213</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45213</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45213</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45213</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45213</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45213</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45213</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45213</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45213</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45213</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45213</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45213</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45213</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45213</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45213</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45213</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45213</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45213</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45213</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45213</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45213</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45213</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45213</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45213</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45213</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45213</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45213</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45213</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45213</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45213</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45213</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45213</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45213</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45213</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45213</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45213</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45213</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45213</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45213</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45213</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45213</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45213</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45213</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45213</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45213</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45213</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45213</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45213</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45213</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45213</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45213</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45213</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45213</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45213</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45213</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45213</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45213</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45213</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45213</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45213</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45213</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45213</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45213</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45213</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45213</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45213</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45213</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45213</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45213</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45213</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45213</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45213</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45213</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45213</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45213</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45213</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45213</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45213</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45213</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45213</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45213</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45213</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45213</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45213</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45213</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45213</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45213</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45213</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45213</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45213</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45213</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45213</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45213</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45213</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45213</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45213</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45213</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45213</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45213</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45213</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45213</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45213</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45213</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45213</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45213</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45213</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45213</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45213</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45213</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45213</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45213</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45213</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45213</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45213</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45213</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45213</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45213</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45213</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45213</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45213</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45213</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45213</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45213</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45213</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45213</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45213</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45213</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45213</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45213</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45213</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45213</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45213</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45213</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45213</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45213</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45213</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45213</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45213</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45213</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45213</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45213</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45213</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45213</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45213</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45213</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45213</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45213</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45213</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45213</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45213</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45213</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45213</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45213</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45213</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45213</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45213</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45213</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45213</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45213</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45213</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45213</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45213</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45213</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45213</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45213</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45213</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45213</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45213</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45213</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45213</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45213</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45213</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45213</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45213</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45213</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45213</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45213</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45213</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45213</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45213</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45213</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45213</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45213</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45213</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45213</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45213</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45213</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45213</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45213</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45213</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45213</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45213</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45213</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45213</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45213</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45213</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45213</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45213</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45213</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45213</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45213</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45213</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45213</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45213</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45213</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45213</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45213</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45213</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45213</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45213</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45213</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45213</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45213</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45213</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45213</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45213</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45213</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45213</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45213</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45213</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45213</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45213</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45213</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45213</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45213</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45213</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45213</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45213</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45213</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45213</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45213</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45213</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45213</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45213</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45213</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45213</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45213</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45213</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45213</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45213</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45213</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45213</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45213</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45213</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45213</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45213</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45213</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45213</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45213</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45213</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45213</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45213</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45213</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45213</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45213</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45213</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45213</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45213</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45213</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45213</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45213</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45213</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45213</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45213</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45213</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45213</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45213</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45213</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45213</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45213</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45213</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45213</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45213</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45213</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45213</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45213</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45213</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45213</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45213</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45213</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45213</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45213</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45213</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45213</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45213</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45213</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45213</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45213</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45213</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45213</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45213</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45213</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45213</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45213</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45213</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45213</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45213</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45213</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45213</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45213</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45213</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45213</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45213</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45213</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45213</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45213</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45213</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45213</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45213</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45213</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45213</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45213</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45213</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45213</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45213</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45213</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45213</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45213</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45213</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45213</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45213</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45213</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45213</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45213</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45213</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45213</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45213</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45213</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45213</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45213</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45213</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45213</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45213</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45213</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45213</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45213</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45213</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45213</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45213</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45213</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45213</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45213</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45213</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45213</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45213</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45213</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45213</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45213</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45213</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45213</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45213</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45213</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45213</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45213</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45213</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45213</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45213</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45213</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45213</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45213</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45213</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45213</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45213</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45213</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45213</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45213</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45213</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45213</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45213</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45213</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45213</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45213</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45213</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45213</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45213</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45213</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45213</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45213</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45213</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45213</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45213</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45213</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45213</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45213</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45213</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45213</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45213</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45213</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45213</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45213</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45213</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45213</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45213</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45213</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45213</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45213</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45213</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45213</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45213</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45213</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45213</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45213</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45213</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45213</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45213</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45213</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45213</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45213</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45213</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45213</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45213</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45213</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45213</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45213</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45213</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45213</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45213</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45213</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45213</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45213</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45213</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45213</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45213</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45213</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45213</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45213</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45213</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45213</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45213</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45213</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45213</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45213</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45213</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45213</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45213</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45213</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45213</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45213</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45213</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45213</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45213</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45213</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45213</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45213</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45213</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45213</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45213</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45213</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45213</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45213</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45213</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45213</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45213</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45213</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45213</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45213</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45213</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45213</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45213</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45213</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45213</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45213</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45213</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45213</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45213</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45213</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45213</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45213</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45213</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45213</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45213</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45213</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45213</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45213</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45213</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45213</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45213</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45213</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45213</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45213</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45213</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45213</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45213</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45213</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45213</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45213</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45213</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45213</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45213</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45213</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45213</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45213</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45213</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45213</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45213</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45213</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45213</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45213</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45213</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45213</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45213</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45213</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45213</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45213</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45213</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45213</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45213</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45213</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45213</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45213</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45213</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45213</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45213</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45213</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45213</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45213</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45213</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45213</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45213</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45213</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45213</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45213</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45213</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45213</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45213</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45213</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45213</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45213</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45213</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45213</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45213</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45213</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45213</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45213</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45213</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45213</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45213</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45213</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45213</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45213</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45213</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45213</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45213</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45213</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45213</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45213</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45213</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45213</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45213</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45213</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45213</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45213</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45213</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45213</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45213</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45213</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45213</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45213</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45213</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45213</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45213</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45213</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45213</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45213</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45213</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45213</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45213</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45213</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45213</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45213</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45213</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45213</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45213</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45213</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45213</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45213</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45213</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45213</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45213</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45213</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45213</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45213</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45213</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45213</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45213</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45213</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45213</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45213</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45213</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45213</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45213</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45213</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45213</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45213</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45213</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45213</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45213</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45213</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45213</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45213</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45213</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45213</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45213</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45213</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45213</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45213</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45213</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45213</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45213</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45213</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45213</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45213</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45213</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45213</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45213</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45213</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45213</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45213</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45213</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45213</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45213</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45213</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45213</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45213</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45213</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45213</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45213</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45213</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45213</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45213</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45213</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45213</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45213</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45213</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45213</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45213</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45213</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45213</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45213</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45213</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45213</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45213</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45213</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45213</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45213</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45213</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45213</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45213</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45213</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45213</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45213</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45213</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45213</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45213</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45213</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45213</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45213</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45213</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45213</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45213</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45213</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45213</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45213</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45213</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45213</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45213</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45213</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45213</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45213</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45213</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45213</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45213</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45213</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45213</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45213</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45213</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45213</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45213</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45213</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45213</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45213</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45213</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45213</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45213</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45213</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45213</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45213</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45213</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45213</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45213</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45213</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45213</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45213</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45213</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45213</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45213</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45213</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45213</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45213</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45213</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45213</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45213</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45213</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45213</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45213</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45213</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45213</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45213</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45213</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45213</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45213</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45213</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45213</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45213</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45213</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45213</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45213</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45213</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45213</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45213</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45213</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45213</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45213</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45213</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45213</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45213</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45213</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45213</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45213</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45213</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45213</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45213</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45213</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45213</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45213</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45213</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45213</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45213</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45213</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45213</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45213</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45213</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45213</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45213</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45213</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45213</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45213</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45213</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45213</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45213</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45213</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45213</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45213</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45213</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45213</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45213</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45213</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45213</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45213</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45213</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45213</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45213</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45213</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45213</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45213</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45213</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45213</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45213</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45213</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45213</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45213</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45213</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45213</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45213</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45213</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45213</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45213</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45213</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45213</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45213</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45213</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45213</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45213</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45213</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45213</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45213</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45213</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45213</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45213</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45213</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45213</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45213</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45213</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45213</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45213</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45213</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45213</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45213</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45213</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45213</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45213</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45213</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45213</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45213</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45213</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45213</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45213</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45213</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45213</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45213</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45213</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45213</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45213</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45213</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45213</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45213</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45213</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45213</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45213</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45213</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45213</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45213</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45213</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45213</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45213</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45213</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45213</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45213</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45213</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45213</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45213</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45213</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45213</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45213</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45213</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45213</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45213</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45213</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45213</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45213</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45213</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45213</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45213</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45213</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45213</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45213</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45213</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45213</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45213</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45213</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45213</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45213</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45213</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45213</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45213</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45213</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45213</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45213</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45213</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45213</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45213</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45213</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45213</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45213</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45213</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45213</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45213</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45213</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45213</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45213</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45213</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45213</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45213</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45213</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45213</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45213</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45213</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45213</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45213</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45213</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45213</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45213</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45213</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45213</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45213</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45213</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45213</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45213</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45213</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45213</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45213</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45213</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45213</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45213</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45213</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45213</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45213</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45213</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45213</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45213</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45213</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45213</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45213</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45213</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45213</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45213</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45213</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45213</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45213</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45213</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45213</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45213</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45213</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45213</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45213</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45213</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45213</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45213</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45213</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45213</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45213</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45213</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45213</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45213</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45213</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45213</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45213</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45213</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45213</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45213</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45213</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45213</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45213</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45213</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45213</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45213</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45213</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45213</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45213</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45213</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45213</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45213</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45213</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45213</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45213</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45213</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45213</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45213</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45213</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45213</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45213</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45213</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45213</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45213</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45213</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45213</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45213</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45213</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45213</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45213</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45213</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45213</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45213</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45213</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45213</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45213</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45213</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45213</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45213</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45213</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45213</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45213</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45213</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45213</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45213</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45213</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45213</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45213</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45213</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45213</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45213</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45213</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45213</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45213</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45213</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45213</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45213</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45213</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45213</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45213</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45213</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45213</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45213</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45213</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45213</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45213</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45213</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45213</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45213</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45213</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45213</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45213</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45213</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45213</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45213</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45213</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45213</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45213</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45213</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45213</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45213</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45213</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45213</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45213</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45213</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45213</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45213</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45213</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45213</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45213</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45213</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45213</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45213</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45213</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45213</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45213</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45213</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45213</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45213</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45213</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45213</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45213</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45213</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45213</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45213</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45213</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45213</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45213</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45213</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45213</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45213</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45213</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45213</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45213</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45213</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45213</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45213</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45213</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45213</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45213</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45213</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45213</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45213</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45213</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45213</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45213</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45213</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45213</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45213</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45213</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45213</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45213</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45213</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45213</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45213</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45213</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45213</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45213</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45213</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45213</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45213</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45213</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45213</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45213</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45213</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45213</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45213</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45213</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45213</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45213</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45213</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45213</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45213</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45213</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45213</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45213</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45213</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45213</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45213</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45213</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45213</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45213</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45213</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45213</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45213</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45213</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45213</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45213</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45213</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45213</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45213</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45213</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45213</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45213</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45213</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45213</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45213</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45213</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45213</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45213</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45213</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45213</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45213</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45213</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45213</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45213</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45213</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45213</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45213</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45213</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45213</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45213</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45213</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45213</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45213</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45213</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45213</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45213</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45213</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45213</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45213</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45213</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45213</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45213</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45213</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45213</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45213</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45213</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45213</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45213</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45213</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45213</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45213</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45213</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45213</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45213</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45213</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45213</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45213</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45213</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45213</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45213</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45213</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45213</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45213</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45213</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45213</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45213</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45213</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45213</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45213</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45213</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45213</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45213</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45213</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45213</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45213</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45213</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45213</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45213</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45213</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45213</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45213</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45213</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45213</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45213</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45213</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45213</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45213</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45213</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45213</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45213</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45213</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45213</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45213</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45213</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45213</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45213</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45213</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45213</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45213</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45213</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45213</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45213</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45213</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45213</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45213</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45213</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45213</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45213</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45213</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45213</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45213</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45213</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45213</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45213</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45213</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45213</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45213</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45213</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45213</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45213</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45213</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45213</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45213</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45213</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45213</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45213</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45213</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45213</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45213</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45213</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45213</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45213</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45213</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45213</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45213</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45213</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45213</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45213</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45213</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45213</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45213</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45213</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45213</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45213</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45213</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45213</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45213</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45213</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45213</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45213</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45213</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45213</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45213</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45213</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45213</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45213</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45213</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45213</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45213</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45213</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45213</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45213</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45213</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45213</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45213</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45213</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45213</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45213</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45213</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45213</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45213</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45213</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45213</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45213</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45213</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45213</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45213</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45213</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45213</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45213</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45213</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45213</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45213</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45213</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45213</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45213</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45213</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45213</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45213</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45213</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45213</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45213</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45213</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45213</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45213</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45213</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45213</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45213</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45213</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45213</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45213</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45213</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45213</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45213</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45213</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45213</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45213</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45213</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45213</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45213</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45213</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45213</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45213</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45213</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45213</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45213</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45213</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45213</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45213</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45213</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45213</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45213</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45213</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45213</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45213</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45213</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45213</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45213</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45213</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45213</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45213</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45213</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45213</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45213</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45213</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45213</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45213</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45213</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45213</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45213</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45213</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45213</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45213</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45213</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45213</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45213</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45213</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45213</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45213</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45213</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45213</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45213</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45213</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45213</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45213</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45213</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45213</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45213</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45213</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45213</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45213</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45213</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45213</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45213</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45213</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45213</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45213</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45213</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45213</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45213</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45213</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45213</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45213</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45213</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45213</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45213</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45213</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45213</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45213</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45213</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45213</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45213</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45213</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45213</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45213</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45213</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45213</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45213</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45213</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45213</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45213</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45213</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45213</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45213</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45213</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45213</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45213</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45213</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45213</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45213</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45213</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45213</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45213</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45213</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45213</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45213</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45213</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45213</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45213</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45213</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45213</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45213</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45213</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45213</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45213</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45213</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45213</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45213</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45213</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45213</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45213</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45213</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45213</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45213</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45213</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45213</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45213</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45213</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45213</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45213</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45213</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45213</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45213</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45213</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45213</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45213</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45213</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45213</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45213</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45213</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45213</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45213</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45213</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45213</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45213</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45213</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45213</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45213</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45213</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45213</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45213</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45213</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45213</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45213</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45213</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45213</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45213</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45213</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45213</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45213</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45213</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45213</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45213</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45213</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45213</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45213</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45213</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45213</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45213</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45213</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45213</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45213</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45213</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45213</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45213</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45213</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45213</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45213</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45213</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45213</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45213</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45213</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45213</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45213</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45213</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45213</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45213</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45213</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45213</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45213</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45213</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45213</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45213</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45213</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45213</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45213</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45213</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45213</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45213</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45213</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45213</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45213</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45213</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45213</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45213</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45213</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45213</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45213</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45213</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45213</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45213</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45213</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45213</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45213</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45213</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45213</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45213</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45213</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45213</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45213</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45213</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45213</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45213</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45213</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45213</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45213</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45213</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45213</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45213</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45213</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45213</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45213</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45213</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45213</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45213</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45213</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45213</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45213</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45213</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45213</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45213</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45213</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45213</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45213</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45213</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45213</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45213</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45213</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45213</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45213</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45213</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45213</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45213</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45213</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45213</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45213</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45213</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45213</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45213</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45213</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45213</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45213</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45213</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45213</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45213</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45213</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45213</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45213</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45213</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45213</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45213</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45213</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45213</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45213</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45213</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45213</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45213</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45213</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45213</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45213</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45213</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45213</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45213</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45213</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45213</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45213</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45213</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45213</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45213</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45213</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45213</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45213</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45213</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45213</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45213</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45213</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45213</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45213</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45213</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45213</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45213</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45213</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45213</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45213</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45213</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45213</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45213</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45213</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45213</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45213</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45213</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45213</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45213</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45213</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45213</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45213</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45213</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45213</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45213</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45213</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45213</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45213</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45213</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45213</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45213</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45213</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45213</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45213</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45213</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45213</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45213</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45213</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45213</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45213</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45213</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45213</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45213</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45213</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45213</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45213</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45213</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45213</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45213</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45213</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45213</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45213</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45213</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45213</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45213</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45213</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45213</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45213</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45213</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45213</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45213</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45213</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45213</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45213</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45213</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45213</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45213</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45213</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45213</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45213</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45213</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45213</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45213</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45213</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45213</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45213</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45213</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45213</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45213</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45213</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45213</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45213</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45213</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45213</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45213</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45213</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45213</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45213</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45213</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45213</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45213</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45213</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45213</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45213</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45213</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45213</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45213</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45213</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45213</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45213</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45213</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45213</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45213</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45213</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45213</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45213</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45213</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45213</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45213</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45213</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45213</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45213</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45213</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45213</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45213</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45213</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45213</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45213</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45213</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45213</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45213</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45213</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45213</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45213</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45213</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45213</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45213</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45213</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45213</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45213</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45213</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45213</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45213</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45213</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45213</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45213</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45213</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45213</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45213</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45213</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45213</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45213</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45213</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45213</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45213</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45213</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45213</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45213</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45213</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45213</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45213</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45213</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45213</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45213</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45213</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45213</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45213</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45213</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45213</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45213</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45213</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45213</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45213</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45213</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45213</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45213</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45213</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45213</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45213</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45213</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45213</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45213</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45213</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45213</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45213</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45213</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45213</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45213</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45213</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45213</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45213</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45213</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45213</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45213</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45213</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45213</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45213</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45213</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45213</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45213</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45213</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45213</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45213</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45213</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45213</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45213</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45213</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45213</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45213</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45213</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45213</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45213</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45213</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45213</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45213</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45213</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45213</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45213</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45213</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45213</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45213</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45213</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45213</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45213</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45213</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45213</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45213</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45213</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45213</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45213</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45213</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45213</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45213</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45213</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45213</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45213</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45213</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45213</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45213</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45213</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45213</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45213</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45213</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45213</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45213</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45213</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45213</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45213</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45213</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45213</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45213</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45213</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45213</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45213</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45213</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45213</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45213</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45213</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45213</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45213</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45213</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45213</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45213</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45213</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45213</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45213</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45213</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45213</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45213</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45213</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45213</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45213</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45213</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45213</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45213</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45213</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45213</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45213</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45213</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45213</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45213</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45213</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45213</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45213</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45213</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45213</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45213</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45213</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45213</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45213</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45213</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45213</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45213</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45213</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45213</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45213</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45213</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45213</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45213</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45213</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45213</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45213</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45213</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45213</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45213</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45213</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45213</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45213</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45213</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45213</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45213</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45213</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45213</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45213</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45213</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45213</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45213</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45213</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45213</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45213</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45213</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45213</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45213</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45213</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45213</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45213</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45213</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45213</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45213</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45213</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45213</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45213</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45213</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45213</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45213</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45213</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45213</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45213</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45213</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45213</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45213</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45213</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45213</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45213</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45213</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45213</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45213</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45213</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45213</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45213</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45213</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45213</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45213</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45213</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45213</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45213</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45213</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45213</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45213</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45213</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45213</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45213</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45213</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45213</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45213</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45213</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45213</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45213</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45213</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45213</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45213</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45213</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45213</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45213</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45213</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45213</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45213</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45213</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45213</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45213</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45213</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45213</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45213</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45213</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45213</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45213</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45213</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45213</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45213</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45213</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45213</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45213</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45213</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45213</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45213</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45213</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45213</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45213</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45213</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45213</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45213</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45213</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45213</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45213</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45213</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45213</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45213</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45213</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45213</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45213</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45213</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45213</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45213</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45213</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45213</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45213</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45213</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45213</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45213</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45213</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45213</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45213</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45213</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45213</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45213</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45213</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45213</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45213</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45213</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45213</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45213</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45213</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45213</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45213</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45213</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45213</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45213</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45213</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45213</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45213</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45213</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45213</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45213</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45213</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45213</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45213</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45213</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45213</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45213</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45213</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45213</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45213</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45213</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45213</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45213</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45213</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45213</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45213</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45213</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45213</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45213</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45213</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45213</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45213</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45213</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45213</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45213</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45213</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45213</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45213</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45213</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45213</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45213</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45213</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45213</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45213</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45213</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45213</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45213</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45213</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45213</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45213</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45213</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45213</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45213</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45213</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45213</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45213</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45213</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45213</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45213</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45213</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45213</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45213</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45213</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45213</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45213</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45213</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45213</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45213</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45213</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45213</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45213</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45213</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45213</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45213</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45213</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45213</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45213</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45213</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45213</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45213</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45213</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45213</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45213</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45213</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45213</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45213</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45213</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45213</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45213</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45213</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45213</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45213</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45213</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45213</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45213</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45213</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45213</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45213</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45213</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45213</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45213</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45213</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45213</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45213</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45213</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45213</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45213</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45213</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45213</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45213</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45213</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45213</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45213</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45213</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45213</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45213</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45213</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45213</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45213</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45213</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45213</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45213</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45213</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45213</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45213</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45213</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45213</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45213</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45213</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45213</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45213</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45213</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45213</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45213</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45213</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45213</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45213</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45213</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45213</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45213</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45213</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45213</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45213</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45213</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45213</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45213</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45213</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45213</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45213</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45213</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45213</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45213</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45213</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45213</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45213</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45213</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45213</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45213</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45213</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45213</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45213</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45213</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45213</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45213</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45213</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45213</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45213</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45213</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45213</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45213</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45213</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45213</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45213</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45213</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45213</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45213</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45213</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45213</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45213</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45213</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45213</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45213</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45213</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45213</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45213</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45213</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45213</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45213</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45213</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45213</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45213</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45213</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45213</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45213</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45213</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45213</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45213</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45213</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45213</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45213</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45213</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45213</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45213</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45213</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45213</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45213</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45213</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45213</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45213</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45213</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45213</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45213</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45213</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45213</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45213</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45213</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45213</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45213</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45213</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45213</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45213</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45213</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45213</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45213</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45213</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45213</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45213</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45213</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45213</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45213</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45213</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45213</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45213</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45213</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45213</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45213</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45213</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45213</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45213</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45213</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45213</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45213</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45213</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45213</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45213</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45213</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45213</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45213</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45213</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45213</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45213</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45213</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45213</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45213</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45213</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45213</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45213</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45213</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45213</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45213</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45213</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45213</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45213</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45213</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45213</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45213</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45213</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45213</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45213</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45213</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45213</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45213</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45213</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45213</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45213</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45213</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45213</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45213</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45213</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45213</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45213</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45213</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45213</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45213</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45213</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45213</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45213</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45213</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45213</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45213</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45213</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45213</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45213</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45213</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45213</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45213</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45213</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45213</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45213</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45213</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45213</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45213</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45213</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45213</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45213</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45213</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45213</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45213</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45213</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45213</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45213</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45213</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45213</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45213</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45213</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45213</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45213</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45213</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45213</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45213</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45213</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45213</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45213</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45213</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45213</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45213</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45213</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45213</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45213</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45213</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45213</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45213</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45213</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45213</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45213</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45213</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45213</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45213</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45213</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45213</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45213</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45213</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45213</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45213</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45213</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45213</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45213</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45213</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45213</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45213</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45213</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45213</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45213</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45213</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45213</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45213</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45213</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45213</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45213</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45213</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45213</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45213</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45213</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45213</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45213</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45213</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45213</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45213</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45213</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45213</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45213</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45213</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45213</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45213</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45213</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45213</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45213</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45213</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45213</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45213</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45213</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45213</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45213</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45213</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45213</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45213</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45213</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45213</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45213</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45213</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45213</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45213</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45213</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45213</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45213</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45213</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45213</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45213</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45213</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45213</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45213</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45213</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45213</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45213</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45213</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45213</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45213</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45213</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45213</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45213</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45213</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45213</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45213</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45213</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45213</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45213</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45213</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45213</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45213</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45213</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45213</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45213</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45213</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45213</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45213</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45213</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45213</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45213</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45213</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45213</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45213</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45213</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45213</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45213</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45213</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45213</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45213</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45213</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45213</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45213</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45213</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45213</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45213</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45213</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c r="A9184" t="inlineStr">
        <is>
          <t>A 49683-2023</t>
        </is>
      </c>
      <c r="B9184" s="1" t="n">
        <v>45212</v>
      </c>
      <c r="C9184" s="1" t="n">
        <v>45213</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2023-10-14T07:27:03Z</dcterms:created>
  <dcterms:modified xmlns:dcterms="http://purl.org/dc/terms/" xmlns:xsi="http://www.w3.org/2001/XMLSchema-instance" xsi:type="dcterms:W3CDTF">2023-10-14T07:27:06Z</dcterms:modified>
</cp:coreProperties>
</file>