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45222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 artfynd.xlsx", "A 25557-2019")</f>
        <v/>
      </c>
      <c r="T2">
        <f>HYPERLINK("https://klasma.github.io/Logging_1765/kartor/A 25557-2019 karta.png", "A 25557-2019")</f>
        <v/>
      </c>
      <c r="U2">
        <f>HYPERLINK("https://klasma.github.io/Logging_1765/knärot/A 25557-2019 karta knärot.png", "A 25557-2019")</f>
        <v/>
      </c>
      <c r="V2">
        <f>HYPERLINK("https://klasma.github.io/Logging_1765/klagomål/A 25557-2019 FSC-klagomål.docx", "A 25557-2019")</f>
        <v/>
      </c>
      <c r="W2">
        <f>HYPERLINK("https://klasma.github.io/Logging_1765/klagomålsmail/A 25557-2019 FSC-klagomål mail.docx", "A 25557-2019")</f>
        <v/>
      </c>
      <c r="X2">
        <f>HYPERLINK("https://klasma.github.io/Logging_1765/tillsyn/A 25557-2019 tillsynsbegäran.docx", "A 25557-2019")</f>
        <v/>
      </c>
      <c r="Y2">
        <f>HYPERLINK("https://klasma.github.io/Logging_1765/tillsynsmail/A 25557-2019 tillsynsbegäran mail.docx", "A 25557-2019")</f>
        <v/>
      </c>
    </row>
    <row r="3" ht="15" customHeight="1">
      <c r="A3" t="inlineStr">
        <is>
          <t>A 48361-2020</t>
        </is>
      </c>
      <c r="B3" s="1" t="n">
        <v>44102</v>
      </c>
      <c r="C3" s="1" t="n">
        <v>45222</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 artfynd.xlsx", "A 48361-2020")</f>
        <v/>
      </c>
      <c r="T3">
        <f>HYPERLINK("https://klasma.github.io/Logging_1737/kartor/A 48361-2020 karta.png", "A 48361-2020")</f>
        <v/>
      </c>
      <c r="U3">
        <f>HYPERLINK("https://klasma.github.io/Logging_1737/knärot/A 48361-2020 karta knärot.png", "A 48361-2020")</f>
        <v/>
      </c>
      <c r="V3">
        <f>HYPERLINK("https://klasma.github.io/Logging_1737/klagomål/A 48361-2020 FSC-klagomål.docx", "A 48361-2020")</f>
        <v/>
      </c>
      <c r="W3">
        <f>HYPERLINK("https://klasma.github.io/Logging_1737/klagomålsmail/A 48361-2020 FSC-klagomål mail.docx", "A 48361-2020")</f>
        <v/>
      </c>
      <c r="X3">
        <f>HYPERLINK("https://klasma.github.io/Logging_1737/tillsyn/A 48361-2020 tillsynsbegäran.docx", "A 48361-2020")</f>
        <v/>
      </c>
      <c r="Y3">
        <f>HYPERLINK("https://klasma.github.io/Logging_1737/tillsynsmail/A 48361-2020 tillsynsbegäran mail.docx", "A 48361-2020")</f>
        <v/>
      </c>
    </row>
    <row r="4" ht="15" customHeight="1">
      <c r="A4" t="inlineStr">
        <is>
          <t>A 32644-2020</t>
        </is>
      </c>
      <c r="B4" s="1" t="n">
        <v>44019</v>
      </c>
      <c r="C4" s="1" t="n">
        <v>45222</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 artfynd.xlsx", "A 32644-2020")</f>
        <v/>
      </c>
      <c r="T4">
        <f>HYPERLINK("https://klasma.github.io/Logging_1737/kartor/A 32644-2020 karta.png", "A 32644-2020")</f>
        <v/>
      </c>
      <c r="U4">
        <f>HYPERLINK("https://klasma.github.io/Logging_1737/knärot/A 32644-2020 karta knärot.png", "A 32644-2020")</f>
        <v/>
      </c>
      <c r="V4">
        <f>HYPERLINK("https://klasma.github.io/Logging_1737/klagomål/A 32644-2020 FSC-klagomål.docx", "A 32644-2020")</f>
        <v/>
      </c>
      <c r="W4">
        <f>HYPERLINK("https://klasma.github.io/Logging_1737/klagomålsmail/A 32644-2020 FSC-klagomål mail.docx", "A 32644-2020")</f>
        <v/>
      </c>
      <c r="X4">
        <f>HYPERLINK("https://klasma.github.io/Logging_1737/tillsyn/A 32644-2020 tillsynsbegäran.docx", "A 32644-2020")</f>
        <v/>
      </c>
      <c r="Y4">
        <f>HYPERLINK("https://klasma.github.io/Logging_1737/tillsynsmail/A 32644-2020 tillsynsbegäran mail.docx", "A 32644-2020")</f>
        <v/>
      </c>
    </row>
    <row r="5" ht="15" customHeight="1">
      <c r="A5" t="inlineStr">
        <is>
          <t>A 46794-2021</t>
        </is>
      </c>
      <c r="B5" s="1" t="n">
        <v>44445</v>
      </c>
      <c r="C5" s="1" t="n">
        <v>45222</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 artfynd.xlsx", "A 46794-2021")</f>
        <v/>
      </c>
      <c r="T5">
        <f>HYPERLINK("https://klasma.github.io/Logging_1737/kartor/A 46794-2021 karta.png", "A 46794-2021")</f>
        <v/>
      </c>
      <c r="V5">
        <f>HYPERLINK("https://klasma.github.io/Logging_1737/klagomål/A 46794-2021 FSC-klagomål.docx", "A 46794-2021")</f>
        <v/>
      </c>
      <c r="W5">
        <f>HYPERLINK("https://klasma.github.io/Logging_1737/klagomålsmail/A 46794-2021 FSC-klagomål mail.docx", "A 46794-2021")</f>
        <v/>
      </c>
      <c r="X5">
        <f>HYPERLINK("https://klasma.github.io/Logging_1737/tillsyn/A 46794-2021 tillsynsbegäran.docx", "A 46794-2021")</f>
        <v/>
      </c>
      <c r="Y5">
        <f>HYPERLINK("https://klasma.github.io/Logging_1737/tillsynsmail/A 46794-2021 tillsynsbegäran mail.docx", "A 46794-2021")</f>
        <v/>
      </c>
    </row>
    <row r="6" ht="15" customHeight="1">
      <c r="A6" t="inlineStr">
        <is>
          <t>A 63190-2018</t>
        </is>
      </c>
      <c r="B6" s="1" t="n">
        <v>43418</v>
      </c>
      <c r="C6" s="1" t="n">
        <v>45222</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 artfynd.xlsx", "A 63190-2018")</f>
        <v/>
      </c>
      <c r="T6">
        <f>HYPERLINK("https://klasma.github.io/Logging_1730/kartor/A 63190-2018 karta.png", "A 63190-2018")</f>
        <v/>
      </c>
      <c r="V6">
        <f>HYPERLINK("https://klasma.github.io/Logging_1730/klagomål/A 63190-2018 FSC-klagomål.docx", "A 63190-2018")</f>
        <v/>
      </c>
      <c r="W6">
        <f>HYPERLINK("https://klasma.github.io/Logging_1730/klagomålsmail/A 63190-2018 FSC-klagomål mail.docx", "A 63190-2018")</f>
        <v/>
      </c>
      <c r="X6">
        <f>HYPERLINK("https://klasma.github.io/Logging_1730/tillsyn/A 63190-2018 tillsynsbegäran.docx", "A 63190-2018")</f>
        <v/>
      </c>
      <c r="Y6">
        <f>HYPERLINK("https://klasma.github.io/Logging_1730/tillsynsmail/A 63190-2018 tillsynsbegäran mail.docx", "A 63190-2018")</f>
        <v/>
      </c>
    </row>
    <row r="7" ht="15" customHeight="1">
      <c r="A7" t="inlineStr">
        <is>
          <t>A 40934-2020</t>
        </is>
      </c>
      <c r="B7" s="1" t="n">
        <v>44070</v>
      </c>
      <c r="C7" s="1" t="n">
        <v>45222</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 artfynd.xlsx", "A 40934-2020")</f>
        <v/>
      </c>
      <c r="T7">
        <f>HYPERLINK("https://klasma.github.io/Logging_1780/kartor/A 40934-2020 karta.png", "A 40934-2020")</f>
        <v/>
      </c>
      <c r="U7">
        <f>HYPERLINK("https://klasma.github.io/Logging_1780/knärot/A 40934-2020 karta knärot.png", "A 40934-2020")</f>
        <v/>
      </c>
      <c r="V7">
        <f>HYPERLINK("https://klasma.github.io/Logging_1780/klagomål/A 40934-2020 FSC-klagomål.docx", "A 40934-2020")</f>
        <v/>
      </c>
      <c r="W7">
        <f>HYPERLINK("https://klasma.github.io/Logging_1780/klagomålsmail/A 40934-2020 FSC-klagomål mail.docx", "A 40934-2020")</f>
        <v/>
      </c>
      <c r="X7">
        <f>HYPERLINK("https://klasma.github.io/Logging_1780/tillsyn/A 40934-2020 tillsynsbegäran.docx", "A 40934-2020")</f>
        <v/>
      </c>
      <c r="Y7">
        <f>HYPERLINK("https://klasma.github.io/Logging_1780/tillsynsmail/A 40934-2020 tillsynsbegäran mail.docx", "A 40934-2020")</f>
        <v/>
      </c>
    </row>
    <row r="8" ht="15" customHeight="1">
      <c r="A8" t="inlineStr">
        <is>
          <t>A 47667-2020</t>
        </is>
      </c>
      <c r="B8" s="1" t="n">
        <v>44096</v>
      </c>
      <c r="C8" s="1" t="n">
        <v>45222</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 artfynd.xlsx", "A 47667-2020")</f>
        <v/>
      </c>
      <c r="T8">
        <f>HYPERLINK("https://klasma.github.io/Logging_1783/kartor/A 47667-2020 karta.png", "A 47667-2020")</f>
        <v/>
      </c>
      <c r="V8">
        <f>HYPERLINK("https://klasma.github.io/Logging_1783/klagomål/A 47667-2020 FSC-klagomål.docx", "A 47667-2020")</f>
        <v/>
      </c>
      <c r="W8">
        <f>HYPERLINK("https://klasma.github.io/Logging_1783/klagomålsmail/A 47667-2020 FSC-klagomål mail.docx", "A 47667-2020")</f>
        <v/>
      </c>
      <c r="X8">
        <f>HYPERLINK("https://klasma.github.io/Logging_1783/tillsyn/A 47667-2020 tillsynsbegäran.docx", "A 47667-2020")</f>
        <v/>
      </c>
      <c r="Y8">
        <f>HYPERLINK("https://klasma.github.io/Logging_1783/tillsynsmail/A 47667-2020 tillsynsbegäran mail.docx", "A 47667-2020")</f>
        <v/>
      </c>
    </row>
    <row r="9" ht="15" customHeight="1">
      <c r="A9" t="inlineStr">
        <is>
          <t>A 38897-2022</t>
        </is>
      </c>
      <c r="B9" s="1" t="n">
        <v>44816</v>
      </c>
      <c r="C9" s="1" t="n">
        <v>45222</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 artfynd.xlsx", "A 38897-2022")</f>
        <v/>
      </c>
      <c r="T9">
        <f>HYPERLINK("https://klasma.github.io/Logging_1782/kartor/A 38897-2022 karta.png", "A 38897-2022")</f>
        <v/>
      </c>
      <c r="U9">
        <f>HYPERLINK("https://klasma.github.io/Logging_1782/knärot/A 38897-2022 karta knärot.png", "A 38897-2022")</f>
        <v/>
      </c>
      <c r="V9">
        <f>HYPERLINK("https://klasma.github.io/Logging_1782/klagomål/A 38897-2022 FSC-klagomål.docx", "A 38897-2022")</f>
        <v/>
      </c>
      <c r="W9">
        <f>HYPERLINK("https://klasma.github.io/Logging_1782/klagomålsmail/A 38897-2022 FSC-klagomål mail.docx", "A 38897-2022")</f>
        <v/>
      </c>
      <c r="X9">
        <f>HYPERLINK("https://klasma.github.io/Logging_1782/tillsyn/A 38897-2022 tillsynsbegäran.docx", "A 38897-2022")</f>
        <v/>
      </c>
      <c r="Y9">
        <f>HYPERLINK("https://klasma.github.io/Logging_1782/tillsynsmail/A 38897-2022 tillsynsbegäran mail.docx", "A 38897-2022")</f>
        <v/>
      </c>
    </row>
    <row r="10" ht="15" customHeight="1">
      <c r="A10" t="inlineStr">
        <is>
          <t>A 43019-2021</t>
        </is>
      </c>
      <c r="B10" s="1" t="n">
        <v>44431</v>
      </c>
      <c r="C10" s="1" t="n">
        <v>45222</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 artfynd.xlsx", "A 43019-2021")</f>
        <v/>
      </c>
      <c r="T10">
        <f>HYPERLINK("https://klasma.github.io/Logging_1737/kartor/A 43019-2021 karta.png", "A 43019-2021")</f>
        <v/>
      </c>
      <c r="V10">
        <f>HYPERLINK("https://klasma.github.io/Logging_1737/klagomål/A 43019-2021 FSC-klagomål.docx", "A 43019-2021")</f>
        <v/>
      </c>
      <c r="W10">
        <f>HYPERLINK("https://klasma.github.io/Logging_1737/klagomålsmail/A 43019-2021 FSC-klagomål mail.docx", "A 43019-2021")</f>
        <v/>
      </c>
      <c r="X10">
        <f>HYPERLINK("https://klasma.github.io/Logging_1737/tillsyn/A 43019-2021 tillsynsbegäran.docx", "A 43019-2021")</f>
        <v/>
      </c>
      <c r="Y10">
        <f>HYPERLINK("https://klasma.github.io/Logging_1737/tillsynsmail/A 43019-2021 tillsynsbegäran mail.docx", "A 43019-2021")</f>
        <v/>
      </c>
    </row>
    <row r="11" ht="15" customHeight="1">
      <c r="A11" t="inlineStr">
        <is>
          <t>A 41379-2022</t>
        </is>
      </c>
      <c r="B11" s="1" t="n">
        <v>44824</v>
      </c>
      <c r="C11" s="1" t="n">
        <v>45222</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 artfynd.xlsx", "A 41379-2022")</f>
        <v/>
      </c>
      <c r="T11">
        <f>HYPERLINK("https://klasma.github.io/Logging_1765/kartor/A 41379-2022 karta.png", "A 41379-2022")</f>
        <v/>
      </c>
      <c r="V11">
        <f>HYPERLINK("https://klasma.github.io/Logging_1765/klagomål/A 41379-2022 FSC-klagomål.docx", "A 41379-2022")</f>
        <v/>
      </c>
      <c r="W11">
        <f>HYPERLINK("https://klasma.github.io/Logging_1765/klagomålsmail/A 41379-2022 FSC-klagomål mail.docx", "A 41379-2022")</f>
        <v/>
      </c>
      <c r="X11">
        <f>HYPERLINK("https://klasma.github.io/Logging_1765/tillsyn/A 41379-2022 tillsynsbegäran.docx", "A 41379-2022")</f>
        <v/>
      </c>
      <c r="Y11">
        <f>HYPERLINK("https://klasma.github.io/Logging_1765/tillsynsmail/A 41379-2022 tillsynsbegäran mail.docx", "A 41379-2022")</f>
        <v/>
      </c>
    </row>
    <row r="12" ht="15" customHeight="1">
      <c r="A12" t="inlineStr">
        <is>
          <t>A 24064-2019</t>
        </is>
      </c>
      <c r="B12" s="1" t="n">
        <v>43598</v>
      </c>
      <c r="C12" s="1" t="n">
        <v>45222</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 artfynd.xlsx", "A 24064-2019")</f>
        <v/>
      </c>
      <c r="T12">
        <f>HYPERLINK("https://klasma.github.io/Logging_1785/kartor/A 24064-2019 karta.png", "A 24064-2019")</f>
        <v/>
      </c>
      <c r="V12">
        <f>HYPERLINK("https://klasma.github.io/Logging_1785/klagomål/A 24064-2019 FSC-klagomål.docx", "A 24064-2019")</f>
        <v/>
      </c>
      <c r="W12">
        <f>HYPERLINK("https://klasma.github.io/Logging_1785/klagomålsmail/A 24064-2019 FSC-klagomål mail.docx", "A 24064-2019")</f>
        <v/>
      </c>
      <c r="X12">
        <f>HYPERLINK("https://klasma.github.io/Logging_1785/tillsyn/A 24064-2019 tillsynsbegäran.docx", "A 24064-2019")</f>
        <v/>
      </c>
      <c r="Y12">
        <f>HYPERLINK("https://klasma.github.io/Logging_1785/tillsynsmail/A 24064-2019 tillsynsbegäran mail.docx", "A 24064-2019")</f>
        <v/>
      </c>
    </row>
    <row r="13" ht="15" customHeight="1">
      <c r="A13" t="inlineStr">
        <is>
          <t>A 26495-2020</t>
        </is>
      </c>
      <c r="B13" s="1" t="n">
        <v>43987</v>
      </c>
      <c r="C13" s="1" t="n">
        <v>45222</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 artfynd.xlsx", "A 26495-2020")</f>
        <v/>
      </c>
      <c r="T13">
        <f>HYPERLINK("https://klasma.github.io/Logging_1784/kartor/A 26495-2020 karta.png", "A 26495-2020")</f>
        <v/>
      </c>
      <c r="U13">
        <f>HYPERLINK("https://klasma.github.io/Logging_1784/knärot/A 26495-2020 karta knärot.png", "A 26495-2020")</f>
        <v/>
      </c>
      <c r="V13">
        <f>HYPERLINK("https://klasma.github.io/Logging_1784/klagomål/A 26495-2020 FSC-klagomål.docx", "A 26495-2020")</f>
        <v/>
      </c>
      <c r="W13">
        <f>HYPERLINK("https://klasma.github.io/Logging_1784/klagomålsmail/A 26495-2020 FSC-klagomål mail.docx", "A 26495-2020")</f>
        <v/>
      </c>
      <c r="X13">
        <f>HYPERLINK("https://klasma.github.io/Logging_1784/tillsyn/A 26495-2020 tillsynsbegäran.docx", "A 26495-2020")</f>
        <v/>
      </c>
      <c r="Y13">
        <f>HYPERLINK("https://klasma.github.io/Logging_1784/tillsynsmail/A 26495-2020 tillsynsbegäran mail.docx", "A 26495-2020")</f>
        <v/>
      </c>
    </row>
    <row r="14" ht="15" customHeight="1">
      <c r="A14" t="inlineStr">
        <is>
          <t>A 12370-2022</t>
        </is>
      </c>
      <c r="B14" s="1" t="n">
        <v>44637</v>
      </c>
      <c r="C14" s="1" t="n">
        <v>45222</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 artfynd.xlsx", "A 12370-2022")</f>
        <v/>
      </c>
      <c r="T14">
        <f>HYPERLINK("https://klasma.github.io/Logging_1737/kartor/A 12370-2022 karta.png", "A 12370-2022")</f>
        <v/>
      </c>
      <c r="V14">
        <f>HYPERLINK("https://klasma.github.io/Logging_1737/klagomål/A 12370-2022 FSC-klagomål.docx", "A 12370-2022")</f>
        <v/>
      </c>
      <c r="W14">
        <f>HYPERLINK("https://klasma.github.io/Logging_1737/klagomålsmail/A 12370-2022 FSC-klagomål mail.docx", "A 12370-2022")</f>
        <v/>
      </c>
      <c r="X14">
        <f>HYPERLINK("https://klasma.github.io/Logging_1737/tillsyn/A 12370-2022 tillsynsbegäran.docx", "A 12370-2022")</f>
        <v/>
      </c>
      <c r="Y14">
        <f>HYPERLINK("https://klasma.github.io/Logging_1737/tillsynsmail/A 12370-2022 tillsynsbegäran mail.docx", "A 12370-2022")</f>
        <v/>
      </c>
    </row>
    <row r="15" ht="15" customHeight="1">
      <c r="A15" t="inlineStr">
        <is>
          <t>A 60949-2018</t>
        </is>
      </c>
      <c r="B15" s="1" t="n">
        <v>43423</v>
      </c>
      <c r="C15" s="1" t="n">
        <v>45222</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 artfynd.xlsx", "A 60949-2018")</f>
        <v/>
      </c>
      <c r="T15">
        <f>HYPERLINK("https://klasma.github.io/Logging_1730/kartor/A 60949-2018 karta.png", "A 60949-2018")</f>
        <v/>
      </c>
      <c r="V15">
        <f>HYPERLINK("https://klasma.github.io/Logging_1730/klagomål/A 60949-2018 FSC-klagomål.docx", "A 60949-2018")</f>
        <v/>
      </c>
      <c r="W15">
        <f>HYPERLINK("https://klasma.github.io/Logging_1730/klagomålsmail/A 60949-2018 FSC-klagomål mail.docx", "A 60949-2018")</f>
        <v/>
      </c>
      <c r="X15">
        <f>HYPERLINK("https://klasma.github.io/Logging_1730/tillsyn/A 60949-2018 tillsynsbegäran.docx", "A 60949-2018")</f>
        <v/>
      </c>
      <c r="Y15">
        <f>HYPERLINK("https://klasma.github.io/Logging_1730/tillsynsmail/A 60949-2018 tillsynsbegäran mail.docx", "A 60949-2018")</f>
        <v/>
      </c>
    </row>
    <row r="16" ht="15" customHeight="1">
      <c r="A16" t="inlineStr">
        <is>
          <t>A 10996-2020</t>
        </is>
      </c>
      <c r="B16" s="1" t="n">
        <v>43889</v>
      </c>
      <c r="C16" s="1" t="n">
        <v>45222</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 artfynd.xlsx", "A 10996-2020")</f>
        <v/>
      </c>
      <c r="T16">
        <f>HYPERLINK("https://klasma.github.io/Logging_1782/kartor/A 10996-2020 karta.png", "A 10996-2020")</f>
        <v/>
      </c>
      <c r="U16">
        <f>HYPERLINK("https://klasma.github.io/Logging_1782/knärot/A 10996-2020 karta knärot.png", "A 10996-2020")</f>
        <v/>
      </c>
      <c r="V16">
        <f>HYPERLINK("https://klasma.github.io/Logging_1782/klagomål/A 10996-2020 FSC-klagomål.docx", "A 10996-2020")</f>
        <v/>
      </c>
      <c r="W16">
        <f>HYPERLINK("https://klasma.github.io/Logging_1782/klagomålsmail/A 10996-2020 FSC-klagomål mail.docx", "A 10996-2020")</f>
        <v/>
      </c>
      <c r="X16">
        <f>HYPERLINK("https://klasma.github.io/Logging_1782/tillsyn/A 10996-2020 tillsynsbegäran.docx", "A 10996-2020")</f>
        <v/>
      </c>
      <c r="Y16">
        <f>HYPERLINK("https://klasma.github.io/Logging_1782/tillsynsmail/A 10996-2020 tillsynsbegäran mail.docx", "A 10996-2020")</f>
        <v/>
      </c>
    </row>
    <row r="17" ht="15" customHeight="1">
      <c r="A17" t="inlineStr">
        <is>
          <t>A 31203-2022</t>
        </is>
      </c>
      <c r="B17" s="1" t="n">
        <v>44770</v>
      </c>
      <c r="C17" s="1" t="n">
        <v>45222</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 artfynd.xlsx", "A 31203-2022")</f>
        <v/>
      </c>
      <c r="T17">
        <f>HYPERLINK("https://klasma.github.io/Logging_1737/kartor/A 31203-2022 karta.png", "A 31203-2022")</f>
        <v/>
      </c>
      <c r="V17">
        <f>HYPERLINK("https://klasma.github.io/Logging_1737/klagomål/A 31203-2022 FSC-klagomål.docx", "A 31203-2022")</f>
        <v/>
      </c>
      <c r="W17">
        <f>HYPERLINK("https://klasma.github.io/Logging_1737/klagomålsmail/A 31203-2022 FSC-klagomål mail.docx", "A 31203-2022")</f>
        <v/>
      </c>
      <c r="X17">
        <f>HYPERLINK("https://klasma.github.io/Logging_1737/tillsyn/A 31203-2022 tillsynsbegäran.docx", "A 31203-2022")</f>
        <v/>
      </c>
      <c r="Y17">
        <f>HYPERLINK("https://klasma.github.io/Logging_1737/tillsynsmail/A 31203-2022 tillsynsbegäran mail.docx", "A 31203-2022")</f>
        <v/>
      </c>
    </row>
    <row r="18" ht="15" customHeight="1">
      <c r="A18" t="inlineStr">
        <is>
          <t>A 38899-2022</t>
        </is>
      </c>
      <c r="B18" s="1" t="n">
        <v>44816</v>
      </c>
      <c r="C18" s="1" t="n">
        <v>45222</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 artfynd.xlsx", "A 38899-2022")</f>
        <v/>
      </c>
      <c r="T18">
        <f>HYPERLINK("https://klasma.github.io/Logging_1782/kartor/A 38899-2022 karta.png", "A 38899-2022")</f>
        <v/>
      </c>
      <c r="U18">
        <f>HYPERLINK("https://klasma.github.io/Logging_1782/knärot/A 38899-2022 karta knärot.png", "A 38899-2022")</f>
        <v/>
      </c>
      <c r="V18">
        <f>HYPERLINK("https://klasma.github.io/Logging_1782/klagomål/A 38899-2022 FSC-klagomål.docx", "A 38899-2022")</f>
        <v/>
      </c>
      <c r="W18">
        <f>HYPERLINK("https://klasma.github.io/Logging_1782/klagomålsmail/A 38899-2022 FSC-klagomål mail.docx", "A 38899-2022")</f>
        <v/>
      </c>
      <c r="X18">
        <f>HYPERLINK("https://klasma.github.io/Logging_1782/tillsyn/A 38899-2022 tillsynsbegäran.docx", "A 38899-2022")</f>
        <v/>
      </c>
      <c r="Y18">
        <f>HYPERLINK("https://klasma.github.io/Logging_1782/tillsynsmail/A 38899-2022 tillsynsbegäran mail.docx", "A 38899-2022")</f>
        <v/>
      </c>
    </row>
    <row r="19" ht="15" customHeight="1">
      <c r="A19" t="inlineStr">
        <is>
          <t>A 42488-2022</t>
        </is>
      </c>
      <c r="B19" s="1" t="n">
        <v>44831</v>
      </c>
      <c r="C19" s="1" t="n">
        <v>45222</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 artfynd.xlsx", "A 42488-2022")</f>
        <v/>
      </c>
      <c r="T19">
        <f>HYPERLINK("https://klasma.github.io/Logging_1737/kartor/A 42488-2022 karta.png", "A 42488-2022")</f>
        <v/>
      </c>
      <c r="U19">
        <f>HYPERLINK("https://klasma.github.io/Logging_1737/knärot/A 42488-2022 karta knärot.png", "A 42488-2022")</f>
        <v/>
      </c>
      <c r="V19">
        <f>HYPERLINK("https://klasma.github.io/Logging_1737/klagomål/A 42488-2022 FSC-klagomål.docx", "A 42488-2022")</f>
        <v/>
      </c>
      <c r="W19">
        <f>HYPERLINK("https://klasma.github.io/Logging_1737/klagomålsmail/A 42488-2022 FSC-klagomål mail.docx", "A 42488-2022")</f>
        <v/>
      </c>
      <c r="X19">
        <f>HYPERLINK("https://klasma.github.io/Logging_1737/tillsyn/A 42488-2022 tillsynsbegäran.docx", "A 42488-2022")</f>
        <v/>
      </c>
      <c r="Y19">
        <f>HYPERLINK("https://klasma.github.io/Logging_1737/tillsynsmail/A 42488-2022 tillsynsbegäran mail.docx", "A 42488-2022")</f>
        <v/>
      </c>
    </row>
    <row r="20" ht="15" customHeight="1">
      <c r="A20" t="inlineStr">
        <is>
          <t>A 9075-2023</t>
        </is>
      </c>
      <c r="B20" s="1" t="n">
        <v>44979</v>
      </c>
      <c r="C20" s="1" t="n">
        <v>45222</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 artfynd.xlsx", "A 9075-2023")</f>
        <v/>
      </c>
      <c r="T20">
        <f>HYPERLINK("https://klasma.github.io/Logging_1737/kartor/A 9075-2023 karta.png", "A 9075-2023")</f>
        <v/>
      </c>
      <c r="V20">
        <f>HYPERLINK("https://klasma.github.io/Logging_1737/klagomål/A 9075-2023 FSC-klagomål.docx", "A 9075-2023")</f>
        <v/>
      </c>
      <c r="W20">
        <f>HYPERLINK("https://klasma.github.io/Logging_1737/klagomålsmail/A 9075-2023 FSC-klagomål mail.docx", "A 9075-2023")</f>
        <v/>
      </c>
      <c r="X20">
        <f>HYPERLINK("https://klasma.github.io/Logging_1737/tillsyn/A 9075-2023 tillsynsbegäran.docx", "A 9075-2023")</f>
        <v/>
      </c>
      <c r="Y20">
        <f>HYPERLINK("https://klasma.github.io/Logging_1737/tillsynsmail/A 9075-2023 tillsynsbegäran mail.docx", "A 9075-2023")</f>
        <v/>
      </c>
    </row>
    <row r="21" ht="15" customHeight="1">
      <c r="A21" t="inlineStr">
        <is>
          <t>A 39627-2023</t>
        </is>
      </c>
      <c r="B21" s="1" t="n">
        <v>45167</v>
      </c>
      <c r="C21" s="1" t="n">
        <v>45222</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 artfynd.xlsx", "A 39627-2023")</f>
        <v/>
      </c>
      <c r="T21">
        <f>HYPERLINK("https://klasma.github.io/Logging_1783/kartor/A 39627-2023 karta.png", "A 39627-2023")</f>
        <v/>
      </c>
      <c r="V21">
        <f>HYPERLINK("https://klasma.github.io/Logging_1783/klagomål/A 39627-2023 FSC-klagomål.docx", "A 39627-2023")</f>
        <v/>
      </c>
      <c r="W21">
        <f>HYPERLINK("https://klasma.github.io/Logging_1783/klagomålsmail/A 39627-2023 FSC-klagomål mail.docx", "A 39627-2023")</f>
        <v/>
      </c>
      <c r="X21">
        <f>HYPERLINK("https://klasma.github.io/Logging_1783/tillsyn/A 39627-2023 tillsynsbegäran.docx", "A 39627-2023")</f>
        <v/>
      </c>
      <c r="Y21">
        <f>HYPERLINK("https://klasma.github.io/Logging_1783/tillsynsmail/A 39627-2023 tillsynsbegäran mail.docx", "A 39627-2023")</f>
        <v/>
      </c>
    </row>
    <row r="22" ht="15" customHeight="1">
      <c r="A22" t="inlineStr">
        <is>
          <t>A 26793-2020</t>
        </is>
      </c>
      <c r="B22" s="1" t="n">
        <v>43990</v>
      </c>
      <c r="C22" s="1" t="n">
        <v>45222</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 artfynd.xlsx", "A 26793-2020")</f>
        <v/>
      </c>
      <c r="T22">
        <f>HYPERLINK("https://klasma.github.io/Logging_1737/kartor/A 26793-2020 karta.png", "A 26793-2020")</f>
        <v/>
      </c>
      <c r="V22">
        <f>HYPERLINK("https://klasma.github.io/Logging_1737/klagomål/A 26793-2020 FSC-klagomål.docx", "A 26793-2020")</f>
        <v/>
      </c>
      <c r="W22">
        <f>HYPERLINK("https://klasma.github.io/Logging_1737/klagomålsmail/A 26793-2020 FSC-klagomål mail.docx", "A 26793-2020")</f>
        <v/>
      </c>
      <c r="X22">
        <f>HYPERLINK("https://klasma.github.io/Logging_1737/tillsyn/A 26793-2020 tillsynsbegäran.docx", "A 26793-2020")</f>
        <v/>
      </c>
      <c r="Y22">
        <f>HYPERLINK("https://klasma.github.io/Logging_1737/tillsynsmail/A 26793-2020 tillsynsbegäran mail.docx", "A 26793-2020")</f>
        <v/>
      </c>
    </row>
    <row r="23" ht="15" customHeight="1">
      <c r="A23" t="inlineStr">
        <is>
          <t>A 60716-2021</t>
        </is>
      </c>
      <c r="B23" s="1" t="n">
        <v>44496</v>
      </c>
      <c r="C23" s="1" t="n">
        <v>45222</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 artfynd.xlsx", "A 60716-2021")</f>
        <v/>
      </c>
      <c r="T23">
        <f>HYPERLINK("https://klasma.github.io/Logging_1737/kartor/A 60716-2021 karta.png", "A 60716-2021")</f>
        <v/>
      </c>
      <c r="V23">
        <f>HYPERLINK("https://klasma.github.io/Logging_1737/klagomål/A 60716-2021 FSC-klagomål.docx", "A 60716-2021")</f>
        <v/>
      </c>
      <c r="W23">
        <f>HYPERLINK("https://klasma.github.io/Logging_1737/klagomålsmail/A 60716-2021 FSC-klagomål mail.docx", "A 60716-2021")</f>
        <v/>
      </c>
      <c r="X23">
        <f>HYPERLINK("https://klasma.github.io/Logging_1737/tillsyn/A 60716-2021 tillsynsbegäran.docx", "A 60716-2021")</f>
        <v/>
      </c>
      <c r="Y23">
        <f>HYPERLINK("https://klasma.github.io/Logging_1737/tillsynsmail/A 60716-2021 tillsynsbegäran mail.docx", "A 60716-2021")</f>
        <v/>
      </c>
    </row>
    <row r="24" ht="15" customHeight="1">
      <c r="A24" t="inlineStr">
        <is>
          <t>A 11246-2022</t>
        </is>
      </c>
      <c r="B24" s="1" t="n">
        <v>44629</v>
      </c>
      <c r="C24" s="1" t="n">
        <v>45222</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 artfynd.xlsx", "A 11246-2022")</f>
        <v/>
      </c>
      <c r="T24">
        <f>HYPERLINK("https://klasma.github.io/Logging_1763/kartor/A 11246-2022 karta.png", "A 11246-2022")</f>
        <v/>
      </c>
      <c r="V24">
        <f>HYPERLINK("https://klasma.github.io/Logging_1763/klagomål/A 11246-2022 FSC-klagomål.docx", "A 11246-2022")</f>
        <v/>
      </c>
      <c r="W24">
        <f>HYPERLINK("https://klasma.github.io/Logging_1763/klagomålsmail/A 11246-2022 FSC-klagomål mail.docx", "A 11246-2022")</f>
        <v/>
      </c>
      <c r="X24">
        <f>HYPERLINK("https://klasma.github.io/Logging_1763/tillsyn/A 11246-2022 tillsynsbegäran.docx", "A 11246-2022")</f>
        <v/>
      </c>
      <c r="Y24">
        <f>HYPERLINK("https://klasma.github.io/Logging_1763/tillsynsmail/A 11246-2022 tillsynsbegäran mail.docx", "A 11246-2022")</f>
        <v/>
      </c>
    </row>
    <row r="25" ht="15" customHeight="1">
      <c r="A25" t="inlineStr">
        <is>
          <t>A 13841-2022</t>
        </is>
      </c>
      <c r="B25" s="1" t="n">
        <v>44649</v>
      </c>
      <c r="C25" s="1" t="n">
        <v>45222</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 artfynd.xlsx", "A 13841-2022")</f>
        <v/>
      </c>
      <c r="T25">
        <f>HYPERLINK("https://klasma.github.io/Logging_1765/kartor/A 13841-2022 karta.png", "A 13841-2022")</f>
        <v/>
      </c>
      <c r="V25">
        <f>HYPERLINK("https://klasma.github.io/Logging_1765/klagomål/A 13841-2022 FSC-klagomål.docx", "A 13841-2022")</f>
        <v/>
      </c>
      <c r="W25">
        <f>HYPERLINK("https://klasma.github.io/Logging_1765/klagomålsmail/A 13841-2022 FSC-klagomål mail.docx", "A 13841-2022")</f>
        <v/>
      </c>
      <c r="X25">
        <f>HYPERLINK("https://klasma.github.io/Logging_1765/tillsyn/A 13841-2022 tillsynsbegäran.docx", "A 13841-2022")</f>
        <v/>
      </c>
      <c r="Y25">
        <f>HYPERLINK("https://klasma.github.io/Logging_1765/tillsynsmail/A 13841-2022 tillsynsbegäran mail.docx", "A 13841-2022")</f>
        <v/>
      </c>
    </row>
    <row r="26" ht="15" customHeight="1">
      <c r="A26" t="inlineStr">
        <is>
          <t>A 22230-2022</t>
        </is>
      </c>
      <c r="B26" s="1" t="n">
        <v>44712</v>
      </c>
      <c r="C26" s="1" t="n">
        <v>45222</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 artfynd.xlsx", "A 22230-2022")</f>
        <v/>
      </c>
      <c r="T26">
        <f>HYPERLINK("https://klasma.github.io/Logging_1737/kartor/A 22230-2022 karta.png", "A 22230-2022")</f>
        <v/>
      </c>
      <c r="U26">
        <f>HYPERLINK("https://klasma.github.io/Logging_1737/knärot/A 22230-2022 karta knärot.png", "A 22230-2022")</f>
        <v/>
      </c>
      <c r="V26">
        <f>HYPERLINK("https://klasma.github.io/Logging_1737/klagomål/A 22230-2022 FSC-klagomål.docx", "A 22230-2022")</f>
        <v/>
      </c>
      <c r="W26">
        <f>HYPERLINK("https://klasma.github.io/Logging_1737/klagomålsmail/A 22230-2022 FSC-klagomål mail.docx", "A 22230-2022")</f>
        <v/>
      </c>
      <c r="X26">
        <f>HYPERLINK("https://klasma.github.io/Logging_1737/tillsyn/A 22230-2022 tillsynsbegäran.docx", "A 22230-2022")</f>
        <v/>
      </c>
      <c r="Y26">
        <f>HYPERLINK("https://klasma.github.io/Logging_1737/tillsynsmail/A 22230-2022 tillsynsbegäran mail.docx", "A 22230-2022")</f>
        <v/>
      </c>
    </row>
    <row r="27" ht="15" customHeight="1">
      <c r="A27" t="inlineStr">
        <is>
          <t>A 3888-2019</t>
        </is>
      </c>
      <c r="B27" s="1" t="n">
        <v>43482</v>
      </c>
      <c r="C27" s="1" t="n">
        <v>45222</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 artfynd.xlsx", "A 3888-2019")</f>
        <v/>
      </c>
      <c r="T27">
        <f>HYPERLINK("https://klasma.github.io/Logging_1763/kartor/A 3888-2019 karta.png", "A 3888-2019")</f>
        <v/>
      </c>
      <c r="V27">
        <f>HYPERLINK("https://klasma.github.io/Logging_1763/klagomål/A 3888-2019 FSC-klagomål.docx", "A 3888-2019")</f>
        <v/>
      </c>
      <c r="W27">
        <f>HYPERLINK("https://klasma.github.io/Logging_1763/klagomålsmail/A 3888-2019 FSC-klagomål mail.docx", "A 3888-2019")</f>
        <v/>
      </c>
      <c r="X27">
        <f>HYPERLINK("https://klasma.github.io/Logging_1763/tillsyn/A 3888-2019 tillsynsbegäran.docx", "A 3888-2019")</f>
        <v/>
      </c>
      <c r="Y27">
        <f>HYPERLINK("https://klasma.github.io/Logging_1763/tillsynsmail/A 3888-2019 tillsynsbegäran mail.docx", "A 3888-2019")</f>
        <v/>
      </c>
    </row>
    <row r="28" ht="15" customHeight="1">
      <c r="A28" t="inlineStr">
        <is>
          <t>A 171-2021</t>
        </is>
      </c>
      <c r="B28" s="1" t="n">
        <v>44200</v>
      </c>
      <c r="C28" s="1" t="n">
        <v>45222</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 artfynd.xlsx", "A 171-2021")</f>
        <v/>
      </c>
      <c r="T28">
        <f>HYPERLINK("https://klasma.github.io/Logging_1737/kartor/A 171-2021 karta.png", "A 171-2021")</f>
        <v/>
      </c>
      <c r="V28">
        <f>HYPERLINK("https://klasma.github.io/Logging_1737/klagomål/A 171-2021 FSC-klagomål.docx", "A 171-2021")</f>
        <v/>
      </c>
      <c r="W28">
        <f>HYPERLINK("https://klasma.github.io/Logging_1737/klagomålsmail/A 171-2021 FSC-klagomål mail.docx", "A 171-2021")</f>
        <v/>
      </c>
      <c r="X28">
        <f>HYPERLINK("https://klasma.github.io/Logging_1737/tillsyn/A 171-2021 tillsynsbegäran.docx", "A 171-2021")</f>
        <v/>
      </c>
      <c r="Y28">
        <f>HYPERLINK("https://klasma.github.io/Logging_1737/tillsynsmail/A 171-2021 tillsynsbegäran mail.docx", "A 171-2021")</f>
        <v/>
      </c>
    </row>
    <row r="29" ht="15" customHeight="1">
      <c r="A29" t="inlineStr">
        <is>
          <t>A 4553-2021</t>
        </is>
      </c>
      <c r="B29" s="1" t="n">
        <v>44224</v>
      </c>
      <c r="C29" s="1" t="n">
        <v>45222</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 artfynd.xlsx", "A 4553-2021")</f>
        <v/>
      </c>
      <c r="T29">
        <f>HYPERLINK("https://klasma.github.io/Logging_1737/kartor/A 4553-2021 karta.png", "A 4553-2021")</f>
        <v/>
      </c>
      <c r="V29">
        <f>HYPERLINK("https://klasma.github.io/Logging_1737/klagomål/A 4553-2021 FSC-klagomål.docx", "A 4553-2021")</f>
        <v/>
      </c>
      <c r="W29">
        <f>HYPERLINK("https://klasma.github.io/Logging_1737/klagomålsmail/A 4553-2021 FSC-klagomål mail.docx", "A 4553-2021")</f>
        <v/>
      </c>
      <c r="X29">
        <f>HYPERLINK("https://klasma.github.io/Logging_1737/tillsyn/A 4553-2021 tillsynsbegäran.docx", "A 4553-2021")</f>
        <v/>
      </c>
      <c r="Y29">
        <f>HYPERLINK("https://klasma.github.io/Logging_1737/tillsynsmail/A 4553-2021 tillsynsbegäran mail.docx", "A 4553-2021")</f>
        <v/>
      </c>
    </row>
    <row r="30" ht="15" customHeight="1">
      <c r="A30" t="inlineStr">
        <is>
          <t>A 46698-2021</t>
        </is>
      </c>
      <c r="B30" s="1" t="n">
        <v>44445</v>
      </c>
      <c r="C30" s="1" t="n">
        <v>45222</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 artfynd.xlsx", "A 46698-2021")</f>
        <v/>
      </c>
      <c r="T30">
        <f>HYPERLINK("https://klasma.github.io/Logging_1783/kartor/A 46698-2021 karta.png", "A 46698-2021")</f>
        <v/>
      </c>
      <c r="V30">
        <f>HYPERLINK("https://klasma.github.io/Logging_1783/klagomål/A 46698-2021 FSC-klagomål.docx", "A 46698-2021")</f>
        <v/>
      </c>
      <c r="W30">
        <f>HYPERLINK("https://klasma.github.io/Logging_1783/klagomålsmail/A 46698-2021 FSC-klagomål mail.docx", "A 46698-2021")</f>
        <v/>
      </c>
      <c r="X30">
        <f>HYPERLINK("https://klasma.github.io/Logging_1783/tillsyn/A 46698-2021 tillsynsbegäran.docx", "A 46698-2021")</f>
        <v/>
      </c>
      <c r="Y30">
        <f>HYPERLINK("https://klasma.github.io/Logging_1783/tillsynsmail/A 46698-2021 tillsynsbegäran mail.docx", "A 46698-2021")</f>
        <v/>
      </c>
    </row>
    <row r="31" ht="15" customHeight="1">
      <c r="A31" t="inlineStr">
        <is>
          <t>A 3513-2022</t>
        </is>
      </c>
      <c r="B31" s="1" t="n">
        <v>44585</v>
      </c>
      <c r="C31" s="1" t="n">
        <v>45222</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 artfynd.xlsx", "A 3513-2022")</f>
        <v/>
      </c>
      <c r="T31">
        <f>HYPERLINK("https://klasma.github.io/Logging_1765/kartor/A 3513-2022 karta.png", "A 3513-2022")</f>
        <v/>
      </c>
      <c r="U31">
        <f>HYPERLINK("https://klasma.github.io/Logging_1765/knärot/A 3513-2022 karta knärot.png", "A 3513-2022")</f>
        <v/>
      </c>
      <c r="V31">
        <f>HYPERLINK("https://klasma.github.io/Logging_1765/klagomål/A 3513-2022 FSC-klagomål.docx", "A 3513-2022")</f>
        <v/>
      </c>
      <c r="W31">
        <f>HYPERLINK("https://klasma.github.io/Logging_1765/klagomålsmail/A 3513-2022 FSC-klagomål mail.docx", "A 3513-2022")</f>
        <v/>
      </c>
      <c r="X31">
        <f>HYPERLINK("https://klasma.github.io/Logging_1765/tillsyn/A 3513-2022 tillsynsbegäran.docx", "A 3513-2022")</f>
        <v/>
      </c>
      <c r="Y31">
        <f>HYPERLINK("https://klasma.github.io/Logging_1765/tillsynsmail/A 3513-2022 tillsynsbegäran mail.docx", "A 3513-2022")</f>
        <v/>
      </c>
    </row>
    <row r="32" ht="15" customHeight="1">
      <c r="A32" t="inlineStr">
        <is>
          <t>A 44469-2022</t>
        </is>
      </c>
      <c r="B32" s="1" t="n">
        <v>44838</v>
      </c>
      <c r="C32" s="1" t="n">
        <v>45222</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 artfynd.xlsx", "A 44469-2022")</f>
        <v/>
      </c>
      <c r="T32">
        <f>HYPERLINK("https://klasma.github.io/Logging_1780/kartor/A 44469-2022 karta.png", "A 44469-2022")</f>
        <v/>
      </c>
      <c r="V32">
        <f>HYPERLINK("https://klasma.github.io/Logging_1780/klagomål/A 44469-2022 FSC-klagomål.docx", "A 44469-2022")</f>
        <v/>
      </c>
      <c r="W32">
        <f>HYPERLINK("https://klasma.github.io/Logging_1780/klagomålsmail/A 44469-2022 FSC-klagomål mail.docx", "A 44469-2022")</f>
        <v/>
      </c>
      <c r="X32">
        <f>HYPERLINK("https://klasma.github.io/Logging_1780/tillsyn/A 44469-2022 tillsynsbegäran.docx", "A 44469-2022")</f>
        <v/>
      </c>
      <c r="Y32">
        <f>HYPERLINK("https://klasma.github.io/Logging_1780/tillsynsmail/A 44469-2022 tillsynsbegäran mail.docx", "A 44469-2022")</f>
        <v/>
      </c>
    </row>
    <row r="33" ht="15" customHeight="1">
      <c r="A33" t="inlineStr">
        <is>
          <t>A 7948-2023</t>
        </is>
      </c>
      <c r="B33" s="1" t="n">
        <v>44970</v>
      </c>
      <c r="C33" s="1" t="n">
        <v>45222</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 artfynd.xlsx", "A 7948-2023")</f>
        <v/>
      </c>
      <c r="T33">
        <f>HYPERLINK("https://klasma.github.io/Logging_1765/kartor/A 7948-2023 karta.png", "A 7948-2023")</f>
        <v/>
      </c>
      <c r="V33">
        <f>HYPERLINK("https://klasma.github.io/Logging_1765/klagomål/A 7948-2023 FSC-klagomål.docx", "A 7948-2023")</f>
        <v/>
      </c>
      <c r="W33">
        <f>HYPERLINK("https://klasma.github.io/Logging_1765/klagomålsmail/A 7948-2023 FSC-klagomål mail.docx", "A 7948-2023")</f>
        <v/>
      </c>
      <c r="X33">
        <f>HYPERLINK("https://klasma.github.io/Logging_1765/tillsyn/A 7948-2023 tillsynsbegäran.docx", "A 7948-2023")</f>
        <v/>
      </c>
      <c r="Y33">
        <f>HYPERLINK("https://klasma.github.io/Logging_1765/tillsynsmail/A 7948-2023 tillsynsbegäran mail.docx", "A 7948-2023")</f>
        <v/>
      </c>
    </row>
    <row r="34" ht="15" customHeight="1">
      <c r="A34" t="inlineStr">
        <is>
          <t>A 24663-2023</t>
        </is>
      </c>
      <c r="B34" s="1" t="n">
        <v>45084</v>
      </c>
      <c r="C34" s="1" t="n">
        <v>45222</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 artfynd.xlsx", "A 24663-2023")</f>
        <v/>
      </c>
      <c r="T34">
        <f>HYPERLINK("https://klasma.github.io/Logging_1765/kartor/A 24663-2023 karta.png", "A 24663-2023")</f>
        <v/>
      </c>
      <c r="U34">
        <f>HYPERLINK("https://klasma.github.io/Logging_1765/knärot/A 24663-2023 karta knärot.png", "A 24663-2023")</f>
        <v/>
      </c>
      <c r="V34">
        <f>HYPERLINK("https://klasma.github.io/Logging_1765/klagomål/A 24663-2023 FSC-klagomål.docx", "A 24663-2023")</f>
        <v/>
      </c>
      <c r="W34">
        <f>HYPERLINK("https://klasma.github.io/Logging_1765/klagomålsmail/A 24663-2023 FSC-klagomål mail.docx", "A 24663-2023")</f>
        <v/>
      </c>
      <c r="X34">
        <f>HYPERLINK("https://klasma.github.io/Logging_1765/tillsyn/A 24663-2023 tillsynsbegäran.docx", "A 24663-2023")</f>
        <v/>
      </c>
      <c r="Y34">
        <f>HYPERLINK("https://klasma.github.io/Logging_1765/tillsynsmail/A 24663-2023 tillsynsbegäran mail.docx", "A 24663-2023")</f>
        <v/>
      </c>
    </row>
    <row r="35" ht="15" customHeight="1">
      <c r="A35" t="inlineStr">
        <is>
          <t>A 33920-2019</t>
        </is>
      </c>
      <c r="B35" s="1" t="n">
        <v>43654</v>
      </c>
      <c r="C35" s="1" t="n">
        <v>45222</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 artfynd.xlsx", "A 33920-2019")</f>
        <v/>
      </c>
      <c r="T35">
        <f>HYPERLINK("https://klasma.github.io/Logging_1737/kartor/A 33920-2019 karta.png", "A 33920-2019")</f>
        <v/>
      </c>
      <c r="V35">
        <f>HYPERLINK("https://klasma.github.io/Logging_1737/klagomål/A 33920-2019 FSC-klagomål.docx", "A 33920-2019")</f>
        <v/>
      </c>
      <c r="W35">
        <f>HYPERLINK("https://klasma.github.io/Logging_1737/klagomålsmail/A 33920-2019 FSC-klagomål mail.docx", "A 33920-2019")</f>
        <v/>
      </c>
      <c r="X35">
        <f>HYPERLINK("https://klasma.github.io/Logging_1737/tillsyn/A 33920-2019 tillsynsbegäran.docx", "A 33920-2019")</f>
        <v/>
      </c>
      <c r="Y35">
        <f>HYPERLINK("https://klasma.github.io/Logging_1737/tillsynsmail/A 33920-2019 tillsynsbegäran mail.docx", "A 33920-2019")</f>
        <v/>
      </c>
    </row>
    <row r="36" ht="15" customHeight="1">
      <c r="A36" t="inlineStr">
        <is>
          <t>A 730-2020</t>
        </is>
      </c>
      <c r="B36" s="1" t="n">
        <v>43838</v>
      </c>
      <c r="C36" s="1" t="n">
        <v>45222</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 artfynd.xlsx", "A 730-2020")</f>
        <v/>
      </c>
      <c r="T36">
        <f>HYPERLINK("https://klasma.github.io/Logging_1737/kartor/A 730-2020 karta.png", "A 730-2020")</f>
        <v/>
      </c>
      <c r="V36">
        <f>HYPERLINK("https://klasma.github.io/Logging_1737/klagomål/A 730-2020 FSC-klagomål.docx", "A 730-2020")</f>
        <v/>
      </c>
      <c r="W36">
        <f>HYPERLINK("https://klasma.github.io/Logging_1737/klagomålsmail/A 730-2020 FSC-klagomål mail.docx", "A 730-2020")</f>
        <v/>
      </c>
      <c r="X36">
        <f>HYPERLINK("https://klasma.github.io/Logging_1737/tillsyn/A 730-2020 tillsynsbegäran.docx", "A 730-2020")</f>
        <v/>
      </c>
      <c r="Y36">
        <f>HYPERLINK("https://klasma.github.io/Logging_1737/tillsynsmail/A 730-2020 tillsynsbegäran mail.docx", "A 730-2020")</f>
        <v/>
      </c>
    </row>
    <row r="37" ht="15" customHeight="1">
      <c r="A37" t="inlineStr">
        <is>
          <t>A 28168-2021</t>
        </is>
      </c>
      <c r="B37" s="1" t="n">
        <v>44355</v>
      </c>
      <c r="C37" s="1" t="n">
        <v>45222</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 artfynd.xlsx", "A 28168-2021")</f>
        <v/>
      </c>
      <c r="T37">
        <f>HYPERLINK("https://klasma.github.io/Logging_1782/kartor/A 28168-2021 karta.png", "A 28168-2021")</f>
        <v/>
      </c>
      <c r="V37">
        <f>HYPERLINK("https://klasma.github.io/Logging_1782/klagomål/A 28168-2021 FSC-klagomål.docx", "A 28168-2021")</f>
        <v/>
      </c>
      <c r="W37">
        <f>HYPERLINK("https://klasma.github.io/Logging_1782/klagomålsmail/A 28168-2021 FSC-klagomål mail.docx", "A 28168-2021")</f>
        <v/>
      </c>
      <c r="X37">
        <f>HYPERLINK("https://klasma.github.io/Logging_1782/tillsyn/A 28168-2021 tillsynsbegäran.docx", "A 28168-2021")</f>
        <v/>
      </c>
      <c r="Y37">
        <f>HYPERLINK("https://klasma.github.io/Logging_1782/tillsynsmail/A 28168-2021 tillsynsbegäran mail.docx", "A 28168-2021")</f>
        <v/>
      </c>
    </row>
    <row r="38" ht="15" customHeight="1">
      <c r="A38" t="inlineStr">
        <is>
          <t>A 35199-2021</t>
        </is>
      </c>
      <c r="B38" s="1" t="n">
        <v>44384</v>
      </c>
      <c r="C38" s="1" t="n">
        <v>45222</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 artfynd.xlsx", "A 35199-2021")</f>
        <v/>
      </c>
      <c r="T38">
        <f>HYPERLINK("https://klasma.github.io/Logging_1737/kartor/A 35199-2021 karta.png", "A 35199-2021")</f>
        <v/>
      </c>
      <c r="V38">
        <f>HYPERLINK("https://klasma.github.io/Logging_1737/klagomål/A 35199-2021 FSC-klagomål.docx", "A 35199-2021")</f>
        <v/>
      </c>
      <c r="W38">
        <f>HYPERLINK("https://klasma.github.io/Logging_1737/klagomålsmail/A 35199-2021 FSC-klagomål mail.docx", "A 35199-2021")</f>
        <v/>
      </c>
      <c r="X38">
        <f>HYPERLINK("https://klasma.github.io/Logging_1737/tillsyn/A 35199-2021 tillsynsbegäran.docx", "A 35199-2021")</f>
        <v/>
      </c>
      <c r="Y38">
        <f>HYPERLINK("https://klasma.github.io/Logging_1737/tillsynsmail/A 35199-2021 tillsynsbegäran mail.docx", "A 35199-2021")</f>
        <v/>
      </c>
    </row>
    <row r="39" ht="15" customHeight="1">
      <c r="A39" t="inlineStr">
        <is>
          <t>A 47888-2021</t>
        </is>
      </c>
      <c r="B39" s="1" t="n">
        <v>44448</v>
      </c>
      <c r="C39" s="1" t="n">
        <v>45222</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 artfynd.xlsx", "A 47888-2021")</f>
        <v/>
      </c>
      <c r="T39">
        <f>HYPERLINK("https://klasma.github.io/Logging_1782/kartor/A 47888-2021 karta.png", "A 47888-2021")</f>
        <v/>
      </c>
      <c r="V39">
        <f>HYPERLINK("https://klasma.github.io/Logging_1782/klagomål/A 47888-2021 FSC-klagomål.docx", "A 47888-2021")</f>
        <v/>
      </c>
      <c r="W39">
        <f>HYPERLINK("https://klasma.github.io/Logging_1782/klagomålsmail/A 47888-2021 FSC-klagomål mail.docx", "A 47888-2021")</f>
        <v/>
      </c>
      <c r="X39">
        <f>HYPERLINK("https://klasma.github.io/Logging_1782/tillsyn/A 47888-2021 tillsynsbegäran.docx", "A 47888-2021")</f>
        <v/>
      </c>
      <c r="Y39">
        <f>HYPERLINK("https://klasma.github.io/Logging_1782/tillsynsmail/A 47888-2021 tillsynsbegäran mail.docx", "A 47888-2021")</f>
        <v/>
      </c>
    </row>
    <row r="40" ht="15" customHeight="1">
      <c r="A40" t="inlineStr">
        <is>
          <t>A 59864-2021</t>
        </is>
      </c>
      <c r="B40" s="1" t="n">
        <v>44494</v>
      </c>
      <c r="C40" s="1" t="n">
        <v>45222</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 artfynd.xlsx", "A 59864-2021")</f>
        <v/>
      </c>
      <c r="T40">
        <f>HYPERLINK("https://klasma.github.io/Logging_1730/kartor/A 59864-2021 karta.png", "A 59864-2021")</f>
        <v/>
      </c>
      <c r="V40">
        <f>HYPERLINK("https://klasma.github.io/Logging_1730/klagomål/A 59864-2021 FSC-klagomål.docx", "A 59864-2021")</f>
        <v/>
      </c>
      <c r="W40">
        <f>HYPERLINK("https://klasma.github.io/Logging_1730/klagomålsmail/A 59864-2021 FSC-klagomål mail.docx", "A 59864-2021")</f>
        <v/>
      </c>
      <c r="X40">
        <f>HYPERLINK("https://klasma.github.io/Logging_1730/tillsyn/A 59864-2021 tillsynsbegäran.docx", "A 59864-2021")</f>
        <v/>
      </c>
      <c r="Y40">
        <f>HYPERLINK("https://klasma.github.io/Logging_1730/tillsynsmail/A 59864-2021 tillsynsbegäran mail.docx", "A 59864-2021")</f>
        <v/>
      </c>
    </row>
    <row r="41" ht="15" customHeight="1">
      <c r="A41" t="inlineStr">
        <is>
          <t>A 66836-2021</t>
        </is>
      </c>
      <c r="B41" s="1" t="n">
        <v>44522</v>
      </c>
      <c r="C41" s="1" t="n">
        <v>45222</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 artfynd.xlsx", "A 66836-2021")</f>
        <v/>
      </c>
      <c r="T41">
        <f>HYPERLINK("https://klasma.github.io/Logging_1737/kartor/A 66836-2021 karta.png", "A 66836-2021")</f>
        <v/>
      </c>
      <c r="V41">
        <f>HYPERLINK("https://klasma.github.io/Logging_1737/klagomål/A 66836-2021 FSC-klagomål.docx", "A 66836-2021")</f>
        <v/>
      </c>
      <c r="W41">
        <f>HYPERLINK("https://klasma.github.io/Logging_1737/klagomålsmail/A 66836-2021 FSC-klagomål mail.docx", "A 66836-2021")</f>
        <v/>
      </c>
      <c r="X41">
        <f>HYPERLINK("https://klasma.github.io/Logging_1737/tillsyn/A 66836-2021 tillsynsbegäran.docx", "A 66836-2021")</f>
        <v/>
      </c>
      <c r="Y41">
        <f>HYPERLINK("https://klasma.github.io/Logging_1737/tillsynsmail/A 66836-2021 tillsynsbegäran mail.docx", "A 66836-2021")</f>
        <v/>
      </c>
    </row>
    <row r="42" ht="15" customHeight="1">
      <c r="A42" t="inlineStr">
        <is>
          <t>A 73921-2021</t>
        </is>
      </c>
      <c r="B42" s="1" t="n">
        <v>44553</v>
      </c>
      <c r="C42" s="1" t="n">
        <v>45222</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 artfynd.xlsx", "A 73921-2021")</f>
        <v/>
      </c>
      <c r="T42">
        <f>HYPERLINK("https://klasma.github.io/Logging_1737/kartor/A 73921-2021 karta.png", "A 73921-2021")</f>
        <v/>
      </c>
      <c r="V42">
        <f>HYPERLINK("https://klasma.github.io/Logging_1737/klagomål/A 73921-2021 FSC-klagomål.docx", "A 73921-2021")</f>
        <v/>
      </c>
      <c r="W42">
        <f>HYPERLINK("https://klasma.github.io/Logging_1737/klagomålsmail/A 73921-2021 FSC-klagomål mail.docx", "A 73921-2021")</f>
        <v/>
      </c>
      <c r="X42">
        <f>HYPERLINK("https://klasma.github.io/Logging_1737/tillsyn/A 73921-2021 tillsynsbegäran.docx", "A 73921-2021")</f>
        <v/>
      </c>
      <c r="Y42">
        <f>HYPERLINK("https://klasma.github.io/Logging_1737/tillsynsmail/A 73921-2021 tillsynsbegäran mail.docx", "A 73921-2021")</f>
        <v/>
      </c>
    </row>
    <row r="43" ht="15" customHeight="1">
      <c r="A43" t="inlineStr">
        <is>
          <t>A 42499-2022</t>
        </is>
      </c>
      <c r="B43" s="1" t="n">
        <v>44831</v>
      </c>
      <c r="C43" s="1" t="n">
        <v>45222</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 artfynd.xlsx", "A 42499-2022")</f>
        <v/>
      </c>
      <c r="T43">
        <f>HYPERLINK("https://klasma.github.io/Logging_1737/kartor/A 42499-2022 karta.png", "A 42499-2022")</f>
        <v/>
      </c>
      <c r="V43">
        <f>HYPERLINK("https://klasma.github.io/Logging_1737/klagomål/A 42499-2022 FSC-klagomål.docx", "A 42499-2022")</f>
        <v/>
      </c>
      <c r="W43">
        <f>HYPERLINK("https://klasma.github.io/Logging_1737/klagomålsmail/A 42499-2022 FSC-klagomål mail.docx", "A 42499-2022")</f>
        <v/>
      </c>
      <c r="X43">
        <f>HYPERLINK("https://klasma.github.io/Logging_1737/tillsyn/A 42499-2022 tillsynsbegäran.docx", "A 42499-2022")</f>
        <v/>
      </c>
      <c r="Y43">
        <f>HYPERLINK("https://klasma.github.io/Logging_1737/tillsynsmail/A 42499-2022 tillsynsbegäran mail.docx", "A 42499-2022")</f>
        <v/>
      </c>
    </row>
    <row r="44" ht="15" customHeight="1">
      <c r="A44" t="inlineStr">
        <is>
          <t>A 5979-2023</t>
        </is>
      </c>
      <c r="B44" s="1" t="n">
        <v>44964</v>
      </c>
      <c r="C44" s="1" t="n">
        <v>45222</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 artfynd.xlsx", "A 5979-2023")</f>
        <v/>
      </c>
      <c r="T44">
        <f>HYPERLINK("https://klasma.github.io/Logging_1765/kartor/A 5979-2023 karta.png", "A 5979-2023")</f>
        <v/>
      </c>
      <c r="V44">
        <f>HYPERLINK("https://klasma.github.io/Logging_1765/klagomål/A 5979-2023 FSC-klagomål.docx", "A 5979-2023")</f>
        <v/>
      </c>
      <c r="W44">
        <f>HYPERLINK("https://klasma.github.io/Logging_1765/klagomålsmail/A 5979-2023 FSC-klagomål mail.docx", "A 5979-2023")</f>
        <v/>
      </c>
      <c r="X44">
        <f>HYPERLINK("https://klasma.github.io/Logging_1765/tillsyn/A 5979-2023 tillsynsbegäran.docx", "A 5979-2023")</f>
        <v/>
      </c>
      <c r="Y44">
        <f>HYPERLINK("https://klasma.github.io/Logging_1765/tillsynsmail/A 5979-2023 tillsynsbegäran mail.docx", "A 5979-2023")</f>
        <v/>
      </c>
    </row>
    <row r="45" ht="15" customHeight="1">
      <c r="A45" t="inlineStr">
        <is>
          <t>A 21083-2023</t>
        </is>
      </c>
      <c r="B45" s="1" t="n">
        <v>45061</v>
      </c>
      <c r="C45" s="1" t="n">
        <v>45222</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 artfynd.xlsx", "A 21083-2023")</f>
        <v/>
      </c>
      <c r="T45">
        <f>HYPERLINK("https://klasma.github.io/Logging_1760/kartor/A 21083-2023 karta.png", "A 21083-2023")</f>
        <v/>
      </c>
      <c r="U45">
        <f>HYPERLINK("https://klasma.github.io/Logging_1760/knärot/A 21083-2023 karta knärot.png", "A 21083-2023")</f>
        <v/>
      </c>
      <c r="V45">
        <f>HYPERLINK("https://klasma.github.io/Logging_1760/klagomål/A 21083-2023 FSC-klagomål.docx", "A 21083-2023")</f>
        <v/>
      </c>
      <c r="W45">
        <f>HYPERLINK("https://klasma.github.io/Logging_1760/klagomålsmail/A 21083-2023 FSC-klagomål mail.docx", "A 21083-2023")</f>
        <v/>
      </c>
      <c r="X45">
        <f>HYPERLINK("https://klasma.github.io/Logging_1760/tillsyn/A 21083-2023 tillsynsbegäran.docx", "A 21083-2023")</f>
        <v/>
      </c>
      <c r="Y45">
        <f>HYPERLINK("https://klasma.github.io/Logging_1760/tillsynsmail/A 21083-2023 tillsynsbegäran mail.docx", "A 21083-2023")</f>
        <v/>
      </c>
    </row>
    <row r="46" ht="15" customHeight="1">
      <c r="A46" t="inlineStr">
        <is>
          <t>A 43773-2020</t>
        </is>
      </c>
      <c r="B46" s="1" t="n">
        <v>44081</v>
      </c>
      <c r="C46" s="1" t="n">
        <v>45222</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 artfynd.xlsx", "A 43773-2020")</f>
        <v/>
      </c>
      <c r="T46">
        <f>HYPERLINK("https://klasma.github.io/Logging_1780/kartor/A 43773-2020 karta.png", "A 43773-2020")</f>
        <v/>
      </c>
      <c r="V46">
        <f>HYPERLINK("https://klasma.github.io/Logging_1780/klagomål/A 43773-2020 FSC-klagomål.docx", "A 43773-2020")</f>
        <v/>
      </c>
      <c r="W46">
        <f>HYPERLINK("https://klasma.github.io/Logging_1780/klagomålsmail/A 43773-2020 FSC-klagomål mail.docx", "A 43773-2020")</f>
        <v/>
      </c>
      <c r="X46">
        <f>HYPERLINK("https://klasma.github.io/Logging_1780/tillsyn/A 43773-2020 tillsynsbegäran.docx", "A 43773-2020")</f>
        <v/>
      </c>
      <c r="Y46">
        <f>HYPERLINK("https://klasma.github.io/Logging_1780/tillsynsmail/A 43773-2020 tillsynsbegäran mail.docx", "A 43773-2020")</f>
        <v/>
      </c>
    </row>
    <row r="47" ht="15" customHeight="1">
      <c r="A47" t="inlineStr">
        <is>
          <t>A 6858-2021</t>
        </is>
      </c>
      <c r="B47" s="1" t="n">
        <v>44237</v>
      </c>
      <c r="C47" s="1" t="n">
        <v>45222</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 artfynd.xlsx", "A 6858-2021")</f>
        <v/>
      </c>
      <c r="T47">
        <f>HYPERLINK("https://klasma.github.io/Logging_1763/kartor/A 6858-2021 karta.png", "A 6858-2021")</f>
        <v/>
      </c>
      <c r="V47">
        <f>HYPERLINK("https://klasma.github.io/Logging_1763/klagomål/A 6858-2021 FSC-klagomål.docx", "A 6858-2021")</f>
        <v/>
      </c>
      <c r="W47">
        <f>HYPERLINK("https://klasma.github.io/Logging_1763/klagomålsmail/A 6858-2021 FSC-klagomål mail.docx", "A 6858-2021")</f>
        <v/>
      </c>
      <c r="X47">
        <f>HYPERLINK("https://klasma.github.io/Logging_1763/tillsyn/A 6858-2021 tillsynsbegäran.docx", "A 6858-2021")</f>
        <v/>
      </c>
      <c r="Y47">
        <f>HYPERLINK("https://klasma.github.io/Logging_1763/tillsynsmail/A 6858-2021 tillsynsbegäran mail.docx", "A 6858-2021")</f>
        <v/>
      </c>
    </row>
    <row r="48" ht="15" customHeight="1">
      <c r="A48" t="inlineStr">
        <is>
          <t>A 7650-2021</t>
        </is>
      </c>
      <c r="B48" s="1" t="n">
        <v>44242</v>
      </c>
      <c r="C48" s="1" t="n">
        <v>45222</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 artfynd.xlsx", "A 7650-2021")</f>
        <v/>
      </c>
      <c r="T48">
        <f>HYPERLINK("https://klasma.github.io/Logging_1737/kartor/A 7650-2021 karta.png", "A 7650-2021")</f>
        <v/>
      </c>
      <c r="V48">
        <f>HYPERLINK("https://klasma.github.io/Logging_1737/klagomål/A 7650-2021 FSC-klagomål.docx", "A 7650-2021")</f>
        <v/>
      </c>
      <c r="W48">
        <f>HYPERLINK("https://klasma.github.io/Logging_1737/klagomålsmail/A 7650-2021 FSC-klagomål mail.docx", "A 7650-2021")</f>
        <v/>
      </c>
      <c r="X48">
        <f>HYPERLINK("https://klasma.github.io/Logging_1737/tillsyn/A 7650-2021 tillsynsbegäran.docx", "A 7650-2021")</f>
        <v/>
      </c>
      <c r="Y48">
        <f>HYPERLINK("https://klasma.github.io/Logging_1737/tillsynsmail/A 7650-2021 tillsynsbegäran mail.docx", "A 7650-2021")</f>
        <v/>
      </c>
    </row>
    <row r="49" ht="15" customHeight="1">
      <c r="A49" t="inlineStr">
        <is>
          <t>A 52132-2022</t>
        </is>
      </c>
      <c r="B49" s="1" t="n">
        <v>44873</v>
      </c>
      <c r="C49" s="1" t="n">
        <v>45222</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 artfynd.xlsx", "A 52132-2022")</f>
        <v/>
      </c>
      <c r="T49">
        <f>HYPERLINK("https://klasma.github.io/Logging_1765/kartor/A 52132-2022 karta.png", "A 52132-2022")</f>
        <v/>
      </c>
      <c r="U49">
        <f>HYPERLINK("https://klasma.github.io/Logging_1765/knärot/A 52132-2022 karta knärot.png", "A 52132-2022")</f>
        <v/>
      </c>
      <c r="V49">
        <f>HYPERLINK("https://klasma.github.io/Logging_1765/klagomål/A 52132-2022 FSC-klagomål.docx", "A 52132-2022")</f>
        <v/>
      </c>
      <c r="W49">
        <f>HYPERLINK("https://klasma.github.io/Logging_1765/klagomålsmail/A 52132-2022 FSC-klagomål mail.docx", "A 52132-2022")</f>
        <v/>
      </c>
      <c r="X49">
        <f>HYPERLINK("https://klasma.github.io/Logging_1765/tillsyn/A 52132-2022 tillsynsbegäran.docx", "A 52132-2022")</f>
        <v/>
      </c>
      <c r="Y49">
        <f>HYPERLINK("https://klasma.github.io/Logging_1765/tillsynsmail/A 52132-2022 tillsynsbegäran mail.docx", "A 52132-2022")</f>
        <v/>
      </c>
    </row>
    <row r="50" ht="15" customHeight="1">
      <c r="A50" t="inlineStr">
        <is>
          <t>A 29379-2023</t>
        </is>
      </c>
      <c r="B50" s="1" t="n">
        <v>45106</v>
      </c>
      <c r="C50" s="1" t="n">
        <v>45222</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 artfynd.xlsx", "A 29379-2023")</f>
        <v/>
      </c>
      <c r="T50">
        <f>HYPERLINK("https://klasma.github.io/Logging_1765/kartor/A 29379-2023 karta.png", "A 29379-2023")</f>
        <v/>
      </c>
      <c r="V50">
        <f>HYPERLINK("https://klasma.github.io/Logging_1765/klagomål/A 29379-2023 FSC-klagomål.docx", "A 29379-2023")</f>
        <v/>
      </c>
      <c r="W50">
        <f>HYPERLINK("https://klasma.github.io/Logging_1765/klagomålsmail/A 29379-2023 FSC-klagomål mail.docx", "A 29379-2023")</f>
        <v/>
      </c>
      <c r="X50">
        <f>HYPERLINK("https://klasma.github.io/Logging_1765/tillsyn/A 29379-2023 tillsynsbegäran.docx", "A 29379-2023")</f>
        <v/>
      </c>
      <c r="Y50">
        <f>HYPERLINK("https://klasma.github.io/Logging_1765/tillsynsmail/A 29379-2023 tillsynsbegäran mail.docx", "A 29379-2023")</f>
        <v/>
      </c>
    </row>
    <row r="51" ht="15" customHeight="1">
      <c r="A51" t="inlineStr">
        <is>
          <t>A 32845-2023</t>
        </is>
      </c>
      <c r="B51" s="1" t="n">
        <v>45109</v>
      </c>
      <c r="C51" s="1" t="n">
        <v>45222</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 artfynd.xlsx", "A 32845-2023")</f>
        <v/>
      </c>
      <c r="T51">
        <f>HYPERLINK("https://klasma.github.io/Logging_1784/kartor/A 32845-2023 karta.png", "A 32845-2023")</f>
        <v/>
      </c>
      <c r="U51">
        <f>HYPERLINK("https://klasma.github.io/Logging_1784/knärot/A 32845-2023 karta knärot.png", "A 32845-2023")</f>
        <v/>
      </c>
      <c r="V51">
        <f>HYPERLINK("https://klasma.github.io/Logging_1784/klagomål/A 32845-2023 FSC-klagomål.docx", "A 32845-2023")</f>
        <v/>
      </c>
      <c r="W51">
        <f>HYPERLINK("https://klasma.github.io/Logging_1784/klagomålsmail/A 32845-2023 FSC-klagomål mail.docx", "A 32845-2023")</f>
        <v/>
      </c>
      <c r="X51">
        <f>HYPERLINK("https://klasma.github.io/Logging_1784/tillsyn/A 32845-2023 tillsynsbegäran.docx", "A 32845-2023")</f>
        <v/>
      </c>
      <c r="Y51">
        <f>HYPERLINK("https://klasma.github.io/Logging_1784/tillsynsmail/A 32845-2023 tillsynsbegäran mail.docx", "A 32845-2023")</f>
        <v/>
      </c>
    </row>
    <row r="52" ht="15" customHeight="1">
      <c r="A52" t="inlineStr">
        <is>
          <t>A 43270-2018</t>
        </is>
      </c>
      <c r="B52" s="1" t="n">
        <v>43356</v>
      </c>
      <c r="C52" s="1" t="n">
        <v>45222</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 artfynd.xlsx", "A 43270-2018")</f>
        <v/>
      </c>
      <c r="T52">
        <f>HYPERLINK("https://klasma.github.io/Logging_1784/kartor/A 43270-2018 karta.png", "A 43270-2018")</f>
        <v/>
      </c>
      <c r="U52">
        <f>HYPERLINK("https://klasma.github.io/Logging_1784/knärot/A 43270-2018 karta knärot.png", "A 43270-2018")</f>
        <v/>
      </c>
      <c r="V52">
        <f>HYPERLINK("https://klasma.github.io/Logging_1784/klagomål/A 43270-2018 FSC-klagomål.docx", "A 43270-2018")</f>
        <v/>
      </c>
      <c r="W52">
        <f>HYPERLINK("https://klasma.github.io/Logging_1784/klagomålsmail/A 43270-2018 FSC-klagomål mail.docx", "A 43270-2018")</f>
        <v/>
      </c>
      <c r="X52">
        <f>HYPERLINK("https://klasma.github.io/Logging_1784/tillsyn/A 43270-2018 tillsynsbegäran.docx", "A 43270-2018")</f>
        <v/>
      </c>
      <c r="Y52">
        <f>HYPERLINK("https://klasma.github.io/Logging_1784/tillsynsmail/A 43270-2018 tillsynsbegäran mail.docx", "A 43270-2018")</f>
        <v/>
      </c>
    </row>
    <row r="53" ht="15" customHeight="1">
      <c r="A53" t="inlineStr">
        <is>
          <t>A 4189-2019</t>
        </is>
      </c>
      <c r="B53" s="1" t="n">
        <v>43483</v>
      </c>
      <c r="C53" s="1" t="n">
        <v>45222</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 artfynd.xlsx", "A 4189-2019")</f>
        <v/>
      </c>
      <c r="T53">
        <f>HYPERLINK("https://klasma.github.io/Logging_1730/kartor/A 4189-2019 karta.png", "A 4189-2019")</f>
        <v/>
      </c>
      <c r="U53">
        <f>HYPERLINK("https://klasma.github.io/Logging_1730/knärot/A 4189-2019 karta knärot.png", "A 4189-2019")</f>
        <v/>
      </c>
      <c r="V53">
        <f>HYPERLINK("https://klasma.github.io/Logging_1730/klagomål/A 4189-2019 FSC-klagomål.docx", "A 4189-2019")</f>
        <v/>
      </c>
      <c r="W53">
        <f>HYPERLINK("https://klasma.github.io/Logging_1730/klagomålsmail/A 4189-2019 FSC-klagomål mail.docx", "A 4189-2019")</f>
        <v/>
      </c>
      <c r="X53">
        <f>HYPERLINK("https://klasma.github.io/Logging_1730/tillsyn/A 4189-2019 tillsynsbegäran.docx", "A 4189-2019")</f>
        <v/>
      </c>
      <c r="Y53">
        <f>HYPERLINK("https://klasma.github.io/Logging_1730/tillsynsmail/A 4189-2019 tillsynsbegäran mail.docx", "A 4189-2019")</f>
        <v/>
      </c>
    </row>
    <row r="54" ht="15" customHeight="1">
      <c r="A54" t="inlineStr">
        <is>
          <t>A 17497-2019</t>
        </is>
      </c>
      <c r="B54" s="1" t="n">
        <v>43553</v>
      </c>
      <c r="C54" s="1" t="n">
        <v>45222</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 artfynd.xlsx", "A 17497-2019")</f>
        <v/>
      </c>
      <c r="T54">
        <f>HYPERLINK("https://klasma.github.io/Logging_1780/kartor/A 17497-2019 karta.png", "A 17497-2019")</f>
        <v/>
      </c>
      <c r="U54">
        <f>HYPERLINK("https://klasma.github.io/Logging_1780/knärot/A 17497-2019 karta knärot.png", "A 17497-2019")</f>
        <v/>
      </c>
      <c r="V54">
        <f>HYPERLINK("https://klasma.github.io/Logging_1780/klagomål/A 17497-2019 FSC-klagomål.docx", "A 17497-2019")</f>
        <v/>
      </c>
      <c r="W54">
        <f>HYPERLINK("https://klasma.github.io/Logging_1780/klagomålsmail/A 17497-2019 FSC-klagomål mail.docx", "A 17497-2019")</f>
        <v/>
      </c>
      <c r="X54">
        <f>HYPERLINK("https://klasma.github.io/Logging_1780/tillsyn/A 17497-2019 tillsynsbegäran.docx", "A 17497-2019")</f>
        <v/>
      </c>
      <c r="Y54">
        <f>HYPERLINK("https://klasma.github.io/Logging_1780/tillsynsmail/A 17497-2019 tillsynsbegäran mail.docx", "A 17497-2019")</f>
        <v/>
      </c>
    </row>
    <row r="55" ht="15" customHeight="1">
      <c r="A55" t="inlineStr">
        <is>
          <t>A 29038-2019</t>
        </is>
      </c>
      <c r="B55" s="1" t="n">
        <v>43621</v>
      </c>
      <c r="C55" s="1" t="n">
        <v>45222</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 artfynd.xlsx", "A 29038-2019")</f>
        <v/>
      </c>
      <c r="T55">
        <f>HYPERLINK("https://klasma.github.io/Logging_1765/kartor/A 29038-2019 karta.png", "A 29038-2019")</f>
        <v/>
      </c>
      <c r="U55">
        <f>HYPERLINK("https://klasma.github.io/Logging_1765/knärot/A 29038-2019 karta knärot.png", "A 29038-2019")</f>
        <v/>
      </c>
      <c r="V55">
        <f>HYPERLINK("https://klasma.github.io/Logging_1765/klagomål/A 29038-2019 FSC-klagomål.docx", "A 29038-2019")</f>
        <v/>
      </c>
      <c r="W55">
        <f>HYPERLINK("https://klasma.github.io/Logging_1765/klagomålsmail/A 29038-2019 FSC-klagomål mail.docx", "A 29038-2019")</f>
        <v/>
      </c>
      <c r="X55">
        <f>HYPERLINK("https://klasma.github.io/Logging_1765/tillsyn/A 29038-2019 tillsynsbegäran.docx", "A 29038-2019")</f>
        <v/>
      </c>
      <c r="Y55">
        <f>HYPERLINK("https://klasma.github.io/Logging_1765/tillsynsmail/A 29038-2019 tillsynsbegäran mail.docx", "A 29038-2019")</f>
        <v/>
      </c>
    </row>
    <row r="56" ht="15" customHeight="1">
      <c r="A56" t="inlineStr">
        <is>
          <t>A 9453-2020</t>
        </is>
      </c>
      <c r="B56" s="1" t="n">
        <v>43880</v>
      </c>
      <c r="C56" s="1" t="n">
        <v>45222</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 artfynd.xlsx", "A 9453-2020")</f>
        <v/>
      </c>
      <c r="T56">
        <f>HYPERLINK("https://klasma.github.io/Logging_1765/kartor/A 9453-2020 karta.png", "A 9453-2020")</f>
        <v/>
      </c>
      <c r="U56">
        <f>HYPERLINK("https://klasma.github.io/Logging_1765/knärot/A 9453-2020 karta knärot.png", "A 9453-2020")</f>
        <v/>
      </c>
      <c r="V56">
        <f>HYPERLINK("https://klasma.github.io/Logging_1765/klagomål/A 9453-2020 FSC-klagomål.docx", "A 9453-2020")</f>
        <v/>
      </c>
      <c r="W56">
        <f>HYPERLINK("https://klasma.github.io/Logging_1765/klagomålsmail/A 9453-2020 FSC-klagomål mail.docx", "A 9453-2020")</f>
        <v/>
      </c>
      <c r="X56">
        <f>HYPERLINK("https://klasma.github.io/Logging_1765/tillsyn/A 9453-2020 tillsynsbegäran.docx", "A 9453-2020")</f>
        <v/>
      </c>
      <c r="Y56">
        <f>HYPERLINK("https://klasma.github.io/Logging_1765/tillsynsmail/A 9453-2020 tillsynsbegäran mail.docx", "A 9453-2020")</f>
        <v/>
      </c>
    </row>
    <row r="57" ht="15" customHeight="1">
      <c r="A57" t="inlineStr">
        <is>
          <t>A 57758-2020</t>
        </is>
      </c>
      <c r="B57" s="1" t="n">
        <v>44140</v>
      </c>
      <c r="C57" s="1" t="n">
        <v>45222</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 artfynd.xlsx", "A 57758-2020")</f>
        <v/>
      </c>
      <c r="T57">
        <f>HYPERLINK("https://klasma.github.io/Logging_1765/kartor/A 57758-2020 karta.png", "A 57758-2020")</f>
        <v/>
      </c>
      <c r="V57">
        <f>HYPERLINK("https://klasma.github.io/Logging_1765/klagomål/A 57758-2020 FSC-klagomål.docx", "A 57758-2020")</f>
        <v/>
      </c>
      <c r="W57">
        <f>HYPERLINK("https://klasma.github.io/Logging_1765/klagomålsmail/A 57758-2020 FSC-klagomål mail.docx", "A 57758-2020")</f>
        <v/>
      </c>
      <c r="X57">
        <f>HYPERLINK("https://klasma.github.io/Logging_1765/tillsyn/A 57758-2020 tillsynsbegäran.docx", "A 57758-2020")</f>
        <v/>
      </c>
      <c r="Y57">
        <f>HYPERLINK("https://klasma.github.io/Logging_1765/tillsynsmail/A 57758-2020 tillsynsbegäran mail.docx", "A 57758-2020")</f>
        <v/>
      </c>
    </row>
    <row r="58" ht="15" customHeight="1">
      <c r="A58" t="inlineStr">
        <is>
          <t>A 9931-2021</t>
        </is>
      </c>
      <c r="B58" s="1" t="n">
        <v>44253</v>
      </c>
      <c r="C58" s="1" t="n">
        <v>45222</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 artfynd.xlsx", "A 9931-2021")</f>
        <v/>
      </c>
      <c r="T58">
        <f>HYPERLINK("https://klasma.github.io/Logging_1763/kartor/A 9931-2021 karta.png", "A 9931-2021")</f>
        <v/>
      </c>
      <c r="V58">
        <f>HYPERLINK("https://klasma.github.io/Logging_1763/klagomål/A 9931-2021 FSC-klagomål.docx", "A 9931-2021")</f>
        <v/>
      </c>
      <c r="W58">
        <f>HYPERLINK("https://klasma.github.io/Logging_1763/klagomålsmail/A 9931-2021 FSC-klagomål mail.docx", "A 9931-2021")</f>
        <v/>
      </c>
      <c r="X58">
        <f>HYPERLINK("https://klasma.github.io/Logging_1763/tillsyn/A 9931-2021 tillsynsbegäran.docx", "A 9931-2021")</f>
        <v/>
      </c>
      <c r="Y58">
        <f>HYPERLINK("https://klasma.github.io/Logging_1763/tillsynsmail/A 9931-2021 tillsynsbegäran mail.docx", "A 9931-2021")</f>
        <v/>
      </c>
    </row>
    <row r="59" ht="15" customHeight="1">
      <c r="A59" t="inlineStr">
        <is>
          <t>A 17008-2021</t>
        </is>
      </c>
      <c r="B59" s="1" t="n">
        <v>44295</v>
      </c>
      <c r="C59" s="1" t="n">
        <v>45222</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 artfynd.xlsx", "A 17008-2021")</f>
        <v/>
      </c>
      <c r="T59">
        <f>HYPERLINK("https://klasma.github.io/Logging_1784/kartor/A 17008-2021 karta.png", "A 17008-2021")</f>
        <v/>
      </c>
      <c r="V59">
        <f>HYPERLINK("https://klasma.github.io/Logging_1784/klagomål/A 17008-2021 FSC-klagomål.docx", "A 17008-2021")</f>
        <v/>
      </c>
      <c r="W59">
        <f>HYPERLINK("https://klasma.github.io/Logging_1784/klagomålsmail/A 17008-2021 FSC-klagomål mail.docx", "A 17008-2021")</f>
        <v/>
      </c>
      <c r="X59">
        <f>HYPERLINK("https://klasma.github.io/Logging_1784/tillsyn/A 17008-2021 tillsynsbegäran.docx", "A 17008-2021")</f>
        <v/>
      </c>
      <c r="Y59">
        <f>HYPERLINK("https://klasma.github.io/Logging_1784/tillsynsmail/A 17008-2021 tillsynsbegäran mail.docx", "A 17008-2021")</f>
        <v/>
      </c>
    </row>
    <row r="60" ht="15" customHeight="1">
      <c r="A60" t="inlineStr">
        <is>
          <t>A 41279-2021</t>
        </is>
      </c>
      <c r="B60" s="1" t="n">
        <v>44424</v>
      </c>
      <c r="C60" s="1" t="n">
        <v>45222</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 artfynd.xlsx", "A 41279-2021")</f>
        <v/>
      </c>
      <c r="T60">
        <f>HYPERLINK("https://klasma.github.io/Logging_1737/kartor/A 41279-2021 karta.png", "A 41279-2021")</f>
        <v/>
      </c>
      <c r="V60">
        <f>HYPERLINK("https://klasma.github.io/Logging_1737/klagomål/A 41279-2021 FSC-klagomål.docx", "A 41279-2021")</f>
        <v/>
      </c>
      <c r="W60">
        <f>HYPERLINK("https://klasma.github.io/Logging_1737/klagomålsmail/A 41279-2021 FSC-klagomål mail.docx", "A 41279-2021")</f>
        <v/>
      </c>
      <c r="X60">
        <f>HYPERLINK("https://klasma.github.io/Logging_1737/tillsyn/A 41279-2021 tillsynsbegäran.docx", "A 41279-2021")</f>
        <v/>
      </c>
      <c r="Y60">
        <f>HYPERLINK("https://klasma.github.io/Logging_1737/tillsynsmail/A 41279-2021 tillsynsbegäran mail.docx", "A 41279-2021")</f>
        <v/>
      </c>
    </row>
    <row r="61" ht="15" customHeight="1">
      <c r="A61" t="inlineStr">
        <is>
          <t>A 49109-2021</t>
        </is>
      </c>
      <c r="B61" s="1" t="n">
        <v>44453</v>
      </c>
      <c r="C61" s="1" t="n">
        <v>45222</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 artfynd.xlsx", "A 49109-2021")</f>
        <v/>
      </c>
      <c r="T61">
        <f>HYPERLINK("https://klasma.github.io/Logging_1737/kartor/A 49109-2021 karta.png", "A 49109-2021")</f>
        <v/>
      </c>
      <c r="V61">
        <f>HYPERLINK("https://klasma.github.io/Logging_1737/klagomål/A 49109-2021 FSC-klagomål.docx", "A 49109-2021")</f>
        <v/>
      </c>
      <c r="W61">
        <f>HYPERLINK("https://klasma.github.io/Logging_1737/klagomålsmail/A 49109-2021 FSC-klagomål mail.docx", "A 49109-2021")</f>
        <v/>
      </c>
      <c r="X61">
        <f>HYPERLINK("https://klasma.github.io/Logging_1737/tillsyn/A 49109-2021 tillsynsbegäran.docx", "A 49109-2021")</f>
        <v/>
      </c>
      <c r="Y61">
        <f>HYPERLINK("https://klasma.github.io/Logging_1737/tillsynsmail/A 49109-2021 tillsynsbegäran mail.docx", "A 49109-2021")</f>
        <v/>
      </c>
    </row>
    <row r="62" ht="15" customHeight="1">
      <c r="A62" t="inlineStr">
        <is>
          <t>A 58400-2021</t>
        </is>
      </c>
      <c r="B62" s="1" t="n">
        <v>44488</v>
      </c>
      <c r="C62" s="1" t="n">
        <v>45222</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 artfynd.xlsx", "A 58400-2021")</f>
        <v/>
      </c>
      <c r="T62">
        <f>HYPERLINK("https://klasma.github.io/Logging_1781/kartor/A 58400-2021 karta.png", "A 58400-2021")</f>
        <v/>
      </c>
      <c r="V62">
        <f>HYPERLINK("https://klasma.github.io/Logging_1781/klagomål/A 58400-2021 FSC-klagomål.docx", "A 58400-2021")</f>
        <v/>
      </c>
      <c r="W62">
        <f>HYPERLINK("https://klasma.github.io/Logging_1781/klagomålsmail/A 58400-2021 FSC-klagomål mail.docx", "A 58400-2021")</f>
        <v/>
      </c>
      <c r="X62">
        <f>HYPERLINK("https://klasma.github.io/Logging_1781/tillsyn/A 58400-2021 tillsynsbegäran.docx", "A 58400-2021")</f>
        <v/>
      </c>
      <c r="Y62">
        <f>HYPERLINK("https://klasma.github.io/Logging_1781/tillsynsmail/A 58400-2021 tillsynsbegäran mail.docx", "A 58400-2021")</f>
        <v/>
      </c>
    </row>
    <row r="63" ht="15" customHeight="1">
      <c r="A63" t="inlineStr">
        <is>
          <t>A 72312-2021</t>
        </is>
      </c>
      <c r="B63" s="1" t="n">
        <v>44545</v>
      </c>
      <c r="C63" s="1" t="n">
        <v>45222</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 artfynd.xlsx", "A 72312-2021")</f>
        <v/>
      </c>
      <c r="T63">
        <f>HYPERLINK("https://klasma.github.io/Logging_1737/kartor/A 72312-2021 karta.png", "A 72312-2021")</f>
        <v/>
      </c>
      <c r="V63">
        <f>HYPERLINK("https://klasma.github.io/Logging_1737/klagomål/A 72312-2021 FSC-klagomål.docx", "A 72312-2021")</f>
        <v/>
      </c>
      <c r="W63">
        <f>HYPERLINK("https://klasma.github.io/Logging_1737/klagomålsmail/A 72312-2021 FSC-klagomål mail.docx", "A 72312-2021")</f>
        <v/>
      </c>
      <c r="X63">
        <f>HYPERLINK("https://klasma.github.io/Logging_1737/tillsyn/A 72312-2021 tillsynsbegäran.docx", "A 72312-2021")</f>
        <v/>
      </c>
      <c r="Y63">
        <f>HYPERLINK("https://klasma.github.io/Logging_1737/tillsynsmail/A 72312-2021 tillsynsbegäran mail.docx", "A 72312-2021")</f>
        <v/>
      </c>
    </row>
    <row r="64" ht="15" customHeight="1">
      <c r="A64" t="inlineStr">
        <is>
          <t>A 4972-2022</t>
        </is>
      </c>
      <c r="B64" s="1" t="n">
        <v>44593</v>
      </c>
      <c r="C64" s="1" t="n">
        <v>45222</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 artfynd.xlsx", "A 4972-2022")</f>
        <v/>
      </c>
      <c r="T64">
        <f>HYPERLINK("https://klasma.github.io/Logging_1737/kartor/A 4972-2022 karta.png", "A 4972-2022")</f>
        <v/>
      </c>
      <c r="V64">
        <f>HYPERLINK("https://klasma.github.io/Logging_1737/klagomål/A 4972-2022 FSC-klagomål.docx", "A 4972-2022")</f>
        <v/>
      </c>
      <c r="W64">
        <f>HYPERLINK("https://klasma.github.io/Logging_1737/klagomålsmail/A 4972-2022 FSC-klagomål mail.docx", "A 4972-2022")</f>
        <v/>
      </c>
      <c r="X64">
        <f>HYPERLINK("https://klasma.github.io/Logging_1737/tillsyn/A 4972-2022 tillsynsbegäran.docx", "A 4972-2022")</f>
        <v/>
      </c>
      <c r="Y64">
        <f>HYPERLINK("https://klasma.github.io/Logging_1737/tillsynsmail/A 4972-2022 tillsynsbegäran mail.docx", "A 4972-2022")</f>
        <v/>
      </c>
    </row>
    <row r="65" ht="15" customHeight="1">
      <c r="A65" t="inlineStr">
        <is>
          <t>A 38837-2022</t>
        </is>
      </c>
      <c r="B65" s="1" t="n">
        <v>44816</v>
      </c>
      <c r="C65" s="1" t="n">
        <v>45222</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 artfynd.xlsx", "A 38837-2022")</f>
        <v/>
      </c>
      <c r="T65">
        <f>HYPERLINK("https://klasma.github.io/Logging_1715/kartor/A 38837-2022 karta.png", "A 38837-2022")</f>
        <v/>
      </c>
      <c r="V65">
        <f>HYPERLINK("https://klasma.github.io/Logging_1715/klagomål/A 38837-2022 FSC-klagomål.docx", "A 38837-2022")</f>
        <v/>
      </c>
      <c r="W65">
        <f>HYPERLINK("https://klasma.github.io/Logging_1715/klagomålsmail/A 38837-2022 FSC-klagomål mail.docx", "A 38837-2022")</f>
        <v/>
      </c>
      <c r="X65">
        <f>HYPERLINK("https://klasma.github.io/Logging_1715/tillsyn/A 38837-2022 tillsynsbegäran.docx", "A 38837-2022")</f>
        <v/>
      </c>
      <c r="Y65">
        <f>HYPERLINK("https://klasma.github.io/Logging_1715/tillsynsmail/A 38837-2022 tillsynsbegäran mail.docx", "A 38837-2022")</f>
        <v/>
      </c>
    </row>
    <row r="66" ht="15" customHeight="1">
      <c r="A66" t="inlineStr">
        <is>
          <t>A 9573-2023</t>
        </is>
      </c>
      <c r="B66" s="1" t="n">
        <v>44982</v>
      </c>
      <c r="C66" s="1" t="n">
        <v>45222</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 artfynd.xlsx", "A 9573-2023")</f>
        <v/>
      </c>
      <c r="T66">
        <f>HYPERLINK("https://klasma.github.io/Logging_1737/kartor/A 9573-2023 karta.png", "A 9573-2023")</f>
        <v/>
      </c>
      <c r="V66">
        <f>HYPERLINK("https://klasma.github.io/Logging_1737/klagomål/A 9573-2023 FSC-klagomål.docx", "A 9573-2023")</f>
        <v/>
      </c>
      <c r="W66">
        <f>HYPERLINK("https://klasma.github.io/Logging_1737/klagomålsmail/A 9573-2023 FSC-klagomål mail.docx", "A 9573-2023")</f>
        <v/>
      </c>
      <c r="X66">
        <f>HYPERLINK("https://klasma.github.io/Logging_1737/tillsyn/A 9573-2023 tillsynsbegäran.docx", "A 9573-2023")</f>
        <v/>
      </c>
      <c r="Y66">
        <f>HYPERLINK("https://klasma.github.io/Logging_1737/tillsynsmail/A 9573-2023 tillsynsbegäran mail.docx", "A 9573-2023")</f>
        <v/>
      </c>
    </row>
    <row r="67" ht="15" customHeight="1">
      <c r="A67" t="inlineStr">
        <is>
          <t>A 17619-2023</t>
        </is>
      </c>
      <c r="B67" s="1" t="n">
        <v>45036</v>
      </c>
      <c r="C67" s="1" t="n">
        <v>45222</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 artfynd.xlsx", "A 17619-2023")</f>
        <v/>
      </c>
      <c r="T67">
        <f>HYPERLINK("https://klasma.github.io/Logging_1783/kartor/A 17619-2023 karta.png", "A 17619-2023")</f>
        <v/>
      </c>
      <c r="V67">
        <f>HYPERLINK("https://klasma.github.io/Logging_1783/klagomål/A 17619-2023 FSC-klagomål.docx", "A 17619-2023")</f>
        <v/>
      </c>
      <c r="W67">
        <f>HYPERLINK("https://klasma.github.io/Logging_1783/klagomålsmail/A 17619-2023 FSC-klagomål mail.docx", "A 17619-2023")</f>
        <v/>
      </c>
      <c r="X67">
        <f>HYPERLINK("https://klasma.github.io/Logging_1783/tillsyn/A 17619-2023 tillsynsbegäran.docx", "A 17619-2023")</f>
        <v/>
      </c>
      <c r="Y67">
        <f>HYPERLINK("https://klasma.github.io/Logging_1783/tillsynsmail/A 17619-2023 tillsynsbegäran mail.docx", "A 17619-2023")</f>
        <v/>
      </c>
    </row>
    <row r="68" ht="15" customHeight="1">
      <c r="A68" t="inlineStr">
        <is>
          <t>A 63177-2018</t>
        </is>
      </c>
      <c r="B68" s="1" t="n">
        <v>43418</v>
      </c>
      <c r="C68" s="1" t="n">
        <v>45222</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 artfynd.xlsx", "A 63177-2018")</f>
        <v/>
      </c>
      <c r="T68">
        <f>HYPERLINK("https://klasma.github.io/Logging_1730/kartor/A 63177-2018 karta.png", "A 63177-2018")</f>
        <v/>
      </c>
      <c r="V68">
        <f>HYPERLINK("https://klasma.github.io/Logging_1730/klagomål/A 63177-2018 FSC-klagomål.docx", "A 63177-2018")</f>
        <v/>
      </c>
      <c r="W68">
        <f>HYPERLINK("https://klasma.github.io/Logging_1730/klagomålsmail/A 63177-2018 FSC-klagomål mail.docx", "A 63177-2018")</f>
        <v/>
      </c>
      <c r="X68">
        <f>HYPERLINK("https://klasma.github.io/Logging_1730/tillsyn/A 63177-2018 tillsynsbegäran.docx", "A 63177-2018")</f>
        <v/>
      </c>
      <c r="Y68">
        <f>HYPERLINK("https://klasma.github.io/Logging_1730/tillsynsmail/A 63177-2018 tillsynsbegäran mail.docx", "A 63177-2018")</f>
        <v/>
      </c>
    </row>
    <row r="69" ht="15" customHeight="1">
      <c r="A69" t="inlineStr">
        <is>
          <t>A 3367-2020</t>
        </is>
      </c>
      <c r="B69" s="1" t="n">
        <v>43852</v>
      </c>
      <c r="C69" s="1" t="n">
        <v>45222</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 artfynd.xlsx", "A 3367-2020")</f>
        <v/>
      </c>
      <c r="T69">
        <f>HYPERLINK("https://klasma.github.io/Logging_1765/kartor/A 3367-2020 karta.png", "A 3367-2020")</f>
        <v/>
      </c>
      <c r="U69">
        <f>HYPERLINK("https://klasma.github.io/Logging_1765/knärot/A 3367-2020 karta knärot.png", "A 3367-2020")</f>
        <v/>
      </c>
      <c r="V69">
        <f>HYPERLINK("https://klasma.github.io/Logging_1765/klagomål/A 3367-2020 FSC-klagomål.docx", "A 3367-2020")</f>
        <v/>
      </c>
      <c r="W69">
        <f>HYPERLINK("https://klasma.github.io/Logging_1765/klagomålsmail/A 3367-2020 FSC-klagomål mail.docx", "A 3367-2020")</f>
        <v/>
      </c>
      <c r="X69">
        <f>HYPERLINK("https://klasma.github.io/Logging_1765/tillsyn/A 3367-2020 tillsynsbegäran.docx", "A 3367-2020")</f>
        <v/>
      </c>
      <c r="Y69">
        <f>HYPERLINK("https://klasma.github.io/Logging_1765/tillsynsmail/A 3367-2020 tillsynsbegäran mail.docx", "A 3367-2020")</f>
        <v/>
      </c>
    </row>
    <row r="70" ht="15" customHeight="1">
      <c r="A70" t="inlineStr">
        <is>
          <t>A 30023-2020</t>
        </is>
      </c>
      <c r="B70" s="1" t="n">
        <v>44006</v>
      </c>
      <c r="C70" s="1" t="n">
        <v>45222</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 artfynd.xlsx", "A 30023-2020")</f>
        <v/>
      </c>
      <c r="T70">
        <f>HYPERLINK("https://klasma.github.io/Logging_1782/kartor/A 30023-2020 karta.png", "A 30023-2020")</f>
        <v/>
      </c>
      <c r="V70">
        <f>HYPERLINK("https://klasma.github.io/Logging_1782/klagomål/A 30023-2020 FSC-klagomål.docx", "A 30023-2020")</f>
        <v/>
      </c>
      <c r="W70">
        <f>HYPERLINK("https://klasma.github.io/Logging_1782/klagomålsmail/A 30023-2020 FSC-klagomål mail.docx", "A 30023-2020")</f>
        <v/>
      </c>
      <c r="X70">
        <f>HYPERLINK("https://klasma.github.io/Logging_1782/tillsyn/A 30023-2020 tillsynsbegäran.docx", "A 30023-2020")</f>
        <v/>
      </c>
      <c r="Y70">
        <f>HYPERLINK("https://klasma.github.io/Logging_1782/tillsynsmail/A 30023-2020 tillsynsbegäran mail.docx", "A 30023-2020")</f>
        <v/>
      </c>
    </row>
    <row r="71" ht="15" customHeight="1">
      <c r="A71" t="inlineStr">
        <is>
          <t>A 34600-2020</t>
        </is>
      </c>
      <c r="B71" s="1" t="n">
        <v>44034</v>
      </c>
      <c r="C71" s="1" t="n">
        <v>45222</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 artfynd.xlsx", "A 34600-2020")</f>
        <v/>
      </c>
      <c r="T71">
        <f>HYPERLINK("https://klasma.github.io/Logging_1766/kartor/A 34600-2020 karta.png", "A 34600-2020")</f>
        <v/>
      </c>
      <c r="V71">
        <f>HYPERLINK("https://klasma.github.io/Logging_1766/klagomål/A 34600-2020 FSC-klagomål.docx", "A 34600-2020")</f>
        <v/>
      </c>
      <c r="W71">
        <f>HYPERLINK("https://klasma.github.io/Logging_1766/klagomålsmail/A 34600-2020 FSC-klagomål mail.docx", "A 34600-2020")</f>
        <v/>
      </c>
      <c r="X71">
        <f>HYPERLINK("https://klasma.github.io/Logging_1766/tillsyn/A 34600-2020 tillsynsbegäran.docx", "A 34600-2020")</f>
        <v/>
      </c>
      <c r="Y71">
        <f>HYPERLINK("https://klasma.github.io/Logging_1766/tillsynsmail/A 34600-2020 tillsynsbegäran mail.docx", "A 34600-2020")</f>
        <v/>
      </c>
    </row>
    <row r="72" ht="15" customHeight="1">
      <c r="A72" t="inlineStr">
        <is>
          <t>A 45428-2020</t>
        </is>
      </c>
      <c r="B72" s="1" t="n">
        <v>44089</v>
      </c>
      <c r="C72" s="1" t="n">
        <v>45222</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 artfynd.xlsx", "A 45428-2020")</f>
        <v/>
      </c>
      <c r="T72">
        <f>HYPERLINK("https://klasma.github.io/Logging_1784/kartor/A 45428-2020 karta.png", "A 45428-2020")</f>
        <v/>
      </c>
      <c r="U72">
        <f>HYPERLINK("https://klasma.github.io/Logging_1784/knärot/A 45428-2020 karta knärot.png", "A 45428-2020")</f>
        <v/>
      </c>
      <c r="V72">
        <f>HYPERLINK("https://klasma.github.io/Logging_1784/klagomål/A 45428-2020 FSC-klagomål.docx", "A 45428-2020")</f>
        <v/>
      </c>
      <c r="W72">
        <f>HYPERLINK("https://klasma.github.io/Logging_1784/klagomålsmail/A 45428-2020 FSC-klagomål mail.docx", "A 45428-2020")</f>
        <v/>
      </c>
      <c r="X72">
        <f>HYPERLINK("https://klasma.github.io/Logging_1784/tillsyn/A 45428-2020 tillsynsbegäran.docx", "A 45428-2020")</f>
        <v/>
      </c>
      <c r="Y72">
        <f>HYPERLINK("https://klasma.github.io/Logging_1784/tillsynsmail/A 45428-2020 tillsynsbegäran mail.docx", "A 45428-2020")</f>
        <v/>
      </c>
    </row>
    <row r="73" ht="15" customHeight="1">
      <c r="A73" t="inlineStr">
        <is>
          <t>A 173-2021</t>
        </is>
      </c>
      <c r="B73" s="1" t="n">
        <v>44200</v>
      </c>
      <c r="C73" s="1" t="n">
        <v>45222</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 artfynd.xlsx", "A 173-2021")</f>
        <v/>
      </c>
      <c r="T73">
        <f>HYPERLINK("https://klasma.github.io/Logging_1737/kartor/A 173-2021 karta.png", "A 173-2021")</f>
        <v/>
      </c>
      <c r="V73">
        <f>HYPERLINK("https://klasma.github.io/Logging_1737/klagomål/A 173-2021 FSC-klagomål.docx", "A 173-2021")</f>
        <v/>
      </c>
      <c r="W73">
        <f>HYPERLINK("https://klasma.github.io/Logging_1737/klagomålsmail/A 173-2021 FSC-klagomål mail.docx", "A 173-2021")</f>
        <v/>
      </c>
      <c r="X73">
        <f>HYPERLINK("https://klasma.github.io/Logging_1737/tillsyn/A 173-2021 tillsynsbegäran.docx", "A 173-2021")</f>
        <v/>
      </c>
      <c r="Y73">
        <f>HYPERLINK("https://klasma.github.io/Logging_1737/tillsynsmail/A 173-2021 tillsynsbegäran mail.docx", "A 173-2021")</f>
        <v/>
      </c>
    </row>
    <row r="74" ht="15" customHeight="1">
      <c r="A74" t="inlineStr">
        <is>
          <t>A 8325-2021</t>
        </is>
      </c>
      <c r="B74" s="1" t="n">
        <v>44244</v>
      </c>
      <c r="C74" s="1" t="n">
        <v>45222</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 artfynd.xlsx", "A 8325-2021")</f>
        <v/>
      </c>
      <c r="T74">
        <f>HYPERLINK("https://klasma.github.io/Logging_1763/kartor/A 8325-2021 karta.png", "A 8325-2021")</f>
        <v/>
      </c>
      <c r="V74">
        <f>HYPERLINK("https://klasma.github.io/Logging_1763/klagomål/A 8325-2021 FSC-klagomål.docx", "A 8325-2021")</f>
        <v/>
      </c>
      <c r="W74">
        <f>HYPERLINK("https://klasma.github.io/Logging_1763/klagomålsmail/A 8325-2021 FSC-klagomål mail.docx", "A 8325-2021")</f>
        <v/>
      </c>
      <c r="X74">
        <f>HYPERLINK("https://klasma.github.io/Logging_1763/tillsyn/A 8325-2021 tillsynsbegäran.docx", "A 8325-2021")</f>
        <v/>
      </c>
      <c r="Y74">
        <f>HYPERLINK("https://klasma.github.io/Logging_1763/tillsynsmail/A 8325-2021 tillsynsbegäran mail.docx", "A 8325-2021")</f>
        <v/>
      </c>
    </row>
    <row r="75" ht="15" customHeight="1">
      <c r="A75" t="inlineStr">
        <is>
          <t>A 23145-2021</t>
        </is>
      </c>
      <c r="B75" s="1" t="n">
        <v>44331</v>
      </c>
      <c r="C75" s="1" t="n">
        <v>45222</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 artfynd.xlsx", "A 23145-2021")</f>
        <v/>
      </c>
      <c r="T75">
        <f>HYPERLINK("https://klasma.github.io/Logging_1766/kartor/A 23145-2021 karta.png", "A 23145-2021")</f>
        <v/>
      </c>
      <c r="U75">
        <f>HYPERLINK("https://klasma.github.io/Logging_1766/knärot/A 23145-2021 karta knärot.png", "A 23145-2021")</f>
        <v/>
      </c>
      <c r="V75">
        <f>HYPERLINK("https://klasma.github.io/Logging_1766/klagomål/A 23145-2021 FSC-klagomål.docx", "A 23145-2021")</f>
        <v/>
      </c>
      <c r="W75">
        <f>HYPERLINK("https://klasma.github.io/Logging_1766/klagomålsmail/A 23145-2021 FSC-klagomål mail.docx", "A 23145-2021")</f>
        <v/>
      </c>
      <c r="X75">
        <f>HYPERLINK("https://klasma.github.io/Logging_1766/tillsyn/A 23145-2021 tillsynsbegäran.docx", "A 23145-2021")</f>
        <v/>
      </c>
      <c r="Y75">
        <f>HYPERLINK("https://klasma.github.io/Logging_1766/tillsynsmail/A 23145-2021 tillsynsbegäran mail.docx", "A 23145-2021")</f>
        <v/>
      </c>
    </row>
    <row r="76" ht="15" customHeight="1">
      <c r="A76" t="inlineStr">
        <is>
          <t>A 32762-2021</t>
        </is>
      </c>
      <c r="B76" s="1" t="n">
        <v>44375</v>
      </c>
      <c r="C76" s="1" t="n">
        <v>45222</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 artfynd.xlsx", "A 32762-2021")</f>
        <v/>
      </c>
      <c r="T76">
        <f>HYPERLINK("https://klasma.github.io/Logging_1765/kartor/A 32762-2021 karta.png", "A 32762-2021")</f>
        <v/>
      </c>
      <c r="V76">
        <f>HYPERLINK("https://klasma.github.io/Logging_1765/klagomål/A 32762-2021 FSC-klagomål.docx", "A 32762-2021")</f>
        <v/>
      </c>
      <c r="W76">
        <f>HYPERLINK("https://klasma.github.io/Logging_1765/klagomålsmail/A 32762-2021 FSC-klagomål mail.docx", "A 32762-2021")</f>
        <v/>
      </c>
      <c r="X76">
        <f>HYPERLINK("https://klasma.github.io/Logging_1765/tillsyn/A 32762-2021 tillsynsbegäran.docx", "A 32762-2021")</f>
        <v/>
      </c>
      <c r="Y76">
        <f>HYPERLINK("https://klasma.github.io/Logging_1765/tillsynsmail/A 32762-2021 tillsynsbegäran mail.docx", "A 32762-2021")</f>
        <v/>
      </c>
    </row>
    <row r="77" ht="15" customHeight="1">
      <c r="A77" t="inlineStr">
        <is>
          <t>A 36422-2021</t>
        </is>
      </c>
      <c r="B77" s="1" t="n">
        <v>44375</v>
      </c>
      <c r="C77" s="1" t="n">
        <v>45222</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 artfynd.xlsx", "A 36422-2021")</f>
        <v/>
      </c>
      <c r="T77">
        <f>HYPERLINK("https://klasma.github.io/Logging_1730/kartor/A 36422-2021 karta.png", "A 36422-2021")</f>
        <v/>
      </c>
      <c r="V77">
        <f>HYPERLINK("https://klasma.github.io/Logging_1730/klagomål/A 36422-2021 FSC-klagomål.docx", "A 36422-2021")</f>
        <v/>
      </c>
      <c r="W77">
        <f>HYPERLINK("https://klasma.github.io/Logging_1730/klagomålsmail/A 36422-2021 FSC-klagomål mail.docx", "A 36422-2021")</f>
        <v/>
      </c>
      <c r="X77">
        <f>HYPERLINK("https://klasma.github.io/Logging_1730/tillsyn/A 36422-2021 tillsynsbegäran.docx", "A 36422-2021")</f>
        <v/>
      </c>
      <c r="Y77">
        <f>HYPERLINK("https://klasma.github.io/Logging_1730/tillsynsmail/A 36422-2021 tillsynsbegäran mail.docx", "A 36422-2021")</f>
        <v/>
      </c>
    </row>
    <row r="78" ht="15" customHeight="1">
      <c r="A78" t="inlineStr">
        <is>
          <t>A 63807-2021</t>
        </is>
      </c>
      <c r="B78" s="1" t="n">
        <v>44509</v>
      </c>
      <c r="C78" s="1" t="n">
        <v>45222</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 artfynd.xlsx", "A 63807-2021")</f>
        <v/>
      </c>
      <c r="T78">
        <f>HYPERLINK("https://klasma.github.io/Logging_1766/kartor/A 63807-2021 karta.png", "A 63807-2021")</f>
        <v/>
      </c>
      <c r="V78">
        <f>HYPERLINK("https://klasma.github.io/Logging_1766/klagomål/A 63807-2021 FSC-klagomål.docx", "A 63807-2021")</f>
        <v/>
      </c>
      <c r="W78">
        <f>HYPERLINK("https://klasma.github.io/Logging_1766/klagomålsmail/A 63807-2021 FSC-klagomål mail.docx", "A 63807-2021")</f>
        <v/>
      </c>
      <c r="X78">
        <f>HYPERLINK("https://klasma.github.io/Logging_1766/tillsyn/A 63807-2021 tillsynsbegäran.docx", "A 63807-2021")</f>
        <v/>
      </c>
      <c r="Y78">
        <f>HYPERLINK("https://klasma.github.io/Logging_1766/tillsynsmail/A 63807-2021 tillsynsbegäran mail.docx", "A 63807-2021")</f>
        <v/>
      </c>
    </row>
    <row r="79" ht="15" customHeight="1">
      <c r="A79" t="inlineStr">
        <is>
          <t>A 17268-2022</t>
        </is>
      </c>
      <c r="B79" s="1" t="n">
        <v>44678</v>
      </c>
      <c r="C79" s="1" t="n">
        <v>45222</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 artfynd.xlsx", "A 17268-2022")</f>
        <v/>
      </c>
      <c r="T79">
        <f>HYPERLINK("https://klasma.github.io/Logging_1765/kartor/A 17268-2022 karta.png", "A 17268-2022")</f>
        <v/>
      </c>
      <c r="V79">
        <f>HYPERLINK("https://klasma.github.io/Logging_1765/klagomål/A 17268-2022 FSC-klagomål.docx", "A 17268-2022")</f>
        <v/>
      </c>
      <c r="W79">
        <f>HYPERLINK("https://klasma.github.io/Logging_1765/klagomålsmail/A 17268-2022 FSC-klagomål mail.docx", "A 17268-2022")</f>
        <v/>
      </c>
      <c r="X79">
        <f>HYPERLINK("https://klasma.github.io/Logging_1765/tillsyn/A 17268-2022 tillsynsbegäran.docx", "A 17268-2022")</f>
        <v/>
      </c>
      <c r="Y79">
        <f>HYPERLINK("https://klasma.github.io/Logging_1765/tillsynsmail/A 17268-2022 tillsynsbegäran mail.docx", "A 17268-2022")</f>
        <v/>
      </c>
    </row>
    <row r="80" ht="15" customHeight="1">
      <c r="A80" t="inlineStr">
        <is>
          <t>A 42501-2022</t>
        </is>
      </c>
      <c r="B80" s="1" t="n">
        <v>44831</v>
      </c>
      <c r="C80" s="1" t="n">
        <v>45222</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 artfynd.xlsx", "A 42501-2022")</f>
        <v/>
      </c>
      <c r="T80">
        <f>HYPERLINK("https://klasma.github.io/Logging_1737/kartor/A 42501-2022 karta.png", "A 42501-2022")</f>
        <v/>
      </c>
      <c r="V80">
        <f>HYPERLINK("https://klasma.github.io/Logging_1737/klagomål/A 42501-2022 FSC-klagomål.docx", "A 42501-2022")</f>
        <v/>
      </c>
      <c r="W80">
        <f>HYPERLINK("https://klasma.github.io/Logging_1737/klagomålsmail/A 42501-2022 FSC-klagomål mail.docx", "A 42501-2022")</f>
        <v/>
      </c>
      <c r="X80">
        <f>HYPERLINK("https://klasma.github.io/Logging_1737/tillsyn/A 42501-2022 tillsynsbegäran.docx", "A 42501-2022")</f>
        <v/>
      </c>
      <c r="Y80">
        <f>HYPERLINK("https://klasma.github.io/Logging_1737/tillsynsmail/A 42501-2022 tillsynsbegäran mail.docx", "A 42501-2022")</f>
        <v/>
      </c>
    </row>
    <row r="81" ht="15" customHeight="1">
      <c r="A81" t="inlineStr">
        <is>
          <t>A 54297-2022</t>
        </is>
      </c>
      <c r="B81" s="1" t="n">
        <v>44882</v>
      </c>
      <c r="C81" s="1" t="n">
        <v>45222</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 artfynd.xlsx", "A 54297-2022")</f>
        <v/>
      </c>
      <c r="T81">
        <f>HYPERLINK("https://klasma.github.io/Logging_1737/kartor/A 54297-2022 karta.png", "A 54297-2022")</f>
        <v/>
      </c>
      <c r="V81">
        <f>HYPERLINK("https://klasma.github.io/Logging_1737/klagomål/A 54297-2022 FSC-klagomål.docx", "A 54297-2022")</f>
        <v/>
      </c>
      <c r="W81">
        <f>HYPERLINK("https://klasma.github.io/Logging_1737/klagomålsmail/A 54297-2022 FSC-klagomål mail.docx", "A 54297-2022")</f>
        <v/>
      </c>
      <c r="X81">
        <f>HYPERLINK("https://klasma.github.io/Logging_1737/tillsyn/A 54297-2022 tillsynsbegäran.docx", "A 54297-2022")</f>
        <v/>
      </c>
      <c r="Y81">
        <f>HYPERLINK("https://klasma.github.io/Logging_1737/tillsynsmail/A 54297-2022 tillsynsbegäran mail.docx", "A 54297-2022")</f>
        <v/>
      </c>
    </row>
    <row r="82" ht="15" customHeight="1">
      <c r="A82" t="inlineStr">
        <is>
          <t>A 7484-2023</t>
        </is>
      </c>
      <c r="B82" s="1" t="n">
        <v>44971</v>
      </c>
      <c r="C82" s="1" t="n">
        <v>45222</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 artfynd.xlsx", "A 7484-2023")</f>
        <v/>
      </c>
      <c r="T82">
        <f>HYPERLINK("https://klasma.github.io/Logging_1780/kartor/A 7484-2023 karta.png", "A 7484-2023")</f>
        <v/>
      </c>
      <c r="V82">
        <f>HYPERLINK("https://klasma.github.io/Logging_1780/klagomål/A 7484-2023 FSC-klagomål.docx", "A 7484-2023")</f>
        <v/>
      </c>
      <c r="W82">
        <f>HYPERLINK("https://klasma.github.io/Logging_1780/klagomålsmail/A 7484-2023 FSC-klagomål mail.docx", "A 7484-2023")</f>
        <v/>
      </c>
      <c r="X82">
        <f>HYPERLINK("https://klasma.github.io/Logging_1780/tillsyn/A 7484-2023 tillsynsbegäran.docx", "A 7484-2023")</f>
        <v/>
      </c>
      <c r="Y82">
        <f>HYPERLINK("https://klasma.github.io/Logging_1780/tillsynsmail/A 7484-2023 tillsynsbegäran mail.docx", "A 7484-2023")</f>
        <v/>
      </c>
    </row>
    <row r="83" ht="15" customHeight="1">
      <c r="A83" t="inlineStr">
        <is>
          <t>A 16134-2023</t>
        </is>
      </c>
      <c r="B83" s="1" t="n">
        <v>45021</v>
      </c>
      <c r="C83" s="1" t="n">
        <v>45222</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 artfynd.xlsx", "A 16134-2023")</f>
        <v/>
      </c>
      <c r="T83">
        <f>HYPERLINK("https://klasma.github.io/Logging_1737/kartor/A 16134-2023 karta.png", "A 16134-2023")</f>
        <v/>
      </c>
      <c r="V83">
        <f>HYPERLINK("https://klasma.github.io/Logging_1737/klagomål/A 16134-2023 FSC-klagomål.docx", "A 16134-2023")</f>
        <v/>
      </c>
      <c r="W83">
        <f>HYPERLINK("https://klasma.github.io/Logging_1737/klagomålsmail/A 16134-2023 FSC-klagomål mail.docx", "A 16134-2023")</f>
        <v/>
      </c>
      <c r="X83">
        <f>HYPERLINK("https://klasma.github.io/Logging_1737/tillsyn/A 16134-2023 tillsynsbegäran.docx", "A 16134-2023")</f>
        <v/>
      </c>
      <c r="Y83">
        <f>HYPERLINK("https://klasma.github.io/Logging_1737/tillsynsmail/A 16134-2023 tillsynsbegäran mail.docx", "A 16134-2023")</f>
        <v/>
      </c>
    </row>
    <row r="84" ht="15" customHeight="1">
      <c r="A84" t="inlineStr">
        <is>
          <t>A 19980-2023</t>
        </is>
      </c>
      <c r="B84" s="1" t="n">
        <v>45051</v>
      </c>
      <c r="C84" s="1" t="n">
        <v>45222</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 artfynd.xlsx", "A 19980-2023")</f>
        <v/>
      </c>
      <c r="T84">
        <f>HYPERLINK("https://klasma.github.io/Logging_1765/kartor/A 19980-2023 karta.png", "A 19980-2023")</f>
        <v/>
      </c>
      <c r="V84">
        <f>HYPERLINK("https://klasma.github.io/Logging_1765/klagomål/A 19980-2023 FSC-klagomål.docx", "A 19980-2023")</f>
        <v/>
      </c>
      <c r="W84">
        <f>HYPERLINK("https://klasma.github.io/Logging_1765/klagomålsmail/A 19980-2023 FSC-klagomål mail.docx", "A 19980-2023")</f>
        <v/>
      </c>
      <c r="X84">
        <f>HYPERLINK("https://klasma.github.io/Logging_1765/tillsyn/A 19980-2023 tillsynsbegäran.docx", "A 19980-2023")</f>
        <v/>
      </c>
      <c r="Y84">
        <f>HYPERLINK("https://klasma.github.io/Logging_1765/tillsynsmail/A 19980-2023 tillsynsbegäran mail.docx", "A 19980-2023")</f>
        <v/>
      </c>
    </row>
    <row r="85" ht="15" customHeight="1">
      <c r="A85" t="inlineStr">
        <is>
          <t>A 41227-2023</t>
        </is>
      </c>
      <c r="B85" s="1" t="n">
        <v>45174</v>
      </c>
      <c r="C85" s="1" t="n">
        <v>45222</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 artfynd.xlsx", "A 41227-2023")</f>
        <v/>
      </c>
      <c r="T85">
        <f>HYPERLINK("https://klasma.github.io/Logging_1780/kartor/A 41227-2023 karta.png", "A 41227-2023")</f>
        <v/>
      </c>
      <c r="V85">
        <f>HYPERLINK("https://klasma.github.io/Logging_1780/klagomål/A 41227-2023 FSC-klagomål.docx", "A 41227-2023")</f>
        <v/>
      </c>
      <c r="W85">
        <f>HYPERLINK("https://klasma.github.io/Logging_1780/klagomålsmail/A 41227-2023 FSC-klagomål mail.docx", "A 41227-2023")</f>
        <v/>
      </c>
      <c r="X85">
        <f>HYPERLINK("https://klasma.github.io/Logging_1780/tillsyn/A 41227-2023 tillsynsbegäran.docx", "A 41227-2023")</f>
        <v/>
      </c>
      <c r="Y85">
        <f>HYPERLINK("https://klasma.github.io/Logging_1780/tillsynsmail/A 41227-2023 tillsynsbegäran mail.docx", "A 41227-2023")</f>
        <v/>
      </c>
    </row>
    <row r="86" ht="15" customHeight="1">
      <c r="A86" t="inlineStr">
        <is>
          <t>A 56910-2018</t>
        </is>
      </c>
      <c r="B86" s="1" t="n">
        <v>43395</v>
      </c>
      <c r="C86" s="1" t="n">
        <v>45222</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 artfynd.xlsx", "A 56910-2018")</f>
        <v/>
      </c>
      <c r="T86">
        <f>HYPERLINK("https://klasma.github.io/Logging_1737/kartor/A 56910-2018 karta.png", "A 56910-2018")</f>
        <v/>
      </c>
      <c r="V86">
        <f>HYPERLINK("https://klasma.github.io/Logging_1737/klagomål/A 56910-2018 FSC-klagomål.docx", "A 56910-2018")</f>
        <v/>
      </c>
      <c r="W86">
        <f>HYPERLINK("https://klasma.github.io/Logging_1737/klagomålsmail/A 56910-2018 FSC-klagomål mail.docx", "A 56910-2018")</f>
        <v/>
      </c>
      <c r="X86">
        <f>HYPERLINK("https://klasma.github.io/Logging_1737/tillsyn/A 56910-2018 tillsynsbegäran.docx", "A 56910-2018")</f>
        <v/>
      </c>
      <c r="Y86">
        <f>HYPERLINK("https://klasma.github.io/Logging_1737/tillsynsmail/A 56910-2018 tillsynsbegäran mail.docx", "A 56910-2018")</f>
        <v/>
      </c>
    </row>
    <row r="87" ht="15" customHeight="1">
      <c r="A87" t="inlineStr">
        <is>
          <t>A 63171-2018</t>
        </is>
      </c>
      <c r="B87" s="1" t="n">
        <v>43418</v>
      </c>
      <c r="C87" s="1" t="n">
        <v>45222</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 artfynd.xlsx", "A 63171-2018")</f>
        <v/>
      </c>
      <c r="T87">
        <f>HYPERLINK("https://klasma.github.io/Logging_1730/kartor/A 63171-2018 karta.png", "A 63171-2018")</f>
        <v/>
      </c>
      <c r="U87">
        <f>HYPERLINK("https://klasma.github.io/Logging_1730/knärot/A 63171-2018 karta knärot.png", "A 63171-2018")</f>
        <v/>
      </c>
      <c r="V87">
        <f>HYPERLINK("https://klasma.github.io/Logging_1730/klagomål/A 63171-2018 FSC-klagomål.docx", "A 63171-2018")</f>
        <v/>
      </c>
      <c r="W87">
        <f>HYPERLINK("https://klasma.github.io/Logging_1730/klagomålsmail/A 63171-2018 FSC-klagomål mail.docx", "A 63171-2018")</f>
        <v/>
      </c>
      <c r="X87">
        <f>HYPERLINK("https://klasma.github.io/Logging_1730/tillsyn/A 63171-2018 tillsynsbegäran.docx", "A 63171-2018")</f>
        <v/>
      </c>
      <c r="Y87">
        <f>HYPERLINK("https://klasma.github.io/Logging_1730/tillsynsmail/A 63171-2018 tillsynsbegäran mail.docx", "A 63171-2018")</f>
        <v/>
      </c>
    </row>
    <row r="88" ht="15" customHeight="1">
      <c r="A88" t="inlineStr">
        <is>
          <t>A 63195-2018</t>
        </is>
      </c>
      <c r="B88" s="1" t="n">
        <v>43418</v>
      </c>
      <c r="C88" s="1" t="n">
        <v>45222</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 artfynd.xlsx", "A 63195-2018")</f>
        <v/>
      </c>
      <c r="T88">
        <f>HYPERLINK("https://klasma.github.io/Logging_1784/kartor/A 63195-2018 karta.png", "A 63195-2018")</f>
        <v/>
      </c>
      <c r="V88">
        <f>HYPERLINK("https://klasma.github.io/Logging_1784/klagomål/A 63195-2018 FSC-klagomål.docx", "A 63195-2018")</f>
        <v/>
      </c>
      <c r="W88">
        <f>HYPERLINK("https://klasma.github.io/Logging_1784/klagomålsmail/A 63195-2018 FSC-klagomål mail.docx", "A 63195-2018")</f>
        <v/>
      </c>
      <c r="X88">
        <f>HYPERLINK("https://klasma.github.io/Logging_1784/tillsyn/A 63195-2018 tillsynsbegäran.docx", "A 63195-2018")</f>
        <v/>
      </c>
      <c r="Y88">
        <f>HYPERLINK("https://klasma.github.io/Logging_1784/tillsynsmail/A 63195-2018 tillsynsbegäran mail.docx", "A 63195-2018")</f>
        <v/>
      </c>
    </row>
    <row r="89" ht="15" customHeight="1">
      <c r="A89" t="inlineStr">
        <is>
          <t>A 64103-2018</t>
        </is>
      </c>
      <c r="B89" s="1" t="n">
        <v>43430</v>
      </c>
      <c r="C89" s="1" t="n">
        <v>45222</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 artfynd.xlsx", "A 64103-2018")</f>
        <v/>
      </c>
      <c r="T89">
        <f>HYPERLINK("https://klasma.github.io/Logging_1737/kartor/A 64103-2018 karta.png", "A 64103-2018")</f>
        <v/>
      </c>
      <c r="V89">
        <f>HYPERLINK("https://klasma.github.io/Logging_1737/klagomål/A 64103-2018 FSC-klagomål.docx", "A 64103-2018")</f>
        <v/>
      </c>
      <c r="W89">
        <f>HYPERLINK("https://klasma.github.io/Logging_1737/klagomålsmail/A 64103-2018 FSC-klagomål mail.docx", "A 64103-2018")</f>
        <v/>
      </c>
      <c r="X89">
        <f>HYPERLINK("https://klasma.github.io/Logging_1737/tillsyn/A 64103-2018 tillsynsbegäran.docx", "A 64103-2018")</f>
        <v/>
      </c>
      <c r="Y89">
        <f>HYPERLINK("https://klasma.github.io/Logging_1737/tillsynsmail/A 64103-2018 tillsynsbegäran mail.docx", "A 64103-2018")</f>
        <v/>
      </c>
    </row>
    <row r="90" ht="15" customHeight="1">
      <c r="A90" t="inlineStr">
        <is>
          <t>A 70664-2018</t>
        </is>
      </c>
      <c r="B90" s="1" t="n">
        <v>43448</v>
      </c>
      <c r="C90" s="1" t="n">
        <v>45222</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 artfynd.xlsx", "A 70664-2018")</f>
        <v/>
      </c>
      <c r="T90">
        <f>HYPERLINK("https://klasma.github.io/Logging_1780/kartor/A 70664-2018 karta.png", "A 70664-2018")</f>
        <v/>
      </c>
      <c r="V90">
        <f>HYPERLINK("https://klasma.github.io/Logging_1780/klagomål/A 70664-2018 FSC-klagomål.docx", "A 70664-2018")</f>
        <v/>
      </c>
      <c r="W90">
        <f>HYPERLINK("https://klasma.github.io/Logging_1780/klagomålsmail/A 70664-2018 FSC-klagomål mail.docx", "A 70664-2018")</f>
        <v/>
      </c>
      <c r="X90">
        <f>HYPERLINK("https://klasma.github.io/Logging_1780/tillsyn/A 70664-2018 tillsynsbegäran.docx", "A 70664-2018")</f>
        <v/>
      </c>
      <c r="Y90">
        <f>HYPERLINK("https://klasma.github.io/Logging_1780/tillsynsmail/A 70664-2018 tillsynsbegäran mail.docx", "A 70664-2018")</f>
        <v/>
      </c>
    </row>
    <row r="91" ht="15" customHeight="1">
      <c r="A91" t="inlineStr">
        <is>
          <t>A 14700-2019</t>
        </is>
      </c>
      <c r="B91" s="1" t="n">
        <v>43535</v>
      </c>
      <c r="C91" s="1" t="n">
        <v>45222</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 artfynd.xlsx", "A 14700-2019")</f>
        <v/>
      </c>
      <c r="T91">
        <f>HYPERLINK("https://klasma.github.io/Logging_1763/kartor/A 14700-2019 karta.png", "A 14700-2019")</f>
        <v/>
      </c>
      <c r="V91">
        <f>HYPERLINK("https://klasma.github.io/Logging_1763/klagomål/A 14700-2019 FSC-klagomål.docx", "A 14700-2019")</f>
        <v/>
      </c>
      <c r="W91">
        <f>HYPERLINK("https://klasma.github.io/Logging_1763/klagomålsmail/A 14700-2019 FSC-klagomål mail.docx", "A 14700-2019")</f>
        <v/>
      </c>
      <c r="X91">
        <f>HYPERLINK("https://klasma.github.io/Logging_1763/tillsyn/A 14700-2019 tillsynsbegäran.docx", "A 14700-2019")</f>
        <v/>
      </c>
      <c r="Y91">
        <f>HYPERLINK("https://klasma.github.io/Logging_1763/tillsynsmail/A 14700-2019 tillsynsbegäran mail.docx", "A 14700-2019")</f>
        <v/>
      </c>
    </row>
    <row r="92" ht="15" customHeight="1">
      <c r="A92" t="inlineStr">
        <is>
          <t>A 22865-2019</t>
        </is>
      </c>
      <c r="B92" s="1" t="n">
        <v>43591</v>
      </c>
      <c r="C92" s="1" t="n">
        <v>45222</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 artfynd.xlsx", "A 22865-2019")</f>
        <v/>
      </c>
      <c r="T92">
        <f>HYPERLINK("https://klasma.github.io/Logging_1780/kartor/A 22865-2019 karta.png", "A 22865-2019")</f>
        <v/>
      </c>
      <c r="V92">
        <f>HYPERLINK("https://klasma.github.io/Logging_1780/klagomål/A 22865-2019 FSC-klagomål.docx", "A 22865-2019")</f>
        <v/>
      </c>
      <c r="W92">
        <f>HYPERLINK("https://klasma.github.io/Logging_1780/klagomålsmail/A 22865-2019 FSC-klagomål mail.docx", "A 22865-2019")</f>
        <v/>
      </c>
      <c r="X92">
        <f>HYPERLINK("https://klasma.github.io/Logging_1780/tillsyn/A 22865-2019 tillsynsbegäran.docx", "A 22865-2019")</f>
        <v/>
      </c>
      <c r="Y92">
        <f>HYPERLINK("https://klasma.github.io/Logging_1780/tillsynsmail/A 22865-2019 tillsynsbegäran mail.docx", "A 22865-2019")</f>
        <v/>
      </c>
    </row>
    <row r="93" ht="15" customHeight="1">
      <c r="A93" t="inlineStr">
        <is>
          <t>A 23049-2019</t>
        </is>
      </c>
      <c r="B93" s="1" t="n">
        <v>43591</v>
      </c>
      <c r="C93" s="1" t="n">
        <v>45222</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 artfynd.xlsx", "A 23049-2019")</f>
        <v/>
      </c>
      <c r="T93">
        <f>HYPERLINK("https://klasma.github.io/Logging_1780/kartor/A 23049-2019 karta.png", "A 23049-2019")</f>
        <v/>
      </c>
      <c r="V93">
        <f>HYPERLINK("https://klasma.github.io/Logging_1780/klagomål/A 23049-2019 FSC-klagomål.docx", "A 23049-2019")</f>
        <v/>
      </c>
      <c r="W93">
        <f>HYPERLINK("https://klasma.github.io/Logging_1780/klagomålsmail/A 23049-2019 FSC-klagomål mail.docx", "A 23049-2019")</f>
        <v/>
      </c>
      <c r="X93">
        <f>HYPERLINK("https://klasma.github.io/Logging_1780/tillsyn/A 23049-2019 tillsynsbegäran.docx", "A 23049-2019")</f>
        <v/>
      </c>
      <c r="Y93">
        <f>HYPERLINK("https://klasma.github.io/Logging_1780/tillsynsmail/A 23049-2019 tillsynsbegäran mail.docx", "A 23049-2019")</f>
        <v/>
      </c>
    </row>
    <row r="94" ht="15" customHeight="1">
      <c r="A94" t="inlineStr">
        <is>
          <t>A 24010-2019</t>
        </is>
      </c>
      <c r="B94" s="1" t="n">
        <v>43598</v>
      </c>
      <c r="C94" s="1" t="n">
        <v>45222</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 artfynd.xlsx", "A 24010-2019")</f>
        <v/>
      </c>
      <c r="T94">
        <f>HYPERLINK("https://klasma.github.io/Logging_1737/kartor/A 24010-2019 karta.png", "A 24010-2019")</f>
        <v/>
      </c>
      <c r="V94">
        <f>HYPERLINK("https://klasma.github.io/Logging_1737/klagomål/A 24010-2019 FSC-klagomål.docx", "A 24010-2019")</f>
        <v/>
      </c>
      <c r="W94">
        <f>HYPERLINK("https://klasma.github.io/Logging_1737/klagomålsmail/A 24010-2019 FSC-klagomål mail.docx", "A 24010-2019")</f>
        <v/>
      </c>
      <c r="X94">
        <f>HYPERLINK("https://klasma.github.io/Logging_1737/tillsyn/A 24010-2019 tillsynsbegäran.docx", "A 24010-2019")</f>
        <v/>
      </c>
      <c r="Y94">
        <f>HYPERLINK("https://klasma.github.io/Logging_1737/tillsynsmail/A 24010-2019 tillsynsbegäran mail.docx", "A 24010-2019")</f>
        <v/>
      </c>
    </row>
    <row r="95" ht="15" customHeight="1">
      <c r="A95" t="inlineStr">
        <is>
          <t>A 26276-2019</t>
        </is>
      </c>
      <c r="B95" s="1" t="n">
        <v>43611</v>
      </c>
      <c r="C95" s="1" t="n">
        <v>45222</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 artfynd.xlsx", "A 26276-2019")</f>
        <v/>
      </c>
      <c r="T95">
        <f>HYPERLINK("https://klasma.github.io/Logging_1782/kartor/A 26276-2019 karta.png", "A 26276-2019")</f>
        <v/>
      </c>
      <c r="V95">
        <f>HYPERLINK("https://klasma.github.io/Logging_1782/klagomål/A 26276-2019 FSC-klagomål.docx", "A 26276-2019")</f>
        <v/>
      </c>
      <c r="W95">
        <f>HYPERLINK("https://klasma.github.io/Logging_1782/klagomålsmail/A 26276-2019 FSC-klagomål mail.docx", "A 26276-2019")</f>
        <v/>
      </c>
      <c r="X95">
        <f>HYPERLINK("https://klasma.github.io/Logging_1782/tillsyn/A 26276-2019 tillsynsbegäran.docx", "A 26276-2019")</f>
        <v/>
      </c>
      <c r="Y95">
        <f>HYPERLINK("https://klasma.github.io/Logging_1782/tillsynsmail/A 26276-2019 tillsynsbegäran mail.docx", "A 26276-2019")</f>
        <v/>
      </c>
    </row>
    <row r="96" ht="15" customHeight="1">
      <c r="A96" t="inlineStr">
        <is>
          <t>A 26919-2019</t>
        </is>
      </c>
      <c r="B96" s="1" t="n">
        <v>43613</v>
      </c>
      <c r="C96" s="1" t="n">
        <v>45222</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 artfynd.xlsx", "A 26919-2019")</f>
        <v/>
      </c>
      <c r="T96">
        <f>HYPERLINK("https://klasma.github.io/Logging_1737/kartor/A 26919-2019 karta.png", "A 26919-2019")</f>
        <v/>
      </c>
      <c r="V96">
        <f>HYPERLINK("https://klasma.github.io/Logging_1737/klagomål/A 26919-2019 FSC-klagomål.docx", "A 26919-2019")</f>
        <v/>
      </c>
      <c r="W96">
        <f>HYPERLINK("https://klasma.github.io/Logging_1737/klagomålsmail/A 26919-2019 FSC-klagomål mail.docx", "A 26919-2019")</f>
        <v/>
      </c>
      <c r="X96">
        <f>HYPERLINK("https://klasma.github.io/Logging_1737/tillsyn/A 26919-2019 tillsynsbegäran.docx", "A 26919-2019")</f>
        <v/>
      </c>
      <c r="Y96">
        <f>HYPERLINK("https://klasma.github.io/Logging_1737/tillsynsmail/A 26919-2019 tillsynsbegäran mail.docx", "A 26919-2019")</f>
        <v/>
      </c>
    </row>
    <row r="97" ht="15" customHeight="1">
      <c r="A97" t="inlineStr">
        <is>
          <t>A 32928-2019</t>
        </is>
      </c>
      <c r="B97" s="1" t="n">
        <v>43648</v>
      </c>
      <c r="C97" s="1" t="n">
        <v>45222</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 artfynd.xlsx", "A 32928-2019")</f>
        <v/>
      </c>
      <c r="T97">
        <f>HYPERLINK("https://klasma.github.io/Logging_1737/kartor/A 32928-2019 karta.png", "A 32928-2019")</f>
        <v/>
      </c>
      <c r="V97">
        <f>HYPERLINK("https://klasma.github.io/Logging_1737/klagomål/A 32928-2019 FSC-klagomål.docx", "A 32928-2019")</f>
        <v/>
      </c>
      <c r="W97">
        <f>HYPERLINK("https://klasma.github.io/Logging_1737/klagomålsmail/A 32928-2019 FSC-klagomål mail.docx", "A 32928-2019")</f>
        <v/>
      </c>
      <c r="X97">
        <f>HYPERLINK("https://klasma.github.io/Logging_1737/tillsyn/A 32928-2019 tillsynsbegäran.docx", "A 32928-2019")</f>
        <v/>
      </c>
      <c r="Y97">
        <f>HYPERLINK("https://klasma.github.io/Logging_1737/tillsynsmail/A 32928-2019 tillsynsbegäran mail.docx", "A 32928-2019")</f>
        <v/>
      </c>
    </row>
    <row r="98" ht="15" customHeight="1">
      <c r="A98" t="inlineStr">
        <is>
          <t>A 38932-2019</t>
        </is>
      </c>
      <c r="B98" s="1" t="n">
        <v>43689</v>
      </c>
      <c r="C98" s="1" t="n">
        <v>45222</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 artfynd.xlsx", "A 38932-2019")</f>
        <v/>
      </c>
      <c r="T98">
        <f>HYPERLINK("https://klasma.github.io/Logging_1737/kartor/A 38932-2019 karta.png", "A 38932-2019")</f>
        <v/>
      </c>
      <c r="V98">
        <f>HYPERLINK("https://klasma.github.io/Logging_1737/klagomål/A 38932-2019 FSC-klagomål.docx", "A 38932-2019")</f>
        <v/>
      </c>
      <c r="W98">
        <f>HYPERLINK("https://klasma.github.io/Logging_1737/klagomålsmail/A 38932-2019 FSC-klagomål mail.docx", "A 38932-2019")</f>
        <v/>
      </c>
      <c r="X98">
        <f>HYPERLINK("https://klasma.github.io/Logging_1737/tillsyn/A 38932-2019 tillsynsbegäran.docx", "A 38932-2019")</f>
        <v/>
      </c>
      <c r="Y98">
        <f>HYPERLINK("https://klasma.github.io/Logging_1737/tillsynsmail/A 38932-2019 tillsynsbegäran mail.docx", "A 38932-2019")</f>
        <v/>
      </c>
    </row>
    <row r="99" ht="15" customHeight="1">
      <c r="A99" t="inlineStr">
        <is>
          <t>A 56475-2019</t>
        </is>
      </c>
      <c r="B99" s="1" t="n">
        <v>43762</v>
      </c>
      <c r="C99" s="1" t="n">
        <v>45222</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 artfynd.xlsx", "A 56475-2019")</f>
        <v/>
      </c>
      <c r="T99">
        <f>HYPERLINK("https://klasma.github.io/Logging_1780/kartor/A 56475-2019 karta.png", "A 56475-2019")</f>
        <v/>
      </c>
      <c r="V99">
        <f>HYPERLINK("https://klasma.github.io/Logging_1780/klagomål/A 56475-2019 FSC-klagomål.docx", "A 56475-2019")</f>
        <v/>
      </c>
      <c r="W99">
        <f>HYPERLINK("https://klasma.github.io/Logging_1780/klagomålsmail/A 56475-2019 FSC-klagomål mail.docx", "A 56475-2019")</f>
        <v/>
      </c>
      <c r="X99">
        <f>HYPERLINK("https://klasma.github.io/Logging_1780/tillsyn/A 56475-2019 tillsynsbegäran.docx", "A 56475-2019")</f>
        <v/>
      </c>
      <c r="Y99">
        <f>HYPERLINK("https://klasma.github.io/Logging_1780/tillsynsmail/A 56475-2019 tillsynsbegäran mail.docx", "A 56475-2019")</f>
        <v/>
      </c>
    </row>
    <row r="100" ht="15" customHeight="1">
      <c r="A100" t="inlineStr">
        <is>
          <t>A 5520-2020</t>
        </is>
      </c>
      <c r="B100" s="1" t="n">
        <v>43861</v>
      </c>
      <c r="C100" s="1" t="n">
        <v>45222</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 artfynd.xlsx", "A 5520-2020")</f>
        <v/>
      </c>
      <c r="T100">
        <f>HYPERLINK("https://klasma.github.io/Logging_1780/kartor/A 5520-2020 karta.png", "A 5520-2020")</f>
        <v/>
      </c>
      <c r="V100">
        <f>HYPERLINK("https://klasma.github.io/Logging_1780/klagomål/A 5520-2020 FSC-klagomål.docx", "A 5520-2020")</f>
        <v/>
      </c>
      <c r="W100">
        <f>HYPERLINK("https://klasma.github.io/Logging_1780/klagomålsmail/A 5520-2020 FSC-klagomål mail.docx", "A 5520-2020")</f>
        <v/>
      </c>
      <c r="X100">
        <f>HYPERLINK("https://klasma.github.io/Logging_1780/tillsyn/A 5520-2020 tillsynsbegäran.docx", "A 5520-2020")</f>
        <v/>
      </c>
      <c r="Y100">
        <f>HYPERLINK("https://klasma.github.io/Logging_1780/tillsynsmail/A 5520-2020 tillsynsbegäran mail.docx", "A 5520-2020")</f>
        <v/>
      </c>
    </row>
    <row r="101" ht="15" customHeight="1">
      <c r="A101" t="inlineStr">
        <is>
          <t>A 10035-2020</t>
        </is>
      </c>
      <c r="B101" s="1" t="n">
        <v>43882</v>
      </c>
      <c r="C101" s="1" t="n">
        <v>45222</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 artfynd.xlsx", "A 10035-2020")</f>
        <v/>
      </c>
      <c r="T101">
        <f>HYPERLINK("https://klasma.github.io/Logging_1737/kartor/A 10035-2020 karta.png", "A 10035-2020")</f>
        <v/>
      </c>
      <c r="V101">
        <f>HYPERLINK("https://klasma.github.io/Logging_1737/klagomål/A 10035-2020 FSC-klagomål.docx", "A 10035-2020")</f>
        <v/>
      </c>
      <c r="W101">
        <f>HYPERLINK("https://klasma.github.io/Logging_1737/klagomålsmail/A 10035-2020 FSC-klagomål mail.docx", "A 10035-2020")</f>
        <v/>
      </c>
      <c r="X101">
        <f>HYPERLINK("https://klasma.github.io/Logging_1737/tillsyn/A 10035-2020 tillsynsbegäran.docx", "A 10035-2020")</f>
        <v/>
      </c>
      <c r="Y101">
        <f>HYPERLINK("https://klasma.github.io/Logging_1737/tillsynsmail/A 10035-2020 tillsynsbegäran mail.docx", "A 10035-2020")</f>
        <v/>
      </c>
    </row>
    <row r="102" ht="15" customHeight="1">
      <c r="A102" t="inlineStr">
        <is>
          <t>A 17212-2020</t>
        </is>
      </c>
      <c r="B102" s="1" t="n">
        <v>43922</v>
      </c>
      <c r="C102" s="1" t="n">
        <v>45222</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 artfynd.xlsx", "A 17212-2020")</f>
        <v/>
      </c>
      <c r="T102">
        <f>HYPERLINK("https://klasma.github.io/Logging_1765/kartor/A 17212-2020 karta.png", "A 17212-2020")</f>
        <v/>
      </c>
      <c r="U102">
        <f>HYPERLINK("https://klasma.github.io/Logging_1765/knärot/A 17212-2020 karta knärot.png", "A 17212-2020")</f>
        <v/>
      </c>
      <c r="V102">
        <f>HYPERLINK("https://klasma.github.io/Logging_1765/klagomål/A 17212-2020 FSC-klagomål.docx", "A 17212-2020")</f>
        <v/>
      </c>
      <c r="W102">
        <f>HYPERLINK("https://klasma.github.io/Logging_1765/klagomålsmail/A 17212-2020 FSC-klagomål mail.docx", "A 17212-2020")</f>
        <v/>
      </c>
      <c r="X102">
        <f>HYPERLINK("https://klasma.github.io/Logging_1765/tillsyn/A 17212-2020 tillsynsbegäran.docx", "A 17212-2020")</f>
        <v/>
      </c>
      <c r="Y102">
        <f>HYPERLINK("https://klasma.github.io/Logging_1765/tillsynsmail/A 17212-2020 tillsynsbegäran mail.docx", "A 17212-2020")</f>
        <v/>
      </c>
    </row>
    <row r="103" ht="15" customHeight="1">
      <c r="A103" t="inlineStr">
        <is>
          <t>A 27265-2020</t>
        </is>
      </c>
      <c r="B103" s="1" t="n">
        <v>43992</v>
      </c>
      <c r="C103" s="1" t="n">
        <v>45222</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 artfynd.xlsx", "A 27265-2020")</f>
        <v/>
      </c>
      <c r="T103">
        <f>HYPERLINK("https://klasma.github.io/Logging_1737/kartor/A 27265-2020 karta.png", "A 27265-2020")</f>
        <v/>
      </c>
      <c r="V103">
        <f>HYPERLINK("https://klasma.github.io/Logging_1737/klagomål/A 27265-2020 FSC-klagomål.docx", "A 27265-2020")</f>
        <v/>
      </c>
      <c r="W103">
        <f>HYPERLINK("https://klasma.github.io/Logging_1737/klagomålsmail/A 27265-2020 FSC-klagomål mail.docx", "A 27265-2020")</f>
        <v/>
      </c>
      <c r="X103">
        <f>HYPERLINK("https://klasma.github.io/Logging_1737/tillsyn/A 27265-2020 tillsynsbegäran.docx", "A 27265-2020")</f>
        <v/>
      </c>
      <c r="Y103">
        <f>HYPERLINK("https://klasma.github.io/Logging_1737/tillsynsmail/A 27265-2020 tillsynsbegäran mail.docx", "A 27265-2020")</f>
        <v/>
      </c>
    </row>
    <row r="104" ht="15" customHeight="1">
      <c r="A104" t="inlineStr">
        <is>
          <t>A 34055-2020</t>
        </is>
      </c>
      <c r="B104" s="1" t="n">
        <v>44026</v>
      </c>
      <c r="C104" s="1" t="n">
        <v>45222</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 artfynd.xlsx", "A 34055-2020")</f>
        <v/>
      </c>
      <c r="T104">
        <f>HYPERLINK("https://klasma.github.io/Logging_1784/kartor/A 34055-2020 karta.png", "A 34055-2020")</f>
        <v/>
      </c>
      <c r="V104">
        <f>HYPERLINK("https://klasma.github.io/Logging_1784/klagomål/A 34055-2020 FSC-klagomål.docx", "A 34055-2020")</f>
        <v/>
      </c>
      <c r="W104">
        <f>HYPERLINK("https://klasma.github.io/Logging_1784/klagomålsmail/A 34055-2020 FSC-klagomål mail.docx", "A 34055-2020")</f>
        <v/>
      </c>
      <c r="X104">
        <f>HYPERLINK("https://klasma.github.io/Logging_1784/tillsyn/A 34055-2020 tillsynsbegäran.docx", "A 34055-2020")</f>
        <v/>
      </c>
      <c r="Y104">
        <f>HYPERLINK("https://klasma.github.io/Logging_1784/tillsynsmail/A 34055-2020 tillsynsbegäran mail.docx", "A 34055-2020")</f>
        <v/>
      </c>
    </row>
    <row r="105" ht="15" customHeight="1">
      <c r="A105" t="inlineStr">
        <is>
          <t>A 40945-2020</t>
        </is>
      </c>
      <c r="B105" s="1" t="n">
        <v>44070</v>
      </c>
      <c r="C105" s="1" t="n">
        <v>45222</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 artfynd.xlsx", "A 40945-2020")</f>
        <v/>
      </c>
      <c r="T105">
        <f>HYPERLINK("https://klasma.github.io/Logging_1780/kartor/A 40945-2020 karta.png", "A 40945-2020")</f>
        <v/>
      </c>
      <c r="U105">
        <f>HYPERLINK("https://klasma.github.io/Logging_1780/knärot/A 40945-2020 karta knärot.png", "A 40945-2020")</f>
        <v/>
      </c>
      <c r="V105">
        <f>HYPERLINK("https://klasma.github.io/Logging_1780/klagomål/A 40945-2020 FSC-klagomål.docx", "A 40945-2020")</f>
        <v/>
      </c>
      <c r="W105">
        <f>HYPERLINK("https://klasma.github.io/Logging_1780/klagomålsmail/A 40945-2020 FSC-klagomål mail.docx", "A 40945-2020")</f>
        <v/>
      </c>
      <c r="X105">
        <f>HYPERLINK("https://klasma.github.io/Logging_1780/tillsyn/A 40945-2020 tillsynsbegäran.docx", "A 40945-2020")</f>
        <v/>
      </c>
      <c r="Y105">
        <f>HYPERLINK("https://klasma.github.io/Logging_1780/tillsynsmail/A 40945-2020 tillsynsbegäran mail.docx", "A 40945-2020")</f>
        <v/>
      </c>
    </row>
    <row r="106" ht="15" customHeight="1">
      <c r="A106" t="inlineStr">
        <is>
          <t>A 46200-2020</t>
        </is>
      </c>
      <c r="B106" s="1" t="n">
        <v>44092</v>
      </c>
      <c r="C106" s="1" t="n">
        <v>45222</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 artfynd.xlsx", "A 46200-2020")</f>
        <v/>
      </c>
      <c r="T106">
        <f>HYPERLINK("https://klasma.github.io/Logging_1737/kartor/A 46200-2020 karta.png", "A 46200-2020")</f>
        <v/>
      </c>
      <c r="V106">
        <f>HYPERLINK("https://klasma.github.io/Logging_1737/klagomål/A 46200-2020 FSC-klagomål.docx", "A 46200-2020")</f>
        <v/>
      </c>
      <c r="W106">
        <f>HYPERLINK("https://klasma.github.io/Logging_1737/klagomålsmail/A 46200-2020 FSC-klagomål mail.docx", "A 46200-2020")</f>
        <v/>
      </c>
      <c r="X106">
        <f>HYPERLINK("https://klasma.github.io/Logging_1737/tillsyn/A 46200-2020 tillsynsbegäran.docx", "A 46200-2020")</f>
        <v/>
      </c>
      <c r="Y106">
        <f>HYPERLINK("https://klasma.github.io/Logging_1737/tillsynsmail/A 46200-2020 tillsynsbegäran mail.docx", "A 46200-2020")</f>
        <v/>
      </c>
    </row>
    <row r="107" ht="15" customHeight="1">
      <c r="A107" t="inlineStr">
        <is>
          <t>A 63491-2020</t>
        </is>
      </c>
      <c r="B107" s="1" t="n">
        <v>44165</v>
      </c>
      <c r="C107" s="1" t="n">
        <v>45222</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 artfynd.xlsx", "A 63491-2020")</f>
        <v/>
      </c>
      <c r="T107">
        <f>HYPERLINK("https://klasma.github.io/Logging_1766/kartor/A 63491-2020 karta.png", "A 63491-2020")</f>
        <v/>
      </c>
      <c r="V107">
        <f>HYPERLINK("https://klasma.github.io/Logging_1766/klagomål/A 63491-2020 FSC-klagomål.docx", "A 63491-2020")</f>
        <v/>
      </c>
      <c r="W107">
        <f>HYPERLINK("https://klasma.github.io/Logging_1766/klagomålsmail/A 63491-2020 FSC-klagomål mail.docx", "A 63491-2020")</f>
        <v/>
      </c>
      <c r="X107">
        <f>HYPERLINK("https://klasma.github.io/Logging_1766/tillsyn/A 63491-2020 tillsynsbegäran.docx", "A 63491-2020")</f>
        <v/>
      </c>
      <c r="Y107">
        <f>HYPERLINK("https://klasma.github.io/Logging_1766/tillsynsmail/A 63491-2020 tillsynsbegäran mail.docx", "A 63491-2020")</f>
        <v/>
      </c>
    </row>
    <row r="108" ht="15" customHeight="1">
      <c r="A108" t="inlineStr">
        <is>
          <t>A 4555-2021</t>
        </is>
      </c>
      <c r="B108" s="1" t="n">
        <v>44224</v>
      </c>
      <c r="C108" s="1" t="n">
        <v>45222</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 artfynd.xlsx", "A 4555-2021")</f>
        <v/>
      </c>
      <c r="T108">
        <f>HYPERLINK("https://klasma.github.io/Logging_1737/kartor/A 4555-2021 karta.png", "A 4555-2021")</f>
        <v/>
      </c>
      <c r="V108">
        <f>HYPERLINK("https://klasma.github.io/Logging_1737/klagomål/A 4555-2021 FSC-klagomål.docx", "A 4555-2021")</f>
        <v/>
      </c>
      <c r="W108">
        <f>HYPERLINK("https://klasma.github.io/Logging_1737/klagomålsmail/A 4555-2021 FSC-klagomål mail.docx", "A 4555-2021")</f>
        <v/>
      </c>
      <c r="X108">
        <f>HYPERLINK("https://klasma.github.io/Logging_1737/tillsyn/A 4555-2021 tillsynsbegäran.docx", "A 4555-2021")</f>
        <v/>
      </c>
      <c r="Y108">
        <f>HYPERLINK("https://klasma.github.io/Logging_1737/tillsynsmail/A 4555-2021 tillsynsbegäran mail.docx", "A 4555-2021")</f>
        <v/>
      </c>
    </row>
    <row r="109" ht="15" customHeight="1">
      <c r="A109" t="inlineStr">
        <is>
          <t>A 16545-2021</t>
        </is>
      </c>
      <c r="B109" s="1" t="n">
        <v>44293</v>
      </c>
      <c r="C109" s="1" t="n">
        <v>45222</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 artfynd.xlsx", "A 16545-2021")</f>
        <v/>
      </c>
      <c r="T109">
        <f>HYPERLINK("https://klasma.github.io/Logging_1737/kartor/A 16545-2021 karta.png", "A 16545-2021")</f>
        <v/>
      </c>
      <c r="V109">
        <f>HYPERLINK("https://klasma.github.io/Logging_1737/klagomål/A 16545-2021 FSC-klagomål.docx", "A 16545-2021")</f>
        <v/>
      </c>
      <c r="W109">
        <f>HYPERLINK("https://klasma.github.io/Logging_1737/klagomålsmail/A 16545-2021 FSC-klagomål mail.docx", "A 16545-2021")</f>
        <v/>
      </c>
      <c r="X109">
        <f>HYPERLINK("https://klasma.github.io/Logging_1737/tillsyn/A 16545-2021 tillsynsbegäran.docx", "A 16545-2021")</f>
        <v/>
      </c>
      <c r="Y109">
        <f>HYPERLINK("https://klasma.github.io/Logging_1737/tillsynsmail/A 16545-2021 tillsynsbegäran mail.docx", "A 16545-2021")</f>
        <v/>
      </c>
    </row>
    <row r="110" ht="15" customHeight="1">
      <c r="A110" t="inlineStr">
        <is>
          <t>A 24836-2021</t>
        </is>
      </c>
      <c r="B110" s="1" t="n">
        <v>44340</v>
      </c>
      <c r="C110" s="1" t="n">
        <v>45222</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 artfynd.xlsx", "A 24836-2021")</f>
        <v/>
      </c>
      <c r="T110">
        <f>HYPERLINK("https://klasma.github.io/Logging_1766/kartor/A 24836-2021 karta.png", "A 24836-2021")</f>
        <v/>
      </c>
      <c r="V110">
        <f>HYPERLINK("https://klasma.github.io/Logging_1766/klagomål/A 24836-2021 FSC-klagomål.docx", "A 24836-2021")</f>
        <v/>
      </c>
      <c r="W110">
        <f>HYPERLINK("https://klasma.github.io/Logging_1766/klagomålsmail/A 24836-2021 FSC-klagomål mail.docx", "A 24836-2021")</f>
        <v/>
      </c>
      <c r="X110">
        <f>HYPERLINK("https://klasma.github.io/Logging_1766/tillsyn/A 24836-2021 tillsynsbegäran.docx", "A 24836-2021")</f>
        <v/>
      </c>
      <c r="Y110">
        <f>HYPERLINK("https://klasma.github.io/Logging_1766/tillsynsmail/A 24836-2021 tillsynsbegäran mail.docx", "A 24836-2021")</f>
        <v/>
      </c>
    </row>
    <row r="111" ht="15" customHeight="1">
      <c r="A111" t="inlineStr">
        <is>
          <t>A 28169-2021</t>
        </is>
      </c>
      <c r="B111" s="1" t="n">
        <v>44355</v>
      </c>
      <c r="C111" s="1" t="n">
        <v>45222</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 artfynd.xlsx", "A 28169-2021")</f>
        <v/>
      </c>
      <c r="T111">
        <f>HYPERLINK("https://klasma.github.io/Logging_1782/kartor/A 28169-2021 karta.png", "A 28169-2021")</f>
        <v/>
      </c>
      <c r="U111">
        <f>HYPERLINK("https://klasma.github.io/Logging_1782/knärot/A 28169-2021 karta knärot.png", "A 28169-2021")</f>
        <v/>
      </c>
      <c r="V111">
        <f>HYPERLINK("https://klasma.github.io/Logging_1782/klagomål/A 28169-2021 FSC-klagomål.docx", "A 28169-2021")</f>
        <v/>
      </c>
      <c r="W111">
        <f>HYPERLINK("https://klasma.github.io/Logging_1782/klagomålsmail/A 28169-2021 FSC-klagomål mail.docx", "A 28169-2021")</f>
        <v/>
      </c>
      <c r="X111">
        <f>HYPERLINK("https://klasma.github.io/Logging_1782/tillsyn/A 28169-2021 tillsynsbegäran.docx", "A 28169-2021")</f>
        <v/>
      </c>
      <c r="Y111">
        <f>HYPERLINK("https://klasma.github.io/Logging_1782/tillsynsmail/A 28169-2021 tillsynsbegäran mail.docx", "A 28169-2021")</f>
        <v/>
      </c>
    </row>
    <row r="112" ht="15" customHeight="1">
      <c r="A112" t="inlineStr">
        <is>
          <t>A 36377-2021</t>
        </is>
      </c>
      <c r="B112" s="1" t="n">
        <v>44375</v>
      </c>
      <c r="C112" s="1" t="n">
        <v>45222</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 artfynd.xlsx", "A 36377-2021")</f>
        <v/>
      </c>
      <c r="T112">
        <f>HYPERLINK("https://klasma.github.io/Logging_1730/kartor/A 36377-2021 karta.png", "A 36377-2021")</f>
        <v/>
      </c>
      <c r="V112">
        <f>HYPERLINK("https://klasma.github.io/Logging_1730/klagomål/A 36377-2021 FSC-klagomål.docx", "A 36377-2021")</f>
        <v/>
      </c>
      <c r="W112">
        <f>HYPERLINK("https://klasma.github.io/Logging_1730/klagomålsmail/A 36377-2021 FSC-klagomål mail.docx", "A 36377-2021")</f>
        <v/>
      </c>
      <c r="X112">
        <f>HYPERLINK("https://klasma.github.io/Logging_1730/tillsyn/A 36377-2021 tillsynsbegäran.docx", "A 36377-2021")</f>
        <v/>
      </c>
      <c r="Y112">
        <f>HYPERLINK("https://klasma.github.io/Logging_1730/tillsynsmail/A 36377-2021 tillsynsbegäran mail.docx", "A 36377-2021")</f>
        <v/>
      </c>
    </row>
    <row r="113" ht="15" customHeight="1">
      <c r="A113" t="inlineStr">
        <is>
          <t>A 33327-2021</t>
        </is>
      </c>
      <c r="B113" s="1" t="n">
        <v>44377</v>
      </c>
      <c r="C113" s="1" t="n">
        <v>45222</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 artfynd.xlsx", "A 33327-2021")</f>
        <v/>
      </c>
      <c r="T113">
        <f>HYPERLINK("https://klasma.github.io/Logging_1765/kartor/A 33327-2021 karta.png", "A 33327-2021")</f>
        <v/>
      </c>
      <c r="U113">
        <f>HYPERLINK("https://klasma.github.io/Logging_1765/knärot/A 33327-2021 karta knärot.png", "A 33327-2021")</f>
        <v/>
      </c>
      <c r="V113">
        <f>HYPERLINK("https://klasma.github.io/Logging_1765/klagomål/A 33327-2021 FSC-klagomål.docx", "A 33327-2021")</f>
        <v/>
      </c>
      <c r="W113">
        <f>HYPERLINK("https://klasma.github.io/Logging_1765/klagomålsmail/A 33327-2021 FSC-klagomål mail.docx", "A 33327-2021")</f>
        <v/>
      </c>
      <c r="X113">
        <f>HYPERLINK("https://klasma.github.io/Logging_1765/tillsyn/A 33327-2021 tillsynsbegäran.docx", "A 33327-2021")</f>
        <v/>
      </c>
      <c r="Y113">
        <f>HYPERLINK("https://klasma.github.io/Logging_1765/tillsynsmail/A 33327-2021 tillsynsbegäran mail.docx", "A 33327-2021")</f>
        <v/>
      </c>
    </row>
    <row r="114" ht="15" customHeight="1">
      <c r="A114" t="inlineStr">
        <is>
          <t>A 63880-2021</t>
        </is>
      </c>
      <c r="B114" s="1" t="n">
        <v>44509</v>
      </c>
      <c r="C114" s="1" t="n">
        <v>45222</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 artfynd.xlsx", "A 63880-2021")</f>
        <v/>
      </c>
      <c r="T114">
        <f>HYPERLINK("https://klasma.github.io/Logging_1784/kartor/A 63880-2021 karta.png", "A 63880-2021")</f>
        <v/>
      </c>
      <c r="V114">
        <f>HYPERLINK("https://klasma.github.io/Logging_1784/klagomål/A 63880-2021 FSC-klagomål.docx", "A 63880-2021")</f>
        <v/>
      </c>
      <c r="W114">
        <f>HYPERLINK("https://klasma.github.io/Logging_1784/klagomålsmail/A 63880-2021 FSC-klagomål mail.docx", "A 63880-2021")</f>
        <v/>
      </c>
      <c r="X114">
        <f>HYPERLINK("https://klasma.github.io/Logging_1784/tillsyn/A 63880-2021 tillsynsbegäran.docx", "A 63880-2021")</f>
        <v/>
      </c>
      <c r="Y114">
        <f>HYPERLINK("https://klasma.github.io/Logging_1784/tillsynsmail/A 63880-2021 tillsynsbegäran mail.docx", "A 63880-2021")</f>
        <v/>
      </c>
    </row>
    <row r="115" ht="15" customHeight="1">
      <c r="A115" t="inlineStr">
        <is>
          <t>A 67528-2021</t>
        </is>
      </c>
      <c r="B115" s="1" t="n">
        <v>44524</v>
      </c>
      <c r="C115" s="1" t="n">
        <v>45222</v>
      </c>
      <c r="D115" t="inlineStr">
        <is>
          <t>VÄRMLANDS LÄN</t>
        </is>
      </c>
      <c r="E115" t="inlineStr">
        <is>
          <t>TORSBY</t>
        </is>
      </c>
      <c r="G115" t="n">
        <v>47</v>
      </c>
      <c r="H115" t="n">
        <v>1</v>
      </c>
      <c r="I115" t="n">
        <v>1</v>
      </c>
      <c r="J115" t="n">
        <v>1</v>
      </c>
      <c r="K115" t="n">
        <v>0</v>
      </c>
      <c r="L115" t="n">
        <v>0</v>
      </c>
      <c r="M115" t="n">
        <v>0</v>
      </c>
      <c r="N115" t="n">
        <v>0</v>
      </c>
      <c r="O115" t="n">
        <v>1</v>
      </c>
      <c r="P115" t="n">
        <v>0</v>
      </c>
      <c r="Q115" t="n">
        <v>3</v>
      </c>
      <c r="R115" s="2" t="inlineStr">
        <is>
          <t>Garnlav
Vedticka
Tjäder</t>
        </is>
      </c>
      <c r="S115">
        <f>HYPERLINK("https://klasma.github.io/Logging_1737/artfynd/A 67528-2021 artfynd.xlsx", "A 67528-2021")</f>
        <v/>
      </c>
      <c r="T115">
        <f>HYPERLINK("https://klasma.github.io/Logging_1737/kartor/A 67528-2021 karta.png", "A 67528-2021")</f>
        <v/>
      </c>
      <c r="V115">
        <f>HYPERLINK("https://klasma.github.io/Logging_1737/klagomål/A 67528-2021 FSC-klagomål.docx", "A 67528-2021")</f>
        <v/>
      </c>
      <c r="W115">
        <f>HYPERLINK("https://klasma.github.io/Logging_1737/klagomålsmail/A 67528-2021 FSC-klagomål mail.docx", "A 67528-2021")</f>
        <v/>
      </c>
      <c r="X115">
        <f>HYPERLINK("https://klasma.github.io/Logging_1737/tillsyn/A 67528-2021 tillsynsbegäran.docx", "A 67528-2021")</f>
        <v/>
      </c>
      <c r="Y115">
        <f>HYPERLINK("https://klasma.github.io/Logging_1737/tillsynsmail/A 67528-2021 tillsynsbegäran mail.docx", "A 67528-2021")</f>
        <v/>
      </c>
    </row>
    <row r="116" ht="15" customHeight="1">
      <c r="A116" t="inlineStr">
        <is>
          <t>A 70301-2021</t>
        </is>
      </c>
      <c r="B116" s="1" t="n">
        <v>44536</v>
      </c>
      <c r="C116" s="1" t="n">
        <v>45222</v>
      </c>
      <c r="D116" t="inlineStr">
        <is>
          <t>VÄRMLANDS LÄN</t>
        </is>
      </c>
      <c r="E116" t="inlineStr">
        <is>
          <t>TORSBY</t>
        </is>
      </c>
      <c r="G116" t="n">
        <v>1</v>
      </c>
      <c r="H116" t="n">
        <v>0</v>
      </c>
      <c r="I116" t="n">
        <v>1</v>
      </c>
      <c r="J116" t="n">
        <v>2</v>
      </c>
      <c r="K116" t="n">
        <v>0</v>
      </c>
      <c r="L116" t="n">
        <v>0</v>
      </c>
      <c r="M116" t="n">
        <v>0</v>
      </c>
      <c r="N116" t="n">
        <v>0</v>
      </c>
      <c r="O116" t="n">
        <v>2</v>
      </c>
      <c r="P116" t="n">
        <v>0</v>
      </c>
      <c r="Q116" t="n">
        <v>3</v>
      </c>
      <c r="R116" s="2" t="inlineStr">
        <is>
          <t>Gammelgransskål
Garnlav
Stuplav</t>
        </is>
      </c>
      <c r="S116">
        <f>HYPERLINK("https://klasma.github.io/Logging_1737/artfynd/A 70301-2021 artfynd.xlsx", "A 70301-2021")</f>
        <v/>
      </c>
      <c r="T116">
        <f>HYPERLINK("https://klasma.github.io/Logging_1737/kartor/A 70301-2021 karta.png", "A 70301-2021")</f>
        <v/>
      </c>
      <c r="V116">
        <f>HYPERLINK("https://klasma.github.io/Logging_1737/klagomål/A 70301-2021 FSC-klagomål.docx", "A 70301-2021")</f>
        <v/>
      </c>
      <c r="W116">
        <f>HYPERLINK("https://klasma.github.io/Logging_1737/klagomålsmail/A 70301-2021 FSC-klagomål mail.docx", "A 70301-2021")</f>
        <v/>
      </c>
      <c r="X116">
        <f>HYPERLINK("https://klasma.github.io/Logging_1737/tillsyn/A 70301-2021 tillsynsbegäran.docx", "A 70301-2021")</f>
        <v/>
      </c>
      <c r="Y116">
        <f>HYPERLINK("https://klasma.github.io/Logging_1737/tillsynsmail/A 70301-2021 tillsynsbegäran mail.docx", "A 70301-2021")</f>
        <v/>
      </c>
    </row>
    <row r="117" ht="15" customHeight="1">
      <c r="A117" t="inlineStr">
        <is>
          <t>A 8612-2022</t>
        </is>
      </c>
      <c r="B117" s="1" t="n">
        <v>44613</v>
      </c>
      <c r="C117" s="1" t="n">
        <v>45222</v>
      </c>
      <c r="D117" t="inlineStr">
        <is>
          <t>VÄRMLANDS LÄN</t>
        </is>
      </c>
      <c r="E117" t="inlineStr">
        <is>
          <t>ARVIKA</t>
        </is>
      </c>
      <c r="G117" t="n">
        <v>0.6</v>
      </c>
      <c r="H117" t="n">
        <v>0</v>
      </c>
      <c r="I117" t="n">
        <v>1</v>
      </c>
      <c r="J117" t="n">
        <v>2</v>
      </c>
      <c r="K117" t="n">
        <v>0</v>
      </c>
      <c r="L117" t="n">
        <v>0</v>
      </c>
      <c r="M117" t="n">
        <v>0</v>
      </c>
      <c r="N117" t="n">
        <v>0</v>
      </c>
      <c r="O117" t="n">
        <v>2</v>
      </c>
      <c r="P117" t="n">
        <v>0</v>
      </c>
      <c r="Q117" t="n">
        <v>3</v>
      </c>
      <c r="R117" s="2" t="inlineStr">
        <is>
          <t>Orange taggsvamp
Svart taggsvamp
Dropptaggsvamp</t>
        </is>
      </c>
      <c r="S117">
        <f>HYPERLINK("https://klasma.github.io/Logging_1784/artfynd/A 8612-2022 artfynd.xlsx", "A 8612-2022")</f>
        <v/>
      </c>
      <c r="T117">
        <f>HYPERLINK("https://klasma.github.io/Logging_1784/kartor/A 8612-2022 karta.png", "A 8612-2022")</f>
        <v/>
      </c>
      <c r="V117">
        <f>HYPERLINK("https://klasma.github.io/Logging_1784/klagomål/A 8612-2022 FSC-klagomål.docx", "A 8612-2022")</f>
        <v/>
      </c>
      <c r="W117">
        <f>HYPERLINK("https://klasma.github.io/Logging_1784/klagomålsmail/A 8612-2022 FSC-klagomål mail.docx", "A 8612-2022")</f>
        <v/>
      </c>
      <c r="X117">
        <f>HYPERLINK("https://klasma.github.io/Logging_1784/tillsyn/A 8612-2022 tillsynsbegäran.docx", "A 8612-2022")</f>
        <v/>
      </c>
      <c r="Y117">
        <f>HYPERLINK("https://klasma.github.io/Logging_1784/tillsynsmail/A 8612-2022 tillsynsbegäran mail.docx", "A 8612-2022")</f>
        <v/>
      </c>
    </row>
    <row r="118" ht="15" customHeight="1">
      <c r="A118" t="inlineStr">
        <is>
          <t>A 11927-2022</t>
        </is>
      </c>
      <c r="B118" s="1" t="n">
        <v>44635</v>
      </c>
      <c r="C118" s="1" t="n">
        <v>45222</v>
      </c>
      <c r="D118" t="inlineStr">
        <is>
          <t>VÄRMLANDS LÄN</t>
        </is>
      </c>
      <c r="E118" t="inlineStr">
        <is>
          <t>KARLSTAD</t>
        </is>
      </c>
      <c r="F118" t="inlineStr">
        <is>
          <t>Kommuner</t>
        </is>
      </c>
      <c r="G118" t="n">
        <v>12</v>
      </c>
      <c r="H118" t="n">
        <v>0</v>
      </c>
      <c r="I118" t="n">
        <v>2</v>
      </c>
      <c r="J118" t="n">
        <v>1</v>
      </c>
      <c r="K118" t="n">
        <v>0</v>
      </c>
      <c r="L118" t="n">
        <v>0</v>
      </c>
      <c r="M118" t="n">
        <v>0</v>
      </c>
      <c r="N118" t="n">
        <v>0</v>
      </c>
      <c r="O118" t="n">
        <v>1</v>
      </c>
      <c r="P118" t="n">
        <v>0</v>
      </c>
      <c r="Q118" t="n">
        <v>3</v>
      </c>
      <c r="R118" s="2" t="inlineStr">
        <is>
          <t>Ullticka
Barkticka
Kornig nållav</t>
        </is>
      </c>
      <c r="S118">
        <f>HYPERLINK("https://klasma.github.io/Logging_1780/artfynd/A 11927-2022 artfynd.xlsx", "A 11927-2022")</f>
        <v/>
      </c>
      <c r="T118">
        <f>HYPERLINK("https://klasma.github.io/Logging_1780/kartor/A 11927-2022 karta.png", "A 11927-2022")</f>
        <v/>
      </c>
      <c r="V118">
        <f>HYPERLINK("https://klasma.github.io/Logging_1780/klagomål/A 11927-2022 FSC-klagomål.docx", "A 11927-2022")</f>
        <v/>
      </c>
      <c r="W118">
        <f>HYPERLINK("https://klasma.github.io/Logging_1780/klagomålsmail/A 11927-2022 FSC-klagomål mail.docx", "A 11927-2022")</f>
        <v/>
      </c>
      <c r="X118">
        <f>HYPERLINK("https://klasma.github.io/Logging_1780/tillsyn/A 11927-2022 tillsynsbegäran.docx", "A 11927-2022")</f>
        <v/>
      </c>
      <c r="Y118">
        <f>HYPERLINK("https://klasma.github.io/Logging_1780/tillsynsmail/A 11927-2022 tillsynsbegäran mail.docx", "A 11927-2022")</f>
        <v/>
      </c>
    </row>
    <row r="119" ht="15" customHeight="1">
      <c r="A119" t="inlineStr">
        <is>
          <t>A 23576-2022</t>
        </is>
      </c>
      <c r="B119" s="1" t="n">
        <v>44721</v>
      </c>
      <c r="C119" s="1" t="n">
        <v>45222</v>
      </c>
      <c r="D119" t="inlineStr">
        <is>
          <t>VÄRMLANDS LÄN</t>
        </is>
      </c>
      <c r="E119" t="inlineStr">
        <is>
          <t>TORSBY</t>
        </is>
      </c>
      <c r="G119" t="n">
        <v>8.5</v>
      </c>
      <c r="H119" t="n">
        <v>0</v>
      </c>
      <c r="I119" t="n">
        <v>1</v>
      </c>
      <c r="J119" t="n">
        <v>2</v>
      </c>
      <c r="K119" t="n">
        <v>0</v>
      </c>
      <c r="L119" t="n">
        <v>0</v>
      </c>
      <c r="M119" t="n">
        <v>0</v>
      </c>
      <c r="N119" t="n">
        <v>0</v>
      </c>
      <c r="O119" t="n">
        <v>2</v>
      </c>
      <c r="P119" t="n">
        <v>0</v>
      </c>
      <c r="Q119" t="n">
        <v>3</v>
      </c>
      <c r="R119" s="2" t="inlineStr">
        <is>
          <t>Garnlav
Violettgrå tagellav
Gulnål</t>
        </is>
      </c>
      <c r="S119">
        <f>HYPERLINK("https://klasma.github.io/Logging_1737/artfynd/A 23576-2022 artfynd.xlsx", "A 23576-2022")</f>
        <v/>
      </c>
      <c r="T119">
        <f>HYPERLINK("https://klasma.github.io/Logging_1737/kartor/A 23576-2022 karta.png", "A 23576-2022")</f>
        <v/>
      </c>
      <c r="V119">
        <f>HYPERLINK("https://klasma.github.io/Logging_1737/klagomål/A 23576-2022 FSC-klagomål.docx", "A 23576-2022")</f>
        <v/>
      </c>
      <c r="W119">
        <f>HYPERLINK("https://klasma.github.io/Logging_1737/klagomålsmail/A 23576-2022 FSC-klagomål mail.docx", "A 23576-2022")</f>
        <v/>
      </c>
      <c r="X119">
        <f>HYPERLINK("https://klasma.github.io/Logging_1737/tillsyn/A 23576-2022 tillsynsbegäran.docx", "A 23576-2022")</f>
        <v/>
      </c>
      <c r="Y119">
        <f>HYPERLINK("https://klasma.github.io/Logging_1737/tillsynsmail/A 23576-2022 tillsynsbegäran mail.docx", "A 23576-2022")</f>
        <v/>
      </c>
    </row>
    <row r="120" ht="15" customHeight="1">
      <c r="A120" t="inlineStr">
        <is>
          <t>A 26898-2022</t>
        </is>
      </c>
      <c r="B120" s="1" t="n">
        <v>44740</v>
      </c>
      <c r="C120" s="1" t="n">
        <v>45222</v>
      </c>
      <c r="D120" t="inlineStr">
        <is>
          <t>VÄRMLANDS LÄN</t>
        </is>
      </c>
      <c r="E120" t="inlineStr">
        <is>
          <t>EDA</t>
        </is>
      </c>
      <c r="G120" t="n">
        <v>7.7</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HYPERLINK("https://klasma.github.io/Logging_1730/artfynd/A 26898-2022 artfynd.xlsx", "A 26898-2022")</f>
        <v/>
      </c>
      <c r="T120">
        <f>HYPERLINK("https://klasma.github.io/Logging_1730/kartor/A 26898-2022 karta.png", "A 26898-2022")</f>
        <v/>
      </c>
      <c r="V120">
        <f>HYPERLINK("https://klasma.github.io/Logging_1730/klagomål/A 26898-2022 FSC-klagomål.docx", "A 26898-2022")</f>
        <v/>
      </c>
      <c r="W120">
        <f>HYPERLINK("https://klasma.github.io/Logging_1730/klagomålsmail/A 26898-2022 FSC-klagomål mail.docx", "A 26898-2022")</f>
        <v/>
      </c>
      <c r="X120">
        <f>HYPERLINK("https://klasma.github.io/Logging_1730/tillsyn/A 26898-2022 tillsynsbegäran.docx", "A 26898-2022")</f>
        <v/>
      </c>
      <c r="Y120">
        <f>HYPERLINK("https://klasma.github.io/Logging_1730/tillsynsmail/A 26898-2022 tillsynsbegäran mail.docx", "A 26898-2022")</f>
        <v/>
      </c>
    </row>
    <row r="121" ht="15" customHeight="1">
      <c r="A121" t="inlineStr">
        <is>
          <t>A 31151-2022</t>
        </is>
      </c>
      <c r="B121" s="1" t="n">
        <v>44770</v>
      </c>
      <c r="C121" s="1" t="n">
        <v>45222</v>
      </c>
      <c r="D121" t="inlineStr">
        <is>
          <t>VÄRMLANDS LÄN</t>
        </is>
      </c>
      <c r="E121" t="inlineStr">
        <is>
          <t>KARLSTAD</t>
        </is>
      </c>
      <c r="F121" t="inlineStr">
        <is>
          <t>Kommuner</t>
        </is>
      </c>
      <c r="G121" t="n">
        <v>7.8</v>
      </c>
      <c r="H121" t="n">
        <v>3</v>
      </c>
      <c r="I121" t="n">
        <v>0</v>
      </c>
      <c r="J121" t="n">
        <v>1</v>
      </c>
      <c r="K121" t="n">
        <v>0</v>
      </c>
      <c r="L121" t="n">
        <v>0</v>
      </c>
      <c r="M121" t="n">
        <v>0</v>
      </c>
      <c r="N121" t="n">
        <v>0</v>
      </c>
      <c r="O121" t="n">
        <v>1</v>
      </c>
      <c r="P121" t="n">
        <v>0</v>
      </c>
      <c r="Q121" t="n">
        <v>3</v>
      </c>
      <c r="R121" s="2" t="inlineStr">
        <is>
          <t>Spillkråka
Mattlummer
Revlummer</t>
        </is>
      </c>
      <c r="S121">
        <f>HYPERLINK("https://klasma.github.io/Logging_1780/artfynd/A 31151-2022 artfynd.xlsx", "A 31151-2022")</f>
        <v/>
      </c>
      <c r="T121">
        <f>HYPERLINK("https://klasma.github.io/Logging_1780/kartor/A 31151-2022 karta.png", "A 31151-2022")</f>
        <v/>
      </c>
      <c r="V121">
        <f>HYPERLINK("https://klasma.github.io/Logging_1780/klagomål/A 31151-2022 FSC-klagomål.docx", "A 31151-2022")</f>
        <v/>
      </c>
      <c r="W121">
        <f>HYPERLINK("https://klasma.github.io/Logging_1780/klagomålsmail/A 31151-2022 FSC-klagomål mail.docx", "A 31151-2022")</f>
        <v/>
      </c>
      <c r="X121">
        <f>HYPERLINK("https://klasma.github.io/Logging_1780/tillsyn/A 31151-2022 tillsynsbegäran.docx", "A 31151-2022")</f>
        <v/>
      </c>
      <c r="Y121">
        <f>HYPERLINK("https://klasma.github.io/Logging_1780/tillsynsmail/A 31151-2022 tillsynsbegäran mail.docx", "A 31151-2022")</f>
        <v/>
      </c>
    </row>
    <row r="122" ht="15" customHeight="1">
      <c r="A122" t="inlineStr">
        <is>
          <t>A 42480-2022</t>
        </is>
      </c>
      <c r="B122" s="1" t="n">
        <v>44831</v>
      </c>
      <c r="C122" s="1" t="n">
        <v>45222</v>
      </c>
      <c r="D122" t="inlineStr">
        <is>
          <t>VÄRMLANDS LÄN</t>
        </is>
      </c>
      <c r="E122" t="inlineStr">
        <is>
          <t>TORSBY</t>
        </is>
      </c>
      <c r="F122" t="inlineStr">
        <is>
          <t>Kommuner</t>
        </is>
      </c>
      <c r="G122" t="n">
        <v>3.7</v>
      </c>
      <c r="H122" t="n">
        <v>1</v>
      </c>
      <c r="I122" t="n">
        <v>0</v>
      </c>
      <c r="J122" t="n">
        <v>2</v>
      </c>
      <c r="K122" t="n">
        <v>1</v>
      </c>
      <c r="L122" t="n">
        <v>0</v>
      </c>
      <c r="M122" t="n">
        <v>0</v>
      </c>
      <c r="N122" t="n">
        <v>0</v>
      </c>
      <c r="O122" t="n">
        <v>3</v>
      </c>
      <c r="P122" t="n">
        <v>1</v>
      </c>
      <c r="Q122" t="n">
        <v>3</v>
      </c>
      <c r="R122" s="2" t="inlineStr">
        <is>
          <t>Knärot
Garnlav
Vedskivlav</t>
        </is>
      </c>
      <c r="S122">
        <f>HYPERLINK("https://klasma.github.io/Logging_1737/artfynd/A 42480-2022 artfynd.xlsx", "A 42480-2022")</f>
        <v/>
      </c>
      <c r="T122">
        <f>HYPERLINK("https://klasma.github.io/Logging_1737/kartor/A 42480-2022 karta.png", "A 42480-2022")</f>
        <v/>
      </c>
      <c r="U122">
        <f>HYPERLINK("https://klasma.github.io/Logging_1737/knärot/A 42480-2022 karta knärot.png", "A 42480-2022")</f>
        <v/>
      </c>
      <c r="V122">
        <f>HYPERLINK("https://klasma.github.io/Logging_1737/klagomål/A 42480-2022 FSC-klagomål.docx", "A 42480-2022")</f>
        <v/>
      </c>
      <c r="W122">
        <f>HYPERLINK("https://klasma.github.io/Logging_1737/klagomålsmail/A 42480-2022 FSC-klagomål mail.docx", "A 42480-2022")</f>
        <v/>
      </c>
      <c r="X122">
        <f>HYPERLINK("https://klasma.github.io/Logging_1737/tillsyn/A 42480-2022 tillsynsbegäran.docx", "A 42480-2022")</f>
        <v/>
      </c>
      <c r="Y122">
        <f>HYPERLINK("https://klasma.github.io/Logging_1737/tillsynsmail/A 42480-2022 tillsynsbegäran mail.docx", "A 42480-2022")</f>
        <v/>
      </c>
    </row>
    <row r="123" ht="15" customHeight="1">
      <c r="A123" t="inlineStr">
        <is>
          <t>A 53051-2022</t>
        </is>
      </c>
      <c r="B123" s="1" t="n">
        <v>44876</v>
      </c>
      <c r="C123" s="1" t="n">
        <v>45222</v>
      </c>
      <c r="D123" t="inlineStr">
        <is>
          <t>VÄRMLANDS LÄN</t>
        </is>
      </c>
      <c r="E123" t="inlineStr">
        <is>
          <t>KARLSTAD</t>
        </is>
      </c>
      <c r="G123" t="n">
        <v>1.3</v>
      </c>
      <c r="H123" t="n">
        <v>1</v>
      </c>
      <c r="I123" t="n">
        <v>1</v>
      </c>
      <c r="J123" t="n">
        <v>1</v>
      </c>
      <c r="K123" t="n">
        <v>0</v>
      </c>
      <c r="L123" t="n">
        <v>0</v>
      </c>
      <c r="M123" t="n">
        <v>0</v>
      </c>
      <c r="N123" t="n">
        <v>0</v>
      </c>
      <c r="O123" t="n">
        <v>1</v>
      </c>
      <c r="P123" t="n">
        <v>0</v>
      </c>
      <c r="Q123" t="n">
        <v>3</v>
      </c>
      <c r="R123" s="2" t="inlineStr">
        <is>
          <t>Storgröe
Strutbräken
Blåsippa</t>
        </is>
      </c>
      <c r="S123">
        <f>HYPERLINK("https://klasma.github.io/Logging_1780/artfynd/A 53051-2022 artfynd.xlsx", "A 53051-2022")</f>
        <v/>
      </c>
      <c r="T123">
        <f>HYPERLINK("https://klasma.github.io/Logging_1780/kartor/A 53051-2022 karta.png", "A 53051-2022")</f>
        <v/>
      </c>
      <c r="V123">
        <f>HYPERLINK("https://klasma.github.io/Logging_1780/klagomål/A 53051-2022 FSC-klagomål.docx", "A 53051-2022")</f>
        <v/>
      </c>
      <c r="W123">
        <f>HYPERLINK("https://klasma.github.io/Logging_1780/klagomålsmail/A 53051-2022 FSC-klagomål mail.docx", "A 53051-2022")</f>
        <v/>
      </c>
      <c r="X123">
        <f>HYPERLINK("https://klasma.github.io/Logging_1780/tillsyn/A 53051-2022 tillsynsbegäran.docx", "A 53051-2022")</f>
        <v/>
      </c>
      <c r="Y123">
        <f>HYPERLINK("https://klasma.github.io/Logging_1780/tillsynsmail/A 53051-2022 tillsynsbegäran mail.docx", "A 53051-2022")</f>
        <v/>
      </c>
    </row>
    <row r="124" ht="15" customHeight="1">
      <c r="A124" t="inlineStr">
        <is>
          <t>A 592-2023</t>
        </is>
      </c>
      <c r="B124" s="1" t="n">
        <v>44930</v>
      </c>
      <c r="C124" s="1" t="n">
        <v>45222</v>
      </c>
      <c r="D124" t="inlineStr">
        <is>
          <t>VÄRMLANDS LÄN</t>
        </is>
      </c>
      <c r="E124" t="inlineStr">
        <is>
          <t>EDA</t>
        </is>
      </c>
      <c r="G124" t="n">
        <v>2.3</v>
      </c>
      <c r="H124" t="n">
        <v>2</v>
      </c>
      <c r="I124" t="n">
        <v>0</v>
      </c>
      <c r="J124" t="n">
        <v>3</v>
      </c>
      <c r="K124" t="n">
        <v>0</v>
      </c>
      <c r="L124" t="n">
        <v>0</v>
      </c>
      <c r="M124" t="n">
        <v>0</v>
      </c>
      <c r="N124" t="n">
        <v>0</v>
      </c>
      <c r="O124" t="n">
        <v>3</v>
      </c>
      <c r="P124" t="n">
        <v>0</v>
      </c>
      <c r="Q124" t="n">
        <v>3</v>
      </c>
      <c r="R124" s="2" t="inlineStr">
        <is>
          <t>Mindre hackspett
Skogsklocka
Spillkråka</t>
        </is>
      </c>
      <c r="S124">
        <f>HYPERLINK("https://klasma.github.io/Logging_1730/artfynd/A 592-2023 artfynd.xlsx", "A 592-2023")</f>
        <v/>
      </c>
      <c r="T124">
        <f>HYPERLINK("https://klasma.github.io/Logging_1730/kartor/A 592-2023 karta.png", "A 592-2023")</f>
        <v/>
      </c>
      <c r="V124">
        <f>HYPERLINK("https://klasma.github.io/Logging_1730/klagomål/A 592-2023 FSC-klagomål.docx", "A 592-2023")</f>
        <v/>
      </c>
      <c r="W124">
        <f>HYPERLINK("https://klasma.github.io/Logging_1730/klagomålsmail/A 592-2023 FSC-klagomål mail.docx", "A 592-2023")</f>
        <v/>
      </c>
      <c r="X124">
        <f>HYPERLINK("https://klasma.github.io/Logging_1730/tillsyn/A 592-2023 tillsynsbegäran.docx", "A 592-2023")</f>
        <v/>
      </c>
      <c r="Y124">
        <f>HYPERLINK("https://klasma.github.io/Logging_1730/tillsynsmail/A 592-2023 tillsynsbegäran mail.docx", "A 592-2023")</f>
        <v/>
      </c>
    </row>
    <row r="125" ht="15" customHeight="1">
      <c r="A125" t="inlineStr">
        <is>
          <t>A 2356-2023</t>
        </is>
      </c>
      <c r="B125" s="1" t="n">
        <v>44942</v>
      </c>
      <c r="C125" s="1" t="n">
        <v>45222</v>
      </c>
      <c r="D125" t="inlineStr">
        <is>
          <t>VÄRMLANDS LÄN</t>
        </is>
      </c>
      <c r="E125" t="inlineStr">
        <is>
          <t>FILIPSTAD</t>
        </is>
      </c>
      <c r="G125" t="n">
        <v>3.8</v>
      </c>
      <c r="H125" t="n">
        <v>1</v>
      </c>
      <c r="I125" t="n">
        <v>1</v>
      </c>
      <c r="J125" t="n">
        <v>2</v>
      </c>
      <c r="K125" t="n">
        <v>0</v>
      </c>
      <c r="L125" t="n">
        <v>0</v>
      </c>
      <c r="M125" t="n">
        <v>0</v>
      </c>
      <c r="N125" t="n">
        <v>0</v>
      </c>
      <c r="O125" t="n">
        <v>2</v>
      </c>
      <c r="P125" t="n">
        <v>0</v>
      </c>
      <c r="Q125" t="n">
        <v>3</v>
      </c>
      <c r="R125" s="2" t="inlineStr">
        <is>
          <t>Loppstarr
Majviva
Guckusko</t>
        </is>
      </c>
      <c r="S125">
        <f>HYPERLINK("https://klasma.github.io/Logging_1782/artfynd/A 2356-2023 artfynd.xlsx", "A 2356-2023")</f>
        <v/>
      </c>
      <c r="T125">
        <f>HYPERLINK("https://klasma.github.io/Logging_1782/kartor/A 2356-2023 karta.png", "A 2356-2023")</f>
        <v/>
      </c>
      <c r="V125">
        <f>HYPERLINK("https://klasma.github.io/Logging_1782/klagomål/A 2356-2023 FSC-klagomål.docx", "A 2356-2023")</f>
        <v/>
      </c>
      <c r="W125">
        <f>HYPERLINK("https://klasma.github.io/Logging_1782/klagomålsmail/A 2356-2023 FSC-klagomål mail.docx", "A 2356-2023")</f>
        <v/>
      </c>
      <c r="X125">
        <f>HYPERLINK("https://klasma.github.io/Logging_1782/tillsyn/A 2356-2023 tillsynsbegäran.docx", "A 2356-2023")</f>
        <v/>
      </c>
      <c r="Y125">
        <f>HYPERLINK("https://klasma.github.io/Logging_1782/tillsynsmail/A 2356-2023 tillsynsbegäran mail.docx", "A 2356-2023")</f>
        <v/>
      </c>
    </row>
    <row r="126" ht="15" customHeight="1">
      <c r="A126" t="inlineStr">
        <is>
          <t>A 4486-2023</t>
        </is>
      </c>
      <c r="B126" s="1" t="n">
        <v>44956</v>
      </c>
      <c r="C126" s="1" t="n">
        <v>45222</v>
      </c>
      <c r="D126" t="inlineStr">
        <is>
          <t>VÄRMLANDS LÄN</t>
        </is>
      </c>
      <c r="E126" t="inlineStr">
        <is>
          <t>TORSBY</t>
        </is>
      </c>
      <c r="G126" t="n">
        <v>2.4</v>
      </c>
      <c r="H126" t="n">
        <v>0</v>
      </c>
      <c r="I126" t="n">
        <v>1</v>
      </c>
      <c r="J126" t="n">
        <v>2</v>
      </c>
      <c r="K126" t="n">
        <v>0</v>
      </c>
      <c r="L126" t="n">
        <v>0</v>
      </c>
      <c r="M126" t="n">
        <v>0</v>
      </c>
      <c r="N126" t="n">
        <v>0</v>
      </c>
      <c r="O126" t="n">
        <v>2</v>
      </c>
      <c r="P126" t="n">
        <v>0</v>
      </c>
      <c r="Q126" t="n">
        <v>3</v>
      </c>
      <c r="R126" s="2" t="inlineStr">
        <is>
          <t>Garnlav
Vedskivlav
Skinnlav</t>
        </is>
      </c>
      <c r="S126">
        <f>HYPERLINK("https://klasma.github.io/Logging_1737/artfynd/A 4486-2023 artfynd.xlsx", "A 4486-2023")</f>
        <v/>
      </c>
      <c r="T126">
        <f>HYPERLINK("https://klasma.github.io/Logging_1737/kartor/A 4486-2023 karta.png", "A 4486-2023")</f>
        <v/>
      </c>
      <c r="V126">
        <f>HYPERLINK("https://klasma.github.io/Logging_1737/klagomål/A 4486-2023 FSC-klagomål.docx", "A 4486-2023")</f>
        <v/>
      </c>
      <c r="W126">
        <f>HYPERLINK("https://klasma.github.io/Logging_1737/klagomålsmail/A 4486-2023 FSC-klagomål mail.docx", "A 4486-2023")</f>
        <v/>
      </c>
      <c r="X126">
        <f>HYPERLINK("https://klasma.github.io/Logging_1737/tillsyn/A 4486-2023 tillsynsbegäran.docx", "A 4486-2023")</f>
        <v/>
      </c>
      <c r="Y126">
        <f>HYPERLINK("https://klasma.github.io/Logging_1737/tillsynsmail/A 4486-2023 tillsynsbegäran mail.docx", "A 4486-2023")</f>
        <v/>
      </c>
    </row>
    <row r="127" ht="15" customHeight="1">
      <c r="A127" t="inlineStr">
        <is>
          <t>A 11615-2023</t>
        </is>
      </c>
      <c r="B127" s="1" t="n">
        <v>44994</v>
      </c>
      <c r="C127" s="1" t="n">
        <v>45222</v>
      </c>
      <c r="D127" t="inlineStr">
        <is>
          <t>VÄRMLANDS LÄN</t>
        </is>
      </c>
      <c r="E127" t="inlineStr">
        <is>
          <t>KARLSTAD</t>
        </is>
      </c>
      <c r="F127" t="inlineStr">
        <is>
          <t>Kommuner</t>
        </is>
      </c>
      <c r="G127" t="n">
        <v>0.8</v>
      </c>
      <c r="H127" t="n">
        <v>1</v>
      </c>
      <c r="I127" t="n">
        <v>2</v>
      </c>
      <c r="J127" t="n">
        <v>1</v>
      </c>
      <c r="K127" t="n">
        <v>0</v>
      </c>
      <c r="L127" t="n">
        <v>0</v>
      </c>
      <c r="M127" t="n">
        <v>0</v>
      </c>
      <c r="N127" t="n">
        <v>0</v>
      </c>
      <c r="O127" t="n">
        <v>1</v>
      </c>
      <c r="P127" t="n">
        <v>0</v>
      </c>
      <c r="Q127" t="n">
        <v>3</v>
      </c>
      <c r="R127" s="2" t="inlineStr">
        <is>
          <t>Svedjenäva
Skogsknipprot
Springkorn</t>
        </is>
      </c>
      <c r="S127">
        <f>HYPERLINK("https://klasma.github.io/Logging_1780/artfynd/A 11615-2023 artfynd.xlsx", "A 11615-2023")</f>
        <v/>
      </c>
      <c r="T127">
        <f>HYPERLINK("https://klasma.github.io/Logging_1780/kartor/A 11615-2023 karta.png", "A 11615-2023")</f>
        <v/>
      </c>
      <c r="V127">
        <f>HYPERLINK("https://klasma.github.io/Logging_1780/klagomål/A 11615-2023 FSC-klagomål.docx", "A 11615-2023")</f>
        <v/>
      </c>
      <c r="W127">
        <f>HYPERLINK("https://klasma.github.io/Logging_1780/klagomålsmail/A 11615-2023 FSC-klagomål mail.docx", "A 11615-2023")</f>
        <v/>
      </c>
      <c r="X127">
        <f>HYPERLINK("https://klasma.github.io/Logging_1780/tillsyn/A 11615-2023 tillsynsbegäran.docx", "A 11615-2023")</f>
        <v/>
      </c>
      <c r="Y127">
        <f>HYPERLINK("https://klasma.github.io/Logging_1780/tillsynsmail/A 11615-2023 tillsynsbegäran mail.docx", "A 11615-2023")</f>
        <v/>
      </c>
    </row>
    <row r="128" ht="15" customHeight="1">
      <c r="A128" t="inlineStr">
        <is>
          <t>A 14815-2023</t>
        </is>
      </c>
      <c r="B128" s="1" t="n">
        <v>45014</v>
      </c>
      <c r="C128" s="1" t="n">
        <v>45222</v>
      </c>
      <c r="D128" t="inlineStr">
        <is>
          <t>VÄRMLANDS LÄN</t>
        </is>
      </c>
      <c r="E128" t="inlineStr">
        <is>
          <t>KARLSTAD</t>
        </is>
      </c>
      <c r="F128" t="inlineStr">
        <is>
          <t>Kommuner</t>
        </is>
      </c>
      <c r="G128" t="n">
        <v>5.4</v>
      </c>
      <c r="H128" t="n">
        <v>0</v>
      </c>
      <c r="I128" t="n">
        <v>2</v>
      </c>
      <c r="J128" t="n">
        <v>1</v>
      </c>
      <c r="K128" t="n">
        <v>0</v>
      </c>
      <c r="L128" t="n">
        <v>0</v>
      </c>
      <c r="M128" t="n">
        <v>0</v>
      </c>
      <c r="N128" t="n">
        <v>0</v>
      </c>
      <c r="O128" t="n">
        <v>1</v>
      </c>
      <c r="P128" t="n">
        <v>0</v>
      </c>
      <c r="Q128" t="n">
        <v>3</v>
      </c>
      <c r="R128" s="2" t="inlineStr">
        <is>
          <t>Vaddporing
Rödgul trumpetsvamp
Vågbandad barkbock</t>
        </is>
      </c>
      <c r="S128">
        <f>HYPERLINK("https://klasma.github.io/Logging_1780/artfynd/A 14815-2023 artfynd.xlsx", "A 14815-2023")</f>
        <v/>
      </c>
      <c r="T128">
        <f>HYPERLINK("https://klasma.github.io/Logging_1780/kartor/A 14815-2023 karta.png", "A 14815-2023")</f>
        <v/>
      </c>
      <c r="U128">
        <f>HYPERLINK("https://klasma.github.io/Logging_1780/knärot/A 14815-2023 karta knärot.png", "A 14815-2023")</f>
        <v/>
      </c>
      <c r="V128">
        <f>HYPERLINK("https://klasma.github.io/Logging_1780/klagomål/A 14815-2023 FSC-klagomål.docx", "A 14815-2023")</f>
        <v/>
      </c>
      <c r="W128">
        <f>HYPERLINK("https://klasma.github.io/Logging_1780/klagomålsmail/A 14815-2023 FSC-klagomål mail.docx", "A 14815-2023")</f>
        <v/>
      </c>
      <c r="X128">
        <f>HYPERLINK("https://klasma.github.io/Logging_1780/tillsyn/A 14815-2023 tillsynsbegäran.docx", "A 14815-2023")</f>
        <v/>
      </c>
      <c r="Y128">
        <f>HYPERLINK("https://klasma.github.io/Logging_1780/tillsynsmail/A 14815-2023 tillsynsbegäran mail.docx", "A 14815-2023")</f>
        <v/>
      </c>
    </row>
    <row r="129" ht="15" customHeight="1">
      <c r="A129" t="inlineStr">
        <is>
          <t>A 26303-2023</t>
        </is>
      </c>
      <c r="B129" s="1" t="n">
        <v>45091</v>
      </c>
      <c r="C129" s="1" t="n">
        <v>45222</v>
      </c>
      <c r="D129" t="inlineStr">
        <is>
          <t>VÄRMLANDS LÄN</t>
        </is>
      </c>
      <c r="E129" t="inlineStr">
        <is>
          <t>FILIPSTAD</t>
        </is>
      </c>
      <c r="F129" t="inlineStr">
        <is>
          <t>Bergvik skog väst AB</t>
        </is>
      </c>
      <c r="G129" t="n">
        <v>8.4</v>
      </c>
      <c r="H129" t="n">
        <v>3</v>
      </c>
      <c r="I129" t="n">
        <v>2</v>
      </c>
      <c r="J129" t="n">
        <v>0</v>
      </c>
      <c r="K129" t="n">
        <v>0</v>
      </c>
      <c r="L129" t="n">
        <v>0</v>
      </c>
      <c r="M129" t="n">
        <v>0</v>
      </c>
      <c r="N129" t="n">
        <v>0</v>
      </c>
      <c r="O129" t="n">
        <v>0</v>
      </c>
      <c r="P129" t="n">
        <v>0</v>
      </c>
      <c r="Q129" t="n">
        <v>3</v>
      </c>
      <c r="R129" s="2" t="inlineStr">
        <is>
          <t>Purpurknipprot
Tvåblad
Brudsporre</t>
        </is>
      </c>
      <c r="S129">
        <f>HYPERLINK("https://klasma.github.io/Logging_1782/artfynd/A 26303-2023 artfynd.xlsx", "A 26303-2023")</f>
        <v/>
      </c>
      <c r="T129">
        <f>HYPERLINK("https://klasma.github.io/Logging_1782/kartor/A 26303-2023 karta.png", "A 26303-2023")</f>
        <v/>
      </c>
      <c r="V129">
        <f>HYPERLINK("https://klasma.github.io/Logging_1782/klagomål/A 26303-2023 FSC-klagomål.docx", "A 26303-2023")</f>
        <v/>
      </c>
      <c r="W129">
        <f>HYPERLINK("https://klasma.github.io/Logging_1782/klagomålsmail/A 26303-2023 FSC-klagomål mail.docx", "A 26303-2023")</f>
        <v/>
      </c>
      <c r="X129">
        <f>HYPERLINK("https://klasma.github.io/Logging_1782/tillsyn/A 26303-2023 tillsynsbegäran.docx", "A 26303-2023")</f>
        <v/>
      </c>
      <c r="Y129">
        <f>HYPERLINK("https://klasma.github.io/Logging_1782/tillsynsmail/A 26303-2023 tillsynsbegäran mail.docx", "A 26303-2023")</f>
        <v/>
      </c>
    </row>
    <row r="130" ht="15" customHeight="1">
      <c r="A130" t="inlineStr">
        <is>
          <t>A 32615-2023</t>
        </is>
      </c>
      <c r="B130" s="1" t="n">
        <v>45121</v>
      </c>
      <c r="C130" s="1" t="n">
        <v>45222</v>
      </c>
      <c r="D130" t="inlineStr">
        <is>
          <t>VÄRMLANDS LÄN</t>
        </is>
      </c>
      <c r="E130" t="inlineStr">
        <is>
          <t>ARVIKA</t>
        </is>
      </c>
      <c r="G130" t="n">
        <v>2.9</v>
      </c>
      <c r="H130" t="n">
        <v>2</v>
      </c>
      <c r="I130" t="n">
        <v>0</v>
      </c>
      <c r="J130" t="n">
        <v>2</v>
      </c>
      <c r="K130" t="n">
        <v>1</v>
      </c>
      <c r="L130" t="n">
        <v>0</v>
      </c>
      <c r="M130" t="n">
        <v>0</v>
      </c>
      <c r="N130" t="n">
        <v>0</v>
      </c>
      <c r="O130" t="n">
        <v>3</v>
      </c>
      <c r="P130" t="n">
        <v>1</v>
      </c>
      <c r="Q130" t="n">
        <v>3</v>
      </c>
      <c r="R130" s="2" t="inlineStr">
        <is>
          <t>Knärot
Talltita
Vedtrappmossa</t>
        </is>
      </c>
      <c r="S130">
        <f>HYPERLINK("https://klasma.github.io/Logging_1784/artfynd/A 32615-2023 artfynd.xlsx", "A 32615-2023")</f>
        <v/>
      </c>
      <c r="T130">
        <f>HYPERLINK("https://klasma.github.io/Logging_1784/kartor/A 32615-2023 karta.png", "A 32615-2023")</f>
        <v/>
      </c>
      <c r="U130">
        <f>HYPERLINK("https://klasma.github.io/Logging_1784/knärot/A 32615-2023 karta knärot.png", "A 32615-2023")</f>
        <v/>
      </c>
      <c r="V130">
        <f>HYPERLINK("https://klasma.github.io/Logging_1784/klagomål/A 32615-2023 FSC-klagomål.docx", "A 32615-2023")</f>
        <v/>
      </c>
      <c r="W130">
        <f>HYPERLINK("https://klasma.github.io/Logging_1784/klagomålsmail/A 32615-2023 FSC-klagomål mail.docx", "A 32615-2023")</f>
        <v/>
      </c>
      <c r="X130">
        <f>HYPERLINK("https://klasma.github.io/Logging_1784/tillsyn/A 32615-2023 tillsynsbegäran.docx", "A 32615-2023")</f>
        <v/>
      </c>
      <c r="Y130">
        <f>HYPERLINK("https://klasma.github.io/Logging_1784/tillsynsmail/A 32615-2023 tillsynsbegäran mail.docx", "A 32615-2023")</f>
        <v/>
      </c>
    </row>
    <row r="131" ht="15" customHeight="1">
      <c r="A131" t="inlineStr">
        <is>
          <t>A 42590-2023</t>
        </is>
      </c>
      <c r="B131" s="1" t="n">
        <v>45181</v>
      </c>
      <c r="C131" s="1" t="n">
        <v>45222</v>
      </c>
      <c r="D131" t="inlineStr">
        <is>
          <t>VÄRMLANDS LÄN</t>
        </is>
      </c>
      <c r="E131" t="inlineStr">
        <is>
          <t>TORSBY</t>
        </is>
      </c>
      <c r="G131" t="n">
        <v>12.1</v>
      </c>
      <c r="H131" t="n">
        <v>1</v>
      </c>
      <c r="I131" t="n">
        <v>0</v>
      </c>
      <c r="J131" t="n">
        <v>3</v>
      </c>
      <c r="K131" t="n">
        <v>0</v>
      </c>
      <c r="L131" t="n">
        <v>0</v>
      </c>
      <c r="M131" t="n">
        <v>0</v>
      </c>
      <c r="N131" t="n">
        <v>0</v>
      </c>
      <c r="O131" t="n">
        <v>3</v>
      </c>
      <c r="P131" t="n">
        <v>0</v>
      </c>
      <c r="Q131" t="n">
        <v>3</v>
      </c>
      <c r="R131" s="2" t="inlineStr">
        <is>
          <t>Garnlav
Tretåig hackspett
Violettgrå tagellav</t>
        </is>
      </c>
      <c r="S131">
        <f>HYPERLINK("https://klasma.github.io/Logging_1737/artfynd/A 42590-2023 artfynd.xlsx", "A 42590-2023")</f>
        <v/>
      </c>
      <c r="T131">
        <f>HYPERLINK("https://klasma.github.io/Logging_1737/kartor/A 42590-2023 karta.png", "A 42590-2023")</f>
        <v/>
      </c>
      <c r="V131">
        <f>HYPERLINK("https://klasma.github.io/Logging_1737/klagomål/A 42590-2023 FSC-klagomål.docx", "A 42590-2023")</f>
        <v/>
      </c>
      <c r="W131">
        <f>HYPERLINK("https://klasma.github.io/Logging_1737/klagomålsmail/A 42590-2023 FSC-klagomål mail.docx", "A 42590-2023")</f>
        <v/>
      </c>
      <c r="X131">
        <f>HYPERLINK("https://klasma.github.io/Logging_1737/tillsyn/A 42590-2023 tillsynsbegäran.docx", "A 42590-2023")</f>
        <v/>
      </c>
      <c r="Y131">
        <f>HYPERLINK("https://klasma.github.io/Logging_1737/tillsynsmail/A 42590-2023 tillsynsbegäran mail.docx", "A 42590-2023")</f>
        <v/>
      </c>
    </row>
    <row r="132" ht="15" customHeight="1">
      <c r="A132" t="inlineStr">
        <is>
          <t>A 46016-2023</t>
        </is>
      </c>
      <c r="B132" s="1" t="n">
        <v>45196</v>
      </c>
      <c r="C132" s="1" t="n">
        <v>45222</v>
      </c>
      <c r="D132" t="inlineStr">
        <is>
          <t>VÄRMLANDS LÄN</t>
        </is>
      </c>
      <c r="E132" t="inlineStr">
        <is>
          <t>TORSBY</t>
        </is>
      </c>
      <c r="G132" t="n">
        <v>6.3</v>
      </c>
      <c r="H132" t="n">
        <v>0</v>
      </c>
      <c r="I132" t="n">
        <v>0</v>
      </c>
      <c r="J132" t="n">
        <v>3</v>
      </c>
      <c r="K132" t="n">
        <v>0</v>
      </c>
      <c r="L132" t="n">
        <v>0</v>
      </c>
      <c r="M132" t="n">
        <v>0</v>
      </c>
      <c r="N132" t="n">
        <v>0</v>
      </c>
      <c r="O132" t="n">
        <v>3</v>
      </c>
      <c r="P132" t="n">
        <v>0</v>
      </c>
      <c r="Q132" t="n">
        <v>3</v>
      </c>
      <c r="R132" s="2" t="inlineStr">
        <is>
          <t>Dvärgbägarlav
Mörk kolflarnlav
Vedskivlav</t>
        </is>
      </c>
      <c r="S132">
        <f>HYPERLINK("https://klasma.github.io/Logging_1737/artfynd/A 46016-2023 artfynd.xlsx", "A 46016-2023")</f>
        <v/>
      </c>
      <c r="T132">
        <f>HYPERLINK("https://klasma.github.io/Logging_1737/kartor/A 46016-2023 karta.png", "A 46016-2023")</f>
        <v/>
      </c>
      <c r="V132">
        <f>HYPERLINK("https://klasma.github.io/Logging_1737/klagomål/A 46016-2023 FSC-klagomål.docx", "A 46016-2023")</f>
        <v/>
      </c>
      <c r="W132">
        <f>HYPERLINK("https://klasma.github.io/Logging_1737/klagomålsmail/A 46016-2023 FSC-klagomål mail.docx", "A 46016-2023")</f>
        <v/>
      </c>
      <c r="X132">
        <f>HYPERLINK("https://klasma.github.io/Logging_1737/tillsyn/A 46016-2023 tillsynsbegäran.docx", "A 46016-2023")</f>
        <v/>
      </c>
      <c r="Y132">
        <f>HYPERLINK("https://klasma.github.io/Logging_1737/tillsynsmail/A 46016-2023 tillsynsbegäran mail.docx", "A 46016-2023")</f>
        <v/>
      </c>
    </row>
    <row r="133" ht="15" customHeight="1">
      <c r="A133" t="inlineStr">
        <is>
          <t>A 36762-2018</t>
        </is>
      </c>
      <c r="B133" s="1" t="n">
        <v>43332</v>
      </c>
      <c r="C133" s="1" t="n">
        <v>45222</v>
      </c>
      <c r="D133" t="inlineStr">
        <is>
          <t>VÄRMLANDS LÄN</t>
        </is>
      </c>
      <c r="E133" t="inlineStr">
        <is>
          <t>ARVIKA</t>
        </is>
      </c>
      <c r="G133" t="n">
        <v>3</v>
      </c>
      <c r="H133" t="n">
        <v>1</v>
      </c>
      <c r="I133" t="n">
        <v>1</v>
      </c>
      <c r="J133" t="n">
        <v>0</v>
      </c>
      <c r="K133" t="n">
        <v>1</v>
      </c>
      <c r="L133" t="n">
        <v>0</v>
      </c>
      <c r="M133" t="n">
        <v>0</v>
      </c>
      <c r="N133" t="n">
        <v>0</v>
      </c>
      <c r="O133" t="n">
        <v>1</v>
      </c>
      <c r="P133" t="n">
        <v>1</v>
      </c>
      <c r="Q133" t="n">
        <v>2</v>
      </c>
      <c r="R133" s="2" t="inlineStr">
        <is>
          <t>Knärot
Tibast</t>
        </is>
      </c>
      <c r="S133">
        <f>HYPERLINK("https://klasma.github.io/Logging_1784/artfynd/A 36762-2018 artfynd.xlsx", "A 36762-2018")</f>
        <v/>
      </c>
      <c r="T133">
        <f>HYPERLINK("https://klasma.github.io/Logging_1784/kartor/A 36762-2018 karta.png", "A 36762-2018")</f>
        <v/>
      </c>
      <c r="U133">
        <f>HYPERLINK("https://klasma.github.io/Logging_1784/knärot/A 36762-2018 karta knärot.png", "A 36762-2018")</f>
        <v/>
      </c>
      <c r="V133">
        <f>HYPERLINK("https://klasma.github.io/Logging_1784/klagomål/A 36762-2018 FSC-klagomål.docx", "A 36762-2018")</f>
        <v/>
      </c>
      <c r="W133">
        <f>HYPERLINK("https://klasma.github.io/Logging_1784/klagomålsmail/A 36762-2018 FSC-klagomål mail.docx", "A 36762-2018")</f>
        <v/>
      </c>
      <c r="X133">
        <f>HYPERLINK("https://klasma.github.io/Logging_1784/tillsyn/A 36762-2018 tillsynsbegäran.docx", "A 36762-2018")</f>
        <v/>
      </c>
      <c r="Y133">
        <f>HYPERLINK("https://klasma.github.io/Logging_1784/tillsynsmail/A 36762-2018 tillsynsbegäran mail.docx", "A 36762-2018")</f>
        <v/>
      </c>
    </row>
    <row r="134" ht="15" customHeight="1">
      <c r="A134" t="inlineStr">
        <is>
          <t>A 45025-2018</t>
        </is>
      </c>
      <c r="B134" s="1" t="n">
        <v>43360</v>
      </c>
      <c r="C134" s="1" t="n">
        <v>45222</v>
      </c>
      <c r="D134" t="inlineStr">
        <is>
          <t>VÄRMLANDS LÄN</t>
        </is>
      </c>
      <c r="E134" t="inlineStr">
        <is>
          <t>SÄFFLE</t>
        </is>
      </c>
      <c r="G134" t="n">
        <v>4.5</v>
      </c>
      <c r="H134" t="n">
        <v>0</v>
      </c>
      <c r="I134" t="n">
        <v>2</v>
      </c>
      <c r="J134" t="n">
        <v>0</v>
      </c>
      <c r="K134" t="n">
        <v>0</v>
      </c>
      <c r="L134" t="n">
        <v>0</v>
      </c>
      <c r="M134" t="n">
        <v>0</v>
      </c>
      <c r="N134" t="n">
        <v>0</v>
      </c>
      <c r="O134" t="n">
        <v>0</v>
      </c>
      <c r="P134" t="n">
        <v>0</v>
      </c>
      <c r="Q134" t="n">
        <v>2</v>
      </c>
      <c r="R134" s="2" t="inlineStr">
        <is>
          <t>Diskvaxskivling
Kryddspindling</t>
        </is>
      </c>
      <c r="S134">
        <f>HYPERLINK("https://klasma.github.io/Logging_1785/artfynd/A 45025-2018 artfynd.xlsx", "A 45025-2018")</f>
        <v/>
      </c>
      <c r="T134">
        <f>HYPERLINK("https://klasma.github.io/Logging_1785/kartor/A 45025-2018 karta.png", "A 45025-2018")</f>
        <v/>
      </c>
      <c r="V134">
        <f>HYPERLINK("https://klasma.github.io/Logging_1785/klagomål/A 45025-2018 FSC-klagomål.docx", "A 45025-2018")</f>
        <v/>
      </c>
      <c r="W134">
        <f>HYPERLINK("https://klasma.github.io/Logging_1785/klagomålsmail/A 45025-2018 FSC-klagomål mail.docx", "A 45025-2018")</f>
        <v/>
      </c>
      <c r="X134">
        <f>HYPERLINK("https://klasma.github.io/Logging_1785/tillsyn/A 45025-2018 tillsynsbegäran.docx", "A 45025-2018")</f>
        <v/>
      </c>
      <c r="Y134">
        <f>HYPERLINK("https://klasma.github.io/Logging_1785/tillsynsmail/A 45025-2018 tillsynsbegäran mail.docx", "A 45025-2018")</f>
        <v/>
      </c>
    </row>
    <row r="135" ht="15" customHeight="1">
      <c r="A135" t="inlineStr">
        <is>
          <t>A 54558-2018</t>
        </is>
      </c>
      <c r="B135" s="1" t="n">
        <v>43385</v>
      </c>
      <c r="C135" s="1" t="n">
        <v>45222</v>
      </c>
      <c r="D135" t="inlineStr">
        <is>
          <t>VÄRMLANDS LÄN</t>
        </is>
      </c>
      <c r="E135" t="inlineStr">
        <is>
          <t>TORSBY</t>
        </is>
      </c>
      <c r="G135" t="n">
        <v>4.8</v>
      </c>
      <c r="H135" t="n">
        <v>1</v>
      </c>
      <c r="I135" t="n">
        <v>0</v>
      </c>
      <c r="J135" t="n">
        <v>2</v>
      </c>
      <c r="K135" t="n">
        <v>0</v>
      </c>
      <c r="L135" t="n">
        <v>0</v>
      </c>
      <c r="M135" t="n">
        <v>0</v>
      </c>
      <c r="N135" t="n">
        <v>0</v>
      </c>
      <c r="O135" t="n">
        <v>2</v>
      </c>
      <c r="P135" t="n">
        <v>0</v>
      </c>
      <c r="Q135" t="n">
        <v>2</v>
      </c>
      <c r="R135" s="2" t="inlineStr">
        <is>
          <t>Lunglav
Tretåig hackspett</t>
        </is>
      </c>
      <c r="S135">
        <f>HYPERLINK("https://klasma.github.io/Logging_1737/artfynd/A 54558-2018 artfynd.xlsx", "A 54558-2018")</f>
        <v/>
      </c>
      <c r="T135">
        <f>HYPERLINK("https://klasma.github.io/Logging_1737/kartor/A 54558-2018 karta.png", "A 54558-2018")</f>
        <v/>
      </c>
      <c r="V135">
        <f>HYPERLINK("https://klasma.github.io/Logging_1737/klagomål/A 54558-2018 FSC-klagomål.docx", "A 54558-2018")</f>
        <v/>
      </c>
      <c r="W135">
        <f>HYPERLINK("https://klasma.github.io/Logging_1737/klagomålsmail/A 54558-2018 FSC-klagomål mail.docx", "A 54558-2018")</f>
        <v/>
      </c>
      <c r="X135">
        <f>HYPERLINK("https://klasma.github.io/Logging_1737/tillsyn/A 54558-2018 tillsynsbegäran.docx", "A 54558-2018")</f>
        <v/>
      </c>
      <c r="Y135">
        <f>HYPERLINK("https://klasma.github.io/Logging_1737/tillsynsmail/A 54558-2018 tillsynsbegäran mail.docx", "A 54558-2018")</f>
        <v/>
      </c>
    </row>
    <row r="136" ht="15" customHeight="1">
      <c r="A136" t="inlineStr">
        <is>
          <t>A 57535-2018</t>
        </is>
      </c>
      <c r="B136" s="1" t="n">
        <v>43397</v>
      </c>
      <c r="C136" s="1" t="n">
        <v>45222</v>
      </c>
      <c r="D136" t="inlineStr">
        <is>
          <t>VÄRMLANDS LÄN</t>
        </is>
      </c>
      <c r="E136" t="inlineStr">
        <is>
          <t>ARVIKA</t>
        </is>
      </c>
      <c r="G136" t="n">
        <v>8.5</v>
      </c>
      <c r="H136" t="n">
        <v>0</v>
      </c>
      <c r="I136" t="n">
        <v>0</v>
      </c>
      <c r="J136" t="n">
        <v>2</v>
      </c>
      <c r="K136" t="n">
        <v>0</v>
      </c>
      <c r="L136" t="n">
        <v>0</v>
      </c>
      <c r="M136" t="n">
        <v>0</v>
      </c>
      <c r="N136" t="n">
        <v>0</v>
      </c>
      <c r="O136" t="n">
        <v>2</v>
      </c>
      <c r="P136" t="n">
        <v>0</v>
      </c>
      <c r="Q136" t="n">
        <v>2</v>
      </c>
      <c r="R136" s="2" t="inlineStr">
        <is>
          <t>Brunklöver
Svedjenäva</t>
        </is>
      </c>
      <c r="S136">
        <f>HYPERLINK("https://klasma.github.io/Logging_1784/artfynd/A 57535-2018 artfynd.xlsx", "A 57535-2018")</f>
        <v/>
      </c>
      <c r="T136">
        <f>HYPERLINK("https://klasma.github.io/Logging_1784/kartor/A 57535-2018 karta.png", "A 57535-2018")</f>
        <v/>
      </c>
      <c r="V136">
        <f>HYPERLINK("https://klasma.github.io/Logging_1784/klagomål/A 57535-2018 FSC-klagomål.docx", "A 57535-2018")</f>
        <v/>
      </c>
      <c r="W136">
        <f>HYPERLINK("https://klasma.github.io/Logging_1784/klagomålsmail/A 57535-2018 FSC-klagomål mail.docx", "A 57535-2018")</f>
        <v/>
      </c>
      <c r="X136">
        <f>HYPERLINK("https://klasma.github.io/Logging_1784/tillsyn/A 57535-2018 tillsynsbegäran.docx", "A 57535-2018")</f>
        <v/>
      </c>
      <c r="Y136">
        <f>HYPERLINK("https://klasma.github.io/Logging_1784/tillsynsmail/A 57535-2018 tillsynsbegäran mail.docx", "A 57535-2018")</f>
        <v/>
      </c>
    </row>
    <row r="137" ht="15" customHeight="1">
      <c r="A137" t="inlineStr">
        <is>
          <t>A 59351-2018</t>
        </is>
      </c>
      <c r="B137" s="1" t="n">
        <v>43418</v>
      </c>
      <c r="C137" s="1" t="n">
        <v>45222</v>
      </c>
      <c r="D137" t="inlineStr">
        <is>
          <t>VÄRMLANDS LÄN</t>
        </is>
      </c>
      <c r="E137" t="inlineStr">
        <is>
          <t>EDA</t>
        </is>
      </c>
      <c r="G137" t="n">
        <v>0.6</v>
      </c>
      <c r="H137" t="n">
        <v>1</v>
      </c>
      <c r="I137" t="n">
        <v>0</v>
      </c>
      <c r="J137" t="n">
        <v>2</v>
      </c>
      <c r="K137" t="n">
        <v>0</v>
      </c>
      <c r="L137" t="n">
        <v>0</v>
      </c>
      <c r="M137" t="n">
        <v>0</v>
      </c>
      <c r="N137" t="n">
        <v>0</v>
      </c>
      <c r="O137" t="n">
        <v>2</v>
      </c>
      <c r="P137" t="n">
        <v>0</v>
      </c>
      <c r="Q137" t="n">
        <v>2</v>
      </c>
      <c r="R137" s="2" t="inlineStr">
        <is>
          <t>Tretåig hackspett
Ullticka</t>
        </is>
      </c>
      <c r="S137">
        <f>HYPERLINK("https://klasma.github.io/Logging_1730/artfynd/A 59351-2018 artfynd.xlsx", "A 59351-2018")</f>
        <v/>
      </c>
      <c r="T137">
        <f>HYPERLINK("https://klasma.github.io/Logging_1730/kartor/A 59351-2018 karta.png", "A 59351-2018")</f>
        <v/>
      </c>
      <c r="U137">
        <f>HYPERLINK("https://klasma.github.io/Logging_1730/knärot/A 59351-2018 karta knärot.png", "A 59351-2018")</f>
        <v/>
      </c>
      <c r="V137">
        <f>HYPERLINK("https://klasma.github.io/Logging_1730/klagomål/A 59351-2018 FSC-klagomål.docx", "A 59351-2018")</f>
        <v/>
      </c>
      <c r="W137">
        <f>HYPERLINK("https://klasma.github.io/Logging_1730/klagomålsmail/A 59351-2018 FSC-klagomål mail.docx", "A 59351-2018")</f>
        <v/>
      </c>
      <c r="X137">
        <f>HYPERLINK("https://klasma.github.io/Logging_1730/tillsyn/A 59351-2018 tillsynsbegäran.docx", "A 59351-2018")</f>
        <v/>
      </c>
      <c r="Y137">
        <f>HYPERLINK("https://klasma.github.io/Logging_1730/tillsynsmail/A 59351-2018 tillsynsbegäran mail.docx", "A 59351-2018")</f>
        <v/>
      </c>
    </row>
    <row r="138" ht="15" customHeight="1">
      <c r="A138" t="inlineStr">
        <is>
          <t>A 10801-2019</t>
        </is>
      </c>
      <c r="B138" s="1" t="n">
        <v>43514</v>
      </c>
      <c r="C138" s="1" t="n">
        <v>45222</v>
      </c>
      <c r="D138" t="inlineStr">
        <is>
          <t>VÄRMLANDS LÄN</t>
        </is>
      </c>
      <c r="E138" t="inlineStr">
        <is>
          <t>KRISTINEHAMN</t>
        </is>
      </c>
      <c r="G138" t="n">
        <v>11.3</v>
      </c>
      <c r="H138" t="n">
        <v>0</v>
      </c>
      <c r="I138" t="n">
        <v>1</v>
      </c>
      <c r="J138" t="n">
        <v>1</v>
      </c>
      <c r="K138" t="n">
        <v>0</v>
      </c>
      <c r="L138" t="n">
        <v>0</v>
      </c>
      <c r="M138" t="n">
        <v>0</v>
      </c>
      <c r="N138" t="n">
        <v>0</v>
      </c>
      <c r="O138" t="n">
        <v>1</v>
      </c>
      <c r="P138" t="n">
        <v>0</v>
      </c>
      <c r="Q138" t="n">
        <v>2</v>
      </c>
      <c r="R138" s="2" t="inlineStr">
        <is>
          <t>Dvärgbägarlav
Vedticka</t>
        </is>
      </c>
      <c r="S138">
        <f>HYPERLINK("https://klasma.github.io/Logging_1781/artfynd/A 10801-2019 artfynd.xlsx", "A 10801-2019")</f>
        <v/>
      </c>
      <c r="T138">
        <f>HYPERLINK("https://klasma.github.io/Logging_1781/kartor/A 10801-2019 karta.png", "A 10801-2019")</f>
        <v/>
      </c>
      <c r="V138">
        <f>HYPERLINK("https://klasma.github.io/Logging_1781/klagomål/A 10801-2019 FSC-klagomål.docx", "A 10801-2019")</f>
        <v/>
      </c>
      <c r="W138">
        <f>HYPERLINK("https://klasma.github.io/Logging_1781/klagomålsmail/A 10801-2019 FSC-klagomål mail.docx", "A 10801-2019")</f>
        <v/>
      </c>
      <c r="X138">
        <f>HYPERLINK("https://klasma.github.io/Logging_1781/tillsyn/A 10801-2019 tillsynsbegäran.docx", "A 10801-2019")</f>
        <v/>
      </c>
      <c r="Y138">
        <f>HYPERLINK("https://klasma.github.io/Logging_1781/tillsynsmail/A 10801-2019 tillsynsbegäran mail.docx", "A 10801-2019")</f>
        <v/>
      </c>
    </row>
    <row r="139" ht="15" customHeight="1">
      <c r="A139" t="inlineStr">
        <is>
          <t>A 13511-2019</t>
        </is>
      </c>
      <c r="B139" s="1" t="n">
        <v>43530</v>
      </c>
      <c r="C139" s="1" t="n">
        <v>45222</v>
      </c>
      <c r="D139" t="inlineStr">
        <is>
          <t>VÄRMLANDS LÄN</t>
        </is>
      </c>
      <c r="E139" t="inlineStr">
        <is>
          <t>KRISTINEHAMN</t>
        </is>
      </c>
      <c r="G139" t="n">
        <v>7.4</v>
      </c>
      <c r="H139" t="n">
        <v>1</v>
      </c>
      <c r="I139" t="n">
        <v>0</v>
      </c>
      <c r="J139" t="n">
        <v>1</v>
      </c>
      <c r="K139" t="n">
        <v>1</v>
      </c>
      <c r="L139" t="n">
        <v>0</v>
      </c>
      <c r="M139" t="n">
        <v>0</v>
      </c>
      <c r="N139" t="n">
        <v>0</v>
      </c>
      <c r="O139" t="n">
        <v>2</v>
      </c>
      <c r="P139" t="n">
        <v>1</v>
      </c>
      <c r="Q139" t="n">
        <v>2</v>
      </c>
      <c r="R139" s="2" t="inlineStr">
        <is>
          <t>Bombmurkla
Fyrflikig jordstjärna</t>
        </is>
      </c>
      <c r="S139">
        <f>HYPERLINK("https://klasma.github.io/Logging_1781/artfynd/A 13511-2019 artfynd.xlsx", "A 13511-2019")</f>
        <v/>
      </c>
      <c r="T139">
        <f>HYPERLINK("https://klasma.github.io/Logging_1781/kartor/A 13511-2019 karta.png", "A 13511-2019")</f>
        <v/>
      </c>
      <c r="V139">
        <f>HYPERLINK("https://klasma.github.io/Logging_1781/klagomål/A 13511-2019 FSC-klagomål.docx", "A 13511-2019")</f>
        <v/>
      </c>
      <c r="W139">
        <f>HYPERLINK("https://klasma.github.io/Logging_1781/klagomålsmail/A 13511-2019 FSC-klagomål mail.docx", "A 13511-2019")</f>
        <v/>
      </c>
      <c r="X139">
        <f>HYPERLINK("https://klasma.github.io/Logging_1781/tillsyn/A 13511-2019 tillsynsbegäran.docx", "A 13511-2019")</f>
        <v/>
      </c>
      <c r="Y139">
        <f>HYPERLINK("https://klasma.github.io/Logging_1781/tillsynsmail/A 13511-2019 tillsynsbegäran mail.docx", "A 13511-2019")</f>
        <v/>
      </c>
    </row>
    <row r="140" ht="15" customHeight="1">
      <c r="A140" t="inlineStr">
        <is>
          <t>A 17617-2019</t>
        </is>
      </c>
      <c r="B140" s="1" t="n">
        <v>43555</v>
      </c>
      <c r="C140" s="1" t="n">
        <v>45222</v>
      </c>
      <c r="D140" t="inlineStr">
        <is>
          <t>VÄRMLANDS LÄN</t>
        </is>
      </c>
      <c r="E140" t="inlineStr">
        <is>
          <t>TORSBY</t>
        </is>
      </c>
      <c r="G140" t="n">
        <v>1.4</v>
      </c>
      <c r="H140" t="n">
        <v>0</v>
      </c>
      <c r="I140" t="n">
        <v>0</v>
      </c>
      <c r="J140" t="n">
        <v>1</v>
      </c>
      <c r="K140" t="n">
        <v>1</v>
      </c>
      <c r="L140" t="n">
        <v>0</v>
      </c>
      <c r="M140" t="n">
        <v>0</v>
      </c>
      <c r="N140" t="n">
        <v>0</v>
      </c>
      <c r="O140" t="n">
        <v>2</v>
      </c>
      <c r="P140" t="n">
        <v>1</v>
      </c>
      <c r="Q140" t="n">
        <v>2</v>
      </c>
      <c r="R140" s="2" t="inlineStr">
        <is>
          <t>Laxporing
Veckticka</t>
        </is>
      </c>
      <c r="S140">
        <f>HYPERLINK("https://klasma.github.io/Logging_1737/artfynd/A 17617-2019 artfynd.xlsx", "A 17617-2019")</f>
        <v/>
      </c>
      <c r="T140">
        <f>HYPERLINK("https://klasma.github.io/Logging_1737/kartor/A 17617-2019 karta.png", "A 17617-2019")</f>
        <v/>
      </c>
      <c r="U140">
        <f>HYPERLINK("https://klasma.github.io/Logging_1737/knärot/A 17617-2019 karta knärot.png", "A 17617-2019")</f>
        <v/>
      </c>
      <c r="V140">
        <f>HYPERLINK("https://klasma.github.io/Logging_1737/klagomål/A 17617-2019 FSC-klagomål.docx", "A 17617-2019")</f>
        <v/>
      </c>
      <c r="W140">
        <f>HYPERLINK("https://klasma.github.io/Logging_1737/klagomålsmail/A 17617-2019 FSC-klagomål mail.docx", "A 17617-2019")</f>
        <v/>
      </c>
      <c r="X140">
        <f>HYPERLINK("https://klasma.github.io/Logging_1737/tillsyn/A 17617-2019 tillsynsbegäran.docx", "A 17617-2019")</f>
        <v/>
      </c>
      <c r="Y140">
        <f>HYPERLINK("https://klasma.github.io/Logging_1737/tillsynsmail/A 17617-2019 tillsynsbegäran mail.docx", "A 17617-2019")</f>
        <v/>
      </c>
    </row>
    <row r="141" ht="15" customHeight="1">
      <c r="A141" t="inlineStr">
        <is>
          <t>A 18528-2019</t>
        </is>
      </c>
      <c r="B141" s="1" t="n">
        <v>43559</v>
      </c>
      <c r="C141" s="1" t="n">
        <v>45222</v>
      </c>
      <c r="D141" t="inlineStr">
        <is>
          <t>VÄRMLANDS LÄN</t>
        </is>
      </c>
      <c r="E141" t="inlineStr">
        <is>
          <t>TORSBY</t>
        </is>
      </c>
      <c r="G141" t="n">
        <v>1.9</v>
      </c>
      <c r="H141" t="n">
        <v>0</v>
      </c>
      <c r="I141" t="n">
        <v>1</v>
      </c>
      <c r="J141" t="n">
        <v>1</v>
      </c>
      <c r="K141" t="n">
        <v>0</v>
      </c>
      <c r="L141" t="n">
        <v>0</v>
      </c>
      <c r="M141" t="n">
        <v>0</v>
      </c>
      <c r="N141" t="n">
        <v>0</v>
      </c>
      <c r="O141" t="n">
        <v>1</v>
      </c>
      <c r="P141" t="n">
        <v>0</v>
      </c>
      <c r="Q141" t="n">
        <v>2</v>
      </c>
      <c r="R141" s="2" t="inlineStr">
        <is>
          <t>Lunglav
Kattfotslav</t>
        </is>
      </c>
      <c r="S141">
        <f>HYPERLINK("https://klasma.github.io/Logging_1737/artfynd/A 18528-2019 artfynd.xlsx", "A 18528-2019")</f>
        <v/>
      </c>
      <c r="T141">
        <f>HYPERLINK("https://klasma.github.io/Logging_1737/kartor/A 18528-2019 karta.png", "A 18528-2019")</f>
        <v/>
      </c>
      <c r="V141">
        <f>HYPERLINK("https://klasma.github.io/Logging_1737/klagomål/A 18528-2019 FSC-klagomål.docx", "A 18528-2019")</f>
        <v/>
      </c>
      <c r="W141">
        <f>HYPERLINK("https://klasma.github.io/Logging_1737/klagomålsmail/A 18528-2019 FSC-klagomål mail.docx", "A 18528-2019")</f>
        <v/>
      </c>
      <c r="X141">
        <f>HYPERLINK("https://klasma.github.io/Logging_1737/tillsyn/A 18528-2019 tillsynsbegäran.docx", "A 18528-2019")</f>
        <v/>
      </c>
      <c r="Y141">
        <f>HYPERLINK("https://klasma.github.io/Logging_1737/tillsynsmail/A 18528-2019 tillsynsbegäran mail.docx", "A 18528-2019")</f>
        <v/>
      </c>
    </row>
    <row r="142" ht="15" customHeight="1">
      <c r="A142" t="inlineStr">
        <is>
          <t>A 60661-2019</t>
        </is>
      </c>
      <c r="B142" s="1" t="n">
        <v>43781</v>
      </c>
      <c r="C142" s="1" t="n">
        <v>45222</v>
      </c>
      <c r="D142" t="inlineStr">
        <is>
          <t>VÄRMLANDS LÄN</t>
        </is>
      </c>
      <c r="E142" t="inlineStr">
        <is>
          <t>TORSBY</t>
        </is>
      </c>
      <c r="F142" t="inlineStr">
        <is>
          <t>Bergvik skog väst AB</t>
        </is>
      </c>
      <c r="G142" t="n">
        <v>40.4</v>
      </c>
      <c r="H142" t="n">
        <v>2</v>
      </c>
      <c r="I142" t="n">
        <v>0</v>
      </c>
      <c r="J142" t="n">
        <v>2</v>
      </c>
      <c r="K142" t="n">
        <v>0</v>
      </c>
      <c r="L142" t="n">
        <v>0</v>
      </c>
      <c r="M142" t="n">
        <v>0</v>
      </c>
      <c r="N142" t="n">
        <v>0</v>
      </c>
      <c r="O142" t="n">
        <v>2</v>
      </c>
      <c r="P142" t="n">
        <v>0</v>
      </c>
      <c r="Q142" t="n">
        <v>2</v>
      </c>
      <c r="R142" s="2" t="inlineStr">
        <is>
          <t>Kråka
Spillkråka</t>
        </is>
      </c>
      <c r="S142">
        <f>HYPERLINK("https://klasma.github.io/Logging_1737/artfynd/A 60661-2019 artfynd.xlsx", "A 60661-2019")</f>
        <v/>
      </c>
      <c r="T142">
        <f>HYPERLINK("https://klasma.github.io/Logging_1737/kartor/A 60661-2019 karta.png", "A 60661-2019")</f>
        <v/>
      </c>
      <c r="V142">
        <f>HYPERLINK("https://klasma.github.io/Logging_1737/klagomål/A 60661-2019 FSC-klagomål.docx", "A 60661-2019")</f>
        <v/>
      </c>
      <c r="W142">
        <f>HYPERLINK("https://klasma.github.io/Logging_1737/klagomålsmail/A 60661-2019 FSC-klagomål mail.docx", "A 60661-2019")</f>
        <v/>
      </c>
      <c r="X142">
        <f>HYPERLINK("https://klasma.github.io/Logging_1737/tillsyn/A 60661-2019 tillsynsbegäran.docx", "A 60661-2019")</f>
        <v/>
      </c>
      <c r="Y142">
        <f>HYPERLINK("https://klasma.github.io/Logging_1737/tillsynsmail/A 60661-2019 tillsynsbegäran mail.docx", "A 60661-2019")</f>
        <v/>
      </c>
    </row>
    <row r="143" ht="15" customHeight="1">
      <c r="A143" t="inlineStr">
        <is>
          <t>A 68629-2019</t>
        </is>
      </c>
      <c r="B143" s="1" t="n">
        <v>43819</v>
      </c>
      <c r="C143" s="1" t="n">
        <v>45222</v>
      </c>
      <c r="D143" t="inlineStr">
        <is>
          <t>VÄRMLANDS LÄN</t>
        </is>
      </c>
      <c r="E143" t="inlineStr">
        <is>
          <t>ARVIKA</t>
        </is>
      </c>
      <c r="G143" t="n">
        <v>11.3</v>
      </c>
      <c r="H143" t="n">
        <v>1</v>
      </c>
      <c r="I143" t="n">
        <v>0</v>
      </c>
      <c r="J143" t="n">
        <v>2</v>
      </c>
      <c r="K143" t="n">
        <v>0</v>
      </c>
      <c r="L143" t="n">
        <v>0</v>
      </c>
      <c r="M143" t="n">
        <v>0</v>
      </c>
      <c r="N143" t="n">
        <v>0</v>
      </c>
      <c r="O143" t="n">
        <v>2</v>
      </c>
      <c r="P143" t="n">
        <v>0</v>
      </c>
      <c r="Q143" t="n">
        <v>2</v>
      </c>
      <c r="R143" s="2" t="inlineStr">
        <is>
          <t>Dvärglin
Havsörn</t>
        </is>
      </c>
      <c r="S143">
        <f>HYPERLINK("https://klasma.github.io/Logging_1784/artfynd/A 68629-2019 artfynd.xlsx", "A 68629-2019")</f>
        <v/>
      </c>
      <c r="T143">
        <f>HYPERLINK("https://klasma.github.io/Logging_1784/kartor/A 68629-2019 karta.png", "A 68629-2019")</f>
        <v/>
      </c>
      <c r="V143">
        <f>HYPERLINK("https://klasma.github.io/Logging_1784/klagomål/A 68629-2019 FSC-klagomål.docx", "A 68629-2019")</f>
        <v/>
      </c>
      <c r="W143">
        <f>HYPERLINK("https://klasma.github.io/Logging_1784/klagomålsmail/A 68629-2019 FSC-klagomål mail.docx", "A 68629-2019")</f>
        <v/>
      </c>
      <c r="X143">
        <f>HYPERLINK("https://klasma.github.io/Logging_1784/tillsyn/A 68629-2019 tillsynsbegäran.docx", "A 68629-2019")</f>
        <v/>
      </c>
      <c r="Y143">
        <f>HYPERLINK("https://klasma.github.io/Logging_1784/tillsynsmail/A 68629-2019 tillsynsbegäran mail.docx", "A 68629-2019")</f>
        <v/>
      </c>
    </row>
    <row r="144" ht="15" customHeight="1">
      <c r="A144" t="inlineStr">
        <is>
          <t>A 3380-2020</t>
        </is>
      </c>
      <c r="B144" s="1" t="n">
        <v>43852</v>
      </c>
      <c r="C144" s="1" t="n">
        <v>45222</v>
      </c>
      <c r="D144" t="inlineStr">
        <is>
          <t>VÄRMLANDS LÄN</t>
        </is>
      </c>
      <c r="E144" t="inlineStr">
        <is>
          <t>ÅRJÄNG</t>
        </is>
      </c>
      <c r="G144" t="n">
        <v>3.8</v>
      </c>
      <c r="H144" t="n">
        <v>1</v>
      </c>
      <c r="I144" t="n">
        <v>1</v>
      </c>
      <c r="J144" t="n">
        <v>1</v>
      </c>
      <c r="K144" t="n">
        <v>0</v>
      </c>
      <c r="L144" t="n">
        <v>0</v>
      </c>
      <c r="M144" t="n">
        <v>0</v>
      </c>
      <c r="N144" t="n">
        <v>0</v>
      </c>
      <c r="O144" t="n">
        <v>1</v>
      </c>
      <c r="P144" t="n">
        <v>0</v>
      </c>
      <c r="Q144" t="n">
        <v>2</v>
      </c>
      <c r="R144" s="2" t="inlineStr">
        <is>
          <t>Kådvaxskinn
Spindelblomster</t>
        </is>
      </c>
      <c r="S144">
        <f>HYPERLINK("https://klasma.github.io/Logging_1765/artfynd/A 3380-2020 artfynd.xlsx", "A 3380-2020")</f>
        <v/>
      </c>
      <c r="T144">
        <f>HYPERLINK("https://klasma.github.io/Logging_1765/kartor/A 3380-2020 karta.png", "A 3380-2020")</f>
        <v/>
      </c>
      <c r="V144">
        <f>HYPERLINK("https://klasma.github.io/Logging_1765/klagomål/A 3380-2020 FSC-klagomål.docx", "A 3380-2020")</f>
        <v/>
      </c>
      <c r="W144">
        <f>HYPERLINK("https://klasma.github.io/Logging_1765/klagomålsmail/A 3380-2020 FSC-klagomål mail.docx", "A 3380-2020")</f>
        <v/>
      </c>
      <c r="X144">
        <f>HYPERLINK("https://klasma.github.io/Logging_1765/tillsyn/A 3380-2020 tillsynsbegäran.docx", "A 3380-2020")</f>
        <v/>
      </c>
      <c r="Y144">
        <f>HYPERLINK("https://klasma.github.io/Logging_1765/tillsynsmail/A 3380-2020 tillsynsbegäran mail.docx", "A 3380-2020")</f>
        <v/>
      </c>
    </row>
    <row r="145" ht="15" customHeight="1">
      <c r="A145" t="inlineStr">
        <is>
          <t>A 9464-2020</t>
        </is>
      </c>
      <c r="B145" s="1" t="n">
        <v>43880</v>
      </c>
      <c r="C145" s="1" t="n">
        <v>45222</v>
      </c>
      <c r="D145" t="inlineStr">
        <is>
          <t>VÄRMLANDS LÄN</t>
        </is>
      </c>
      <c r="E145" t="inlineStr">
        <is>
          <t>ÅRJÄNG</t>
        </is>
      </c>
      <c r="G145" t="n">
        <v>5.3</v>
      </c>
      <c r="H145" t="n">
        <v>1</v>
      </c>
      <c r="I145" t="n">
        <v>1</v>
      </c>
      <c r="J145" t="n">
        <v>0</v>
      </c>
      <c r="K145" t="n">
        <v>1</v>
      </c>
      <c r="L145" t="n">
        <v>0</v>
      </c>
      <c r="M145" t="n">
        <v>0</v>
      </c>
      <c r="N145" t="n">
        <v>0</v>
      </c>
      <c r="O145" t="n">
        <v>1</v>
      </c>
      <c r="P145" t="n">
        <v>1</v>
      </c>
      <c r="Q145" t="n">
        <v>2</v>
      </c>
      <c r="R145" s="2" t="inlineStr">
        <is>
          <t>Knärot
Gullgröppa</t>
        </is>
      </c>
      <c r="S145">
        <f>HYPERLINK("https://klasma.github.io/Logging_1765/artfynd/A 9464-2020 artfynd.xlsx", "A 9464-2020")</f>
        <v/>
      </c>
      <c r="T145">
        <f>HYPERLINK("https://klasma.github.io/Logging_1765/kartor/A 9464-2020 karta.png", "A 9464-2020")</f>
        <v/>
      </c>
      <c r="U145">
        <f>HYPERLINK("https://klasma.github.io/Logging_1765/knärot/A 9464-2020 karta knärot.png", "A 9464-2020")</f>
        <v/>
      </c>
      <c r="V145">
        <f>HYPERLINK("https://klasma.github.io/Logging_1765/klagomål/A 9464-2020 FSC-klagomål.docx", "A 9464-2020")</f>
        <v/>
      </c>
      <c r="W145">
        <f>HYPERLINK("https://klasma.github.io/Logging_1765/klagomålsmail/A 9464-2020 FSC-klagomål mail.docx", "A 9464-2020")</f>
        <v/>
      </c>
      <c r="X145">
        <f>HYPERLINK("https://klasma.github.io/Logging_1765/tillsyn/A 9464-2020 tillsynsbegäran.docx", "A 9464-2020")</f>
        <v/>
      </c>
      <c r="Y145">
        <f>HYPERLINK("https://klasma.github.io/Logging_1765/tillsynsmail/A 9464-2020 tillsynsbegäran mail.docx", "A 9464-2020")</f>
        <v/>
      </c>
    </row>
    <row r="146" ht="15" customHeight="1">
      <c r="A146" t="inlineStr">
        <is>
          <t>A 18231-2020</t>
        </is>
      </c>
      <c r="B146" s="1" t="n">
        <v>43928</v>
      </c>
      <c r="C146" s="1" t="n">
        <v>45222</v>
      </c>
      <c r="D146" t="inlineStr">
        <is>
          <t>VÄRMLANDS LÄN</t>
        </is>
      </c>
      <c r="E146" t="inlineStr">
        <is>
          <t>KARLSTAD</t>
        </is>
      </c>
      <c r="G146" t="n">
        <v>0.5</v>
      </c>
      <c r="H146" t="n">
        <v>2</v>
      </c>
      <c r="I146" t="n">
        <v>0</v>
      </c>
      <c r="J146" t="n">
        <v>0</v>
      </c>
      <c r="K146" t="n">
        <v>1</v>
      </c>
      <c r="L146" t="n">
        <v>0</v>
      </c>
      <c r="M146" t="n">
        <v>0</v>
      </c>
      <c r="N146" t="n">
        <v>0</v>
      </c>
      <c r="O146" t="n">
        <v>1</v>
      </c>
      <c r="P146" t="n">
        <v>1</v>
      </c>
      <c r="Q146" t="n">
        <v>2</v>
      </c>
      <c r="R146" s="2" t="inlineStr">
        <is>
          <t>Knärot
Mattlummer</t>
        </is>
      </c>
      <c r="S146">
        <f>HYPERLINK("https://klasma.github.io/Logging_1780/artfynd/A 18231-2020 artfynd.xlsx", "A 18231-2020")</f>
        <v/>
      </c>
      <c r="T146">
        <f>HYPERLINK("https://klasma.github.io/Logging_1780/kartor/A 18231-2020 karta.png", "A 18231-2020")</f>
        <v/>
      </c>
      <c r="U146">
        <f>HYPERLINK("https://klasma.github.io/Logging_1780/knärot/A 18231-2020 karta knärot.png", "A 18231-2020")</f>
        <v/>
      </c>
      <c r="V146">
        <f>HYPERLINK("https://klasma.github.io/Logging_1780/klagomål/A 18231-2020 FSC-klagomål.docx", "A 18231-2020")</f>
        <v/>
      </c>
      <c r="W146">
        <f>HYPERLINK("https://klasma.github.io/Logging_1780/klagomålsmail/A 18231-2020 FSC-klagomål mail.docx", "A 18231-2020")</f>
        <v/>
      </c>
      <c r="X146">
        <f>HYPERLINK("https://klasma.github.io/Logging_1780/tillsyn/A 18231-2020 tillsynsbegäran.docx", "A 18231-2020")</f>
        <v/>
      </c>
      <c r="Y146">
        <f>HYPERLINK("https://klasma.github.io/Logging_1780/tillsynsmail/A 18231-2020 tillsynsbegäran mail.docx", "A 18231-2020")</f>
        <v/>
      </c>
    </row>
    <row r="147" ht="15" customHeight="1">
      <c r="A147" t="inlineStr">
        <is>
          <t>A 34418-2020</t>
        </is>
      </c>
      <c r="B147" s="1" t="n">
        <v>44029</v>
      </c>
      <c r="C147" s="1" t="n">
        <v>45222</v>
      </c>
      <c r="D147" t="inlineStr">
        <is>
          <t>VÄRMLANDS LÄN</t>
        </is>
      </c>
      <c r="E147" t="inlineStr">
        <is>
          <t>STORFORS</t>
        </is>
      </c>
      <c r="G147" t="n">
        <v>3.1</v>
      </c>
      <c r="H147" t="n">
        <v>0</v>
      </c>
      <c r="I147" t="n">
        <v>1</v>
      </c>
      <c r="J147" t="n">
        <v>1</v>
      </c>
      <c r="K147" t="n">
        <v>0</v>
      </c>
      <c r="L147" t="n">
        <v>0</v>
      </c>
      <c r="M147" t="n">
        <v>0</v>
      </c>
      <c r="N147" t="n">
        <v>0</v>
      </c>
      <c r="O147" t="n">
        <v>1</v>
      </c>
      <c r="P147" t="n">
        <v>0</v>
      </c>
      <c r="Q147" t="n">
        <v>2</v>
      </c>
      <c r="R147" s="2" t="inlineStr">
        <is>
          <t>Lunglav
Fällmossa</t>
        </is>
      </c>
      <c r="S147">
        <f>HYPERLINK("https://klasma.github.io/Logging_1760/artfynd/A 34418-2020 artfynd.xlsx", "A 34418-2020")</f>
        <v/>
      </c>
      <c r="T147">
        <f>HYPERLINK("https://klasma.github.io/Logging_1760/kartor/A 34418-2020 karta.png", "A 34418-2020")</f>
        <v/>
      </c>
      <c r="V147">
        <f>HYPERLINK("https://klasma.github.io/Logging_1760/klagomål/A 34418-2020 FSC-klagomål.docx", "A 34418-2020")</f>
        <v/>
      </c>
      <c r="W147">
        <f>HYPERLINK("https://klasma.github.io/Logging_1760/klagomålsmail/A 34418-2020 FSC-klagomål mail.docx", "A 34418-2020")</f>
        <v/>
      </c>
      <c r="X147">
        <f>HYPERLINK("https://klasma.github.io/Logging_1760/tillsyn/A 34418-2020 tillsynsbegäran.docx", "A 34418-2020")</f>
        <v/>
      </c>
      <c r="Y147">
        <f>HYPERLINK("https://klasma.github.io/Logging_1760/tillsynsmail/A 34418-2020 tillsynsbegäran mail.docx", "A 34418-2020")</f>
        <v/>
      </c>
    </row>
    <row r="148" ht="15" customHeight="1">
      <c r="A148" t="inlineStr">
        <is>
          <t>A 42882-2020</t>
        </is>
      </c>
      <c r="B148" s="1" t="n">
        <v>44078</v>
      </c>
      <c r="C148" s="1" t="n">
        <v>45222</v>
      </c>
      <c r="D148" t="inlineStr">
        <is>
          <t>VÄRMLANDS LÄN</t>
        </is>
      </c>
      <c r="E148" t="inlineStr">
        <is>
          <t>FILIPSTAD</t>
        </is>
      </c>
      <c r="F148" t="inlineStr">
        <is>
          <t>Bergvik skog väst AB</t>
        </is>
      </c>
      <c r="G148" t="n">
        <v>2.2</v>
      </c>
      <c r="H148" t="n">
        <v>0</v>
      </c>
      <c r="I148" t="n">
        <v>0</v>
      </c>
      <c r="J148" t="n">
        <v>2</v>
      </c>
      <c r="K148" t="n">
        <v>0</v>
      </c>
      <c r="L148" t="n">
        <v>0</v>
      </c>
      <c r="M148" t="n">
        <v>0</v>
      </c>
      <c r="N148" t="n">
        <v>0</v>
      </c>
      <c r="O148" t="n">
        <v>2</v>
      </c>
      <c r="P148" t="n">
        <v>0</v>
      </c>
      <c r="Q148" t="n">
        <v>2</v>
      </c>
      <c r="R148" s="2" t="inlineStr">
        <is>
          <t>Lunglav
Stjärntagging</t>
        </is>
      </c>
      <c r="S148">
        <f>HYPERLINK("https://klasma.github.io/Logging_1782/artfynd/A 42882-2020 artfynd.xlsx", "A 42882-2020")</f>
        <v/>
      </c>
      <c r="T148">
        <f>HYPERLINK("https://klasma.github.io/Logging_1782/kartor/A 42882-2020 karta.png", "A 42882-2020")</f>
        <v/>
      </c>
      <c r="V148">
        <f>HYPERLINK("https://klasma.github.io/Logging_1782/klagomål/A 42882-2020 FSC-klagomål.docx", "A 42882-2020")</f>
        <v/>
      </c>
      <c r="W148">
        <f>HYPERLINK("https://klasma.github.io/Logging_1782/klagomålsmail/A 42882-2020 FSC-klagomål mail.docx", "A 42882-2020")</f>
        <v/>
      </c>
      <c r="X148">
        <f>HYPERLINK("https://klasma.github.io/Logging_1782/tillsyn/A 42882-2020 tillsynsbegäran.docx", "A 42882-2020")</f>
        <v/>
      </c>
      <c r="Y148">
        <f>HYPERLINK("https://klasma.github.io/Logging_1782/tillsynsmail/A 42882-2020 tillsynsbegäran mail.docx", "A 42882-2020")</f>
        <v/>
      </c>
    </row>
    <row r="149" ht="15" customHeight="1">
      <c r="A149" t="inlineStr">
        <is>
          <t>A 43407-2020</t>
        </is>
      </c>
      <c r="B149" s="1" t="n">
        <v>44081</v>
      </c>
      <c r="C149" s="1" t="n">
        <v>45222</v>
      </c>
      <c r="D149" t="inlineStr">
        <is>
          <t>VÄRMLANDS LÄN</t>
        </is>
      </c>
      <c r="E149" t="inlineStr">
        <is>
          <t>KRISTINEHAMN</t>
        </is>
      </c>
      <c r="G149" t="n">
        <v>6.9</v>
      </c>
      <c r="H149" t="n">
        <v>2</v>
      </c>
      <c r="I149" t="n">
        <v>0</v>
      </c>
      <c r="J149" t="n">
        <v>0</v>
      </c>
      <c r="K149" t="n">
        <v>2</v>
      </c>
      <c r="L149" t="n">
        <v>0</v>
      </c>
      <c r="M149" t="n">
        <v>0</v>
      </c>
      <c r="N149" t="n">
        <v>0</v>
      </c>
      <c r="O149" t="n">
        <v>2</v>
      </c>
      <c r="P149" t="n">
        <v>2</v>
      </c>
      <c r="Q149" t="n">
        <v>2</v>
      </c>
      <c r="R149" s="2" t="inlineStr">
        <is>
          <t>Bombmurkla
Knärot</t>
        </is>
      </c>
      <c r="S149">
        <f>HYPERLINK("https://klasma.github.io/Logging_1781/artfynd/A 43407-2020 artfynd.xlsx", "A 43407-2020")</f>
        <v/>
      </c>
      <c r="T149">
        <f>HYPERLINK("https://klasma.github.io/Logging_1781/kartor/A 43407-2020 karta.png", "A 43407-2020")</f>
        <v/>
      </c>
      <c r="U149">
        <f>HYPERLINK("https://klasma.github.io/Logging_1781/knärot/A 43407-2020 karta knärot.png", "A 43407-2020")</f>
        <v/>
      </c>
      <c r="V149">
        <f>HYPERLINK("https://klasma.github.io/Logging_1781/klagomål/A 43407-2020 FSC-klagomål.docx", "A 43407-2020")</f>
        <v/>
      </c>
      <c r="W149">
        <f>HYPERLINK("https://klasma.github.io/Logging_1781/klagomålsmail/A 43407-2020 FSC-klagomål mail.docx", "A 43407-2020")</f>
        <v/>
      </c>
      <c r="X149">
        <f>HYPERLINK("https://klasma.github.io/Logging_1781/tillsyn/A 43407-2020 tillsynsbegäran.docx", "A 43407-2020")</f>
        <v/>
      </c>
      <c r="Y149">
        <f>HYPERLINK("https://klasma.github.io/Logging_1781/tillsynsmail/A 43407-2020 tillsynsbegäran mail.docx", "A 43407-2020")</f>
        <v/>
      </c>
    </row>
    <row r="150" ht="15" customHeight="1">
      <c r="A150" t="inlineStr">
        <is>
          <t>A 53198-2020</t>
        </is>
      </c>
      <c r="B150" s="1" t="n">
        <v>44122</v>
      </c>
      <c r="C150" s="1" t="n">
        <v>45222</v>
      </c>
      <c r="D150" t="inlineStr">
        <is>
          <t>VÄRMLANDS LÄN</t>
        </is>
      </c>
      <c r="E150" t="inlineStr">
        <is>
          <t>TORSBY</t>
        </is>
      </c>
      <c r="G150" t="n">
        <v>6.5</v>
      </c>
      <c r="H150" t="n">
        <v>0</v>
      </c>
      <c r="I150" t="n">
        <v>0</v>
      </c>
      <c r="J150" t="n">
        <v>2</v>
      </c>
      <c r="K150" t="n">
        <v>0</v>
      </c>
      <c r="L150" t="n">
        <v>0</v>
      </c>
      <c r="M150" t="n">
        <v>0</v>
      </c>
      <c r="N150" t="n">
        <v>0</v>
      </c>
      <c r="O150" t="n">
        <v>2</v>
      </c>
      <c r="P150" t="n">
        <v>0</v>
      </c>
      <c r="Q150" t="n">
        <v>2</v>
      </c>
      <c r="R150" s="2" t="inlineStr">
        <is>
          <t>Garnlav
Kolflarnlav</t>
        </is>
      </c>
      <c r="S150">
        <f>HYPERLINK("https://klasma.github.io/Logging_1737/artfynd/A 53198-2020 artfynd.xlsx", "A 53198-2020")</f>
        <v/>
      </c>
      <c r="T150">
        <f>HYPERLINK("https://klasma.github.io/Logging_1737/kartor/A 53198-2020 karta.png", "A 53198-2020")</f>
        <v/>
      </c>
      <c r="V150">
        <f>HYPERLINK("https://klasma.github.io/Logging_1737/klagomål/A 53198-2020 FSC-klagomål.docx", "A 53198-2020")</f>
        <v/>
      </c>
      <c r="W150">
        <f>HYPERLINK("https://klasma.github.io/Logging_1737/klagomålsmail/A 53198-2020 FSC-klagomål mail.docx", "A 53198-2020")</f>
        <v/>
      </c>
      <c r="X150">
        <f>HYPERLINK("https://klasma.github.io/Logging_1737/tillsyn/A 53198-2020 tillsynsbegäran.docx", "A 53198-2020")</f>
        <v/>
      </c>
      <c r="Y150">
        <f>HYPERLINK("https://klasma.github.io/Logging_1737/tillsynsmail/A 53198-2020 tillsynsbegäran mail.docx", "A 53198-2020")</f>
        <v/>
      </c>
    </row>
    <row r="151" ht="15" customHeight="1">
      <c r="A151" t="inlineStr">
        <is>
          <t>A 1524-2021</t>
        </is>
      </c>
      <c r="B151" s="1" t="n">
        <v>44209</v>
      </c>
      <c r="C151" s="1" t="n">
        <v>45222</v>
      </c>
      <c r="D151" t="inlineStr">
        <is>
          <t>VÄRMLANDS LÄN</t>
        </is>
      </c>
      <c r="E151" t="inlineStr">
        <is>
          <t>TORSBY</t>
        </is>
      </c>
      <c r="G151" t="n">
        <v>1</v>
      </c>
      <c r="H151" t="n">
        <v>0</v>
      </c>
      <c r="I151" t="n">
        <v>2</v>
      </c>
      <c r="J151" t="n">
        <v>0</v>
      </c>
      <c r="K151" t="n">
        <v>0</v>
      </c>
      <c r="L151" t="n">
        <v>0</v>
      </c>
      <c r="M151" t="n">
        <v>0</v>
      </c>
      <c r="N151" t="n">
        <v>0</v>
      </c>
      <c r="O151" t="n">
        <v>0</v>
      </c>
      <c r="P151" t="n">
        <v>0</v>
      </c>
      <c r="Q151" t="n">
        <v>2</v>
      </c>
      <c r="R151" s="2" t="inlineStr">
        <is>
          <t>Dropptaggsvamp
Skarp dropptaggsvamp</t>
        </is>
      </c>
      <c r="S151">
        <f>HYPERLINK("https://klasma.github.io/Logging_1737/artfynd/A 1524-2021 artfynd.xlsx", "A 1524-2021")</f>
        <v/>
      </c>
      <c r="T151">
        <f>HYPERLINK("https://klasma.github.io/Logging_1737/kartor/A 1524-2021 karta.png", "A 1524-2021")</f>
        <v/>
      </c>
      <c r="V151">
        <f>HYPERLINK("https://klasma.github.io/Logging_1737/klagomål/A 1524-2021 FSC-klagomål.docx", "A 1524-2021")</f>
        <v/>
      </c>
      <c r="W151">
        <f>HYPERLINK("https://klasma.github.io/Logging_1737/klagomålsmail/A 1524-2021 FSC-klagomål mail.docx", "A 1524-2021")</f>
        <v/>
      </c>
      <c r="X151">
        <f>HYPERLINK("https://klasma.github.io/Logging_1737/tillsyn/A 1524-2021 tillsynsbegäran.docx", "A 1524-2021")</f>
        <v/>
      </c>
      <c r="Y151">
        <f>HYPERLINK("https://klasma.github.io/Logging_1737/tillsynsmail/A 1524-2021 tillsynsbegäran mail.docx", "A 1524-2021")</f>
        <v/>
      </c>
    </row>
    <row r="152" ht="15" customHeight="1">
      <c r="A152" t="inlineStr">
        <is>
          <t>A 10098-2021</t>
        </is>
      </c>
      <c r="B152" s="1" t="n">
        <v>44253</v>
      </c>
      <c r="C152" s="1" t="n">
        <v>45222</v>
      </c>
      <c r="D152" t="inlineStr">
        <is>
          <t>VÄRMLANDS LÄN</t>
        </is>
      </c>
      <c r="E152" t="inlineStr">
        <is>
          <t>GRUMS</t>
        </is>
      </c>
      <c r="F152" t="inlineStr">
        <is>
          <t>Bergvik skog väst AB</t>
        </is>
      </c>
      <c r="G152" t="n">
        <v>8.4</v>
      </c>
      <c r="H152" t="n">
        <v>2</v>
      </c>
      <c r="I152" t="n">
        <v>0</v>
      </c>
      <c r="J152" t="n">
        <v>1</v>
      </c>
      <c r="K152" t="n">
        <v>0</v>
      </c>
      <c r="L152" t="n">
        <v>0</v>
      </c>
      <c r="M152" t="n">
        <v>0</v>
      </c>
      <c r="N152" t="n">
        <v>0</v>
      </c>
      <c r="O152" t="n">
        <v>1</v>
      </c>
      <c r="P152" t="n">
        <v>0</v>
      </c>
      <c r="Q152" t="n">
        <v>2</v>
      </c>
      <c r="R152" s="2" t="inlineStr">
        <is>
          <t>Spillkråka
Vanlig groda</t>
        </is>
      </c>
      <c r="S152">
        <f>HYPERLINK("https://klasma.github.io/Logging_1764/artfynd/A 10098-2021 artfynd.xlsx", "A 10098-2021")</f>
        <v/>
      </c>
      <c r="T152">
        <f>HYPERLINK("https://klasma.github.io/Logging_1764/kartor/A 10098-2021 karta.png", "A 10098-2021")</f>
        <v/>
      </c>
      <c r="V152">
        <f>HYPERLINK("https://klasma.github.io/Logging_1764/klagomål/A 10098-2021 FSC-klagomål.docx", "A 10098-2021")</f>
        <v/>
      </c>
      <c r="W152">
        <f>HYPERLINK("https://klasma.github.io/Logging_1764/klagomålsmail/A 10098-2021 FSC-klagomål mail.docx", "A 10098-2021")</f>
        <v/>
      </c>
      <c r="X152">
        <f>HYPERLINK("https://klasma.github.io/Logging_1764/tillsyn/A 10098-2021 tillsynsbegäran.docx", "A 10098-2021")</f>
        <v/>
      </c>
      <c r="Y152">
        <f>HYPERLINK("https://klasma.github.io/Logging_1764/tillsynsmail/A 10098-2021 tillsynsbegäran mail.docx", "A 10098-2021")</f>
        <v/>
      </c>
    </row>
    <row r="153" ht="15" customHeight="1">
      <c r="A153" t="inlineStr">
        <is>
          <t>A 11581-2021</t>
        </is>
      </c>
      <c r="B153" s="1" t="n">
        <v>44264</v>
      </c>
      <c r="C153" s="1" t="n">
        <v>45222</v>
      </c>
      <c r="D153" t="inlineStr">
        <is>
          <t>VÄRMLANDS LÄN</t>
        </is>
      </c>
      <c r="E153" t="inlineStr">
        <is>
          <t>KARLSTAD</t>
        </is>
      </c>
      <c r="F153" t="inlineStr">
        <is>
          <t>Kommuner</t>
        </is>
      </c>
      <c r="G153" t="n">
        <v>2.3</v>
      </c>
      <c r="H153" t="n">
        <v>0</v>
      </c>
      <c r="I153" t="n">
        <v>2</v>
      </c>
      <c r="J153" t="n">
        <v>0</v>
      </c>
      <c r="K153" t="n">
        <v>0</v>
      </c>
      <c r="L153" t="n">
        <v>0</v>
      </c>
      <c r="M153" t="n">
        <v>0</v>
      </c>
      <c r="N153" t="n">
        <v>0</v>
      </c>
      <c r="O153" t="n">
        <v>0</v>
      </c>
      <c r="P153" t="n">
        <v>0</v>
      </c>
      <c r="Q153" t="n">
        <v>2</v>
      </c>
      <c r="R153" s="2" t="inlineStr">
        <is>
          <t>Rödgul trumpetsvamp
Vågbandad barkbock</t>
        </is>
      </c>
      <c r="S153">
        <f>HYPERLINK("https://klasma.github.io/Logging_1780/artfynd/A 11581-2021 artfynd.xlsx", "A 11581-2021")</f>
        <v/>
      </c>
      <c r="T153">
        <f>HYPERLINK("https://klasma.github.io/Logging_1780/kartor/A 11581-2021 karta.png", "A 11581-2021")</f>
        <v/>
      </c>
      <c r="V153">
        <f>HYPERLINK("https://klasma.github.io/Logging_1780/klagomål/A 11581-2021 FSC-klagomål.docx", "A 11581-2021")</f>
        <v/>
      </c>
      <c r="W153">
        <f>HYPERLINK("https://klasma.github.io/Logging_1780/klagomålsmail/A 11581-2021 FSC-klagomål mail.docx", "A 11581-2021")</f>
        <v/>
      </c>
      <c r="X153">
        <f>HYPERLINK("https://klasma.github.io/Logging_1780/tillsyn/A 11581-2021 tillsynsbegäran.docx", "A 11581-2021")</f>
        <v/>
      </c>
      <c r="Y153">
        <f>HYPERLINK("https://klasma.github.io/Logging_1780/tillsynsmail/A 11581-2021 tillsynsbegäran mail.docx", "A 11581-2021")</f>
        <v/>
      </c>
    </row>
    <row r="154" ht="15" customHeight="1">
      <c r="A154" t="inlineStr">
        <is>
          <t>A 17055-2021</t>
        </is>
      </c>
      <c r="B154" s="1" t="n">
        <v>44296</v>
      </c>
      <c r="C154" s="1" t="n">
        <v>45222</v>
      </c>
      <c r="D154" t="inlineStr">
        <is>
          <t>VÄRMLANDS LÄN</t>
        </is>
      </c>
      <c r="E154" t="inlineStr">
        <is>
          <t>EDA</t>
        </is>
      </c>
      <c r="G154" t="n">
        <v>3.8</v>
      </c>
      <c r="H154" t="n">
        <v>0</v>
      </c>
      <c r="I154" t="n">
        <v>1</v>
      </c>
      <c r="J154" t="n">
        <v>0</v>
      </c>
      <c r="K154" t="n">
        <v>0</v>
      </c>
      <c r="L154" t="n">
        <v>1</v>
      </c>
      <c r="M154" t="n">
        <v>0</v>
      </c>
      <c r="N154" t="n">
        <v>0</v>
      </c>
      <c r="O154" t="n">
        <v>1</v>
      </c>
      <c r="P154" t="n">
        <v>1</v>
      </c>
      <c r="Q154" t="n">
        <v>2</v>
      </c>
      <c r="R154" s="2" t="inlineStr">
        <is>
          <t>Ask
Dvärghäxört</t>
        </is>
      </c>
      <c r="S154">
        <f>HYPERLINK("https://klasma.github.io/Logging_1730/artfynd/A 17055-2021 artfynd.xlsx", "A 17055-2021")</f>
        <v/>
      </c>
      <c r="T154">
        <f>HYPERLINK("https://klasma.github.io/Logging_1730/kartor/A 17055-2021 karta.png", "A 17055-2021")</f>
        <v/>
      </c>
      <c r="V154">
        <f>HYPERLINK("https://klasma.github.io/Logging_1730/klagomål/A 17055-2021 FSC-klagomål.docx", "A 17055-2021")</f>
        <v/>
      </c>
      <c r="W154">
        <f>HYPERLINK("https://klasma.github.io/Logging_1730/klagomålsmail/A 17055-2021 FSC-klagomål mail.docx", "A 17055-2021")</f>
        <v/>
      </c>
      <c r="X154">
        <f>HYPERLINK("https://klasma.github.io/Logging_1730/tillsyn/A 17055-2021 tillsynsbegäran.docx", "A 17055-2021")</f>
        <v/>
      </c>
      <c r="Y154">
        <f>HYPERLINK("https://klasma.github.io/Logging_1730/tillsynsmail/A 17055-2021 tillsynsbegäran mail.docx", "A 17055-2021")</f>
        <v/>
      </c>
    </row>
    <row r="155" ht="15" customHeight="1">
      <c r="A155" t="inlineStr">
        <is>
          <t>A 22410-2021</t>
        </is>
      </c>
      <c r="B155" s="1" t="n">
        <v>44326</v>
      </c>
      <c r="C155" s="1" t="n">
        <v>45222</v>
      </c>
      <c r="D155" t="inlineStr">
        <is>
          <t>VÄRMLANDS LÄN</t>
        </is>
      </c>
      <c r="E155" t="inlineStr">
        <is>
          <t>FILIPSTAD</t>
        </is>
      </c>
      <c r="F155" t="inlineStr">
        <is>
          <t>Bergvik skog väst AB</t>
        </is>
      </c>
      <c r="G155" t="n">
        <v>9.800000000000001</v>
      </c>
      <c r="H155" t="n">
        <v>1</v>
      </c>
      <c r="I155" t="n">
        <v>0</v>
      </c>
      <c r="J155" t="n">
        <v>1</v>
      </c>
      <c r="K155" t="n">
        <v>0</v>
      </c>
      <c r="L155" t="n">
        <v>0</v>
      </c>
      <c r="M155" t="n">
        <v>0</v>
      </c>
      <c r="N155" t="n">
        <v>0</v>
      </c>
      <c r="O155" t="n">
        <v>1</v>
      </c>
      <c r="P155" t="n">
        <v>0</v>
      </c>
      <c r="Q155" t="n">
        <v>2</v>
      </c>
      <c r="R155" s="2" t="inlineStr">
        <is>
          <t>Brunklöver
Revlummer</t>
        </is>
      </c>
      <c r="S155">
        <f>HYPERLINK("https://klasma.github.io/Logging_1782/artfynd/A 22410-2021 artfynd.xlsx", "A 22410-2021")</f>
        <v/>
      </c>
      <c r="T155">
        <f>HYPERLINK("https://klasma.github.io/Logging_1782/kartor/A 22410-2021 karta.png", "A 22410-2021")</f>
        <v/>
      </c>
      <c r="V155">
        <f>HYPERLINK("https://klasma.github.io/Logging_1782/klagomål/A 22410-2021 FSC-klagomål.docx", "A 22410-2021")</f>
        <v/>
      </c>
      <c r="W155">
        <f>HYPERLINK("https://klasma.github.io/Logging_1782/klagomålsmail/A 22410-2021 FSC-klagomål mail.docx", "A 22410-2021")</f>
        <v/>
      </c>
      <c r="X155">
        <f>HYPERLINK("https://klasma.github.io/Logging_1782/tillsyn/A 22410-2021 tillsynsbegäran.docx", "A 22410-2021")</f>
        <v/>
      </c>
      <c r="Y155">
        <f>HYPERLINK("https://klasma.github.io/Logging_1782/tillsynsmail/A 22410-2021 tillsynsbegäran mail.docx", "A 22410-2021")</f>
        <v/>
      </c>
    </row>
    <row r="156" ht="15" customHeight="1">
      <c r="A156" t="inlineStr">
        <is>
          <t>A 33866-2021</t>
        </is>
      </c>
      <c r="B156" s="1" t="n">
        <v>44378</v>
      </c>
      <c r="C156" s="1" t="n">
        <v>45222</v>
      </c>
      <c r="D156" t="inlineStr">
        <is>
          <t>VÄRMLANDS LÄN</t>
        </is>
      </c>
      <c r="E156" t="inlineStr">
        <is>
          <t>KARLSTAD</t>
        </is>
      </c>
      <c r="F156" t="inlineStr">
        <is>
          <t>Kyrkan</t>
        </is>
      </c>
      <c r="G156" t="n">
        <v>5.8</v>
      </c>
      <c r="H156" t="n">
        <v>2</v>
      </c>
      <c r="I156" t="n">
        <v>1</v>
      </c>
      <c r="J156" t="n">
        <v>0</v>
      </c>
      <c r="K156" t="n">
        <v>0</v>
      </c>
      <c r="L156" t="n">
        <v>0</v>
      </c>
      <c r="M156" t="n">
        <v>0</v>
      </c>
      <c r="N156" t="n">
        <v>0</v>
      </c>
      <c r="O156" t="n">
        <v>0</v>
      </c>
      <c r="P156" t="n">
        <v>0</v>
      </c>
      <c r="Q156" t="n">
        <v>2</v>
      </c>
      <c r="R156" s="2" t="inlineStr">
        <is>
          <t>Plattlummer
Mattlummer</t>
        </is>
      </c>
      <c r="S156">
        <f>HYPERLINK("https://klasma.github.io/Logging_1780/artfynd/A 33866-2021 artfynd.xlsx", "A 33866-2021")</f>
        <v/>
      </c>
      <c r="T156">
        <f>HYPERLINK("https://klasma.github.io/Logging_1780/kartor/A 33866-2021 karta.png", "A 33866-2021")</f>
        <v/>
      </c>
      <c r="V156">
        <f>HYPERLINK("https://klasma.github.io/Logging_1780/klagomål/A 33866-2021 FSC-klagomål.docx", "A 33866-2021")</f>
        <v/>
      </c>
      <c r="W156">
        <f>HYPERLINK("https://klasma.github.io/Logging_1780/klagomålsmail/A 33866-2021 FSC-klagomål mail.docx", "A 33866-2021")</f>
        <v/>
      </c>
      <c r="X156">
        <f>HYPERLINK("https://klasma.github.io/Logging_1780/tillsyn/A 33866-2021 tillsynsbegäran.docx", "A 33866-2021")</f>
        <v/>
      </c>
      <c r="Y156">
        <f>HYPERLINK("https://klasma.github.io/Logging_1780/tillsynsmail/A 33866-2021 tillsynsbegäran mail.docx", "A 33866-2021")</f>
        <v/>
      </c>
    </row>
    <row r="157" ht="15" customHeight="1">
      <c r="A157" t="inlineStr">
        <is>
          <t>A 43023-2021</t>
        </is>
      </c>
      <c r="B157" s="1" t="n">
        <v>44431</v>
      </c>
      <c r="C157" s="1" t="n">
        <v>45222</v>
      </c>
      <c r="D157" t="inlineStr">
        <is>
          <t>VÄRMLANDS LÄN</t>
        </is>
      </c>
      <c r="E157" t="inlineStr">
        <is>
          <t>TORSBY</t>
        </is>
      </c>
      <c r="G157" t="n">
        <v>1</v>
      </c>
      <c r="H157" t="n">
        <v>0</v>
      </c>
      <c r="I157" t="n">
        <v>0</v>
      </c>
      <c r="J157" t="n">
        <v>2</v>
      </c>
      <c r="K157" t="n">
        <v>0</v>
      </c>
      <c r="L157" t="n">
        <v>0</v>
      </c>
      <c r="M157" t="n">
        <v>0</v>
      </c>
      <c r="N157" t="n">
        <v>0</v>
      </c>
      <c r="O157" t="n">
        <v>2</v>
      </c>
      <c r="P157" t="n">
        <v>0</v>
      </c>
      <c r="Q157" t="n">
        <v>2</v>
      </c>
      <c r="R157" s="2" t="inlineStr">
        <is>
          <t>Doftskinn
Violettgrå tagellav</t>
        </is>
      </c>
      <c r="S157">
        <f>HYPERLINK("https://klasma.github.io/Logging_1737/artfynd/A 43023-2021 artfynd.xlsx", "A 43023-2021")</f>
        <v/>
      </c>
      <c r="T157">
        <f>HYPERLINK("https://klasma.github.io/Logging_1737/kartor/A 43023-2021 karta.png", "A 43023-2021")</f>
        <v/>
      </c>
      <c r="V157">
        <f>HYPERLINK("https://klasma.github.io/Logging_1737/klagomål/A 43023-2021 FSC-klagomål.docx", "A 43023-2021")</f>
        <v/>
      </c>
      <c r="W157">
        <f>HYPERLINK("https://klasma.github.io/Logging_1737/klagomålsmail/A 43023-2021 FSC-klagomål mail.docx", "A 43023-2021")</f>
        <v/>
      </c>
      <c r="X157">
        <f>HYPERLINK("https://klasma.github.io/Logging_1737/tillsyn/A 43023-2021 tillsynsbegäran.docx", "A 43023-2021")</f>
        <v/>
      </c>
      <c r="Y157">
        <f>HYPERLINK("https://klasma.github.io/Logging_1737/tillsynsmail/A 43023-2021 tillsynsbegäran mail.docx", "A 43023-2021")</f>
        <v/>
      </c>
    </row>
    <row r="158" ht="15" customHeight="1">
      <c r="A158" t="inlineStr">
        <is>
          <t>A 45750-2021</t>
        </is>
      </c>
      <c r="B158" s="1" t="n">
        <v>44435</v>
      </c>
      <c r="C158" s="1" t="n">
        <v>45222</v>
      </c>
      <c r="D158" t="inlineStr">
        <is>
          <t>VÄRMLANDS LÄN</t>
        </is>
      </c>
      <c r="E158" t="inlineStr">
        <is>
          <t>ARVIKA</t>
        </is>
      </c>
      <c r="G158" t="n">
        <v>2.1</v>
      </c>
      <c r="H158" t="n">
        <v>1</v>
      </c>
      <c r="I158" t="n">
        <v>0</v>
      </c>
      <c r="J158" t="n">
        <v>2</v>
      </c>
      <c r="K158" t="n">
        <v>0</v>
      </c>
      <c r="L158" t="n">
        <v>0</v>
      </c>
      <c r="M158" t="n">
        <v>0</v>
      </c>
      <c r="N158" t="n">
        <v>0</v>
      </c>
      <c r="O158" t="n">
        <v>2</v>
      </c>
      <c r="P158" t="n">
        <v>0</v>
      </c>
      <c r="Q158" t="n">
        <v>2</v>
      </c>
      <c r="R158" s="2" t="inlineStr">
        <is>
          <t>Lunglav
Talltita</t>
        </is>
      </c>
      <c r="S158">
        <f>HYPERLINK("https://klasma.github.io/Logging_1784/artfynd/A 45750-2021 artfynd.xlsx", "A 45750-2021")</f>
        <v/>
      </c>
      <c r="T158">
        <f>HYPERLINK("https://klasma.github.io/Logging_1784/kartor/A 45750-2021 karta.png", "A 45750-2021")</f>
        <v/>
      </c>
      <c r="V158">
        <f>HYPERLINK("https://klasma.github.io/Logging_1784/klagomål/A 45750-2021 FSC-klagomål.docx", "A 45750-2021")</f>
        <v/>
      </c>
      <c r="W158">
        <f>HYPERLINK("https://klasma.github.io/Logging_1784/klagomålsmail/A 45750-2021 FSC-klagomål mail.docx", "A 45750-2021")</f>
        <v/>
      </c>
      <c r="X158">
        <f>HYPERLINK("https://klasma.github.io/Logging_1784/tillsyn/A 45750-2021 tillsynsbegäran.docx", "A 45750-2021")</f>
        <v/>
      </c>
      <c r="Y158">
        <f>HYPERLINK("https://klasma.github.io/Logging_1784/tillsynsmail/A 45750-2021 tillsynsbegäran mail.docx", "A 45750-2021")</f>
        <v/>
      </c>
    </row>
    <row r="159" ht="15" customHeight="1">
      <c r="A159" t="inlineStr">
        <is>
          <t>A 48762-2021</t>
        </is>
      </c>
      <c r="B159" s="1" t="n">
        <v>44452</v>
      </c>
      <c r="C159" s="1" t="n">
        <v>45222</v>
      </c>
      <c r="D159" t="inlineStr">
        <is>
          <t>VÄRMLANDS LÄN</t>
        </is>
      </c>
      <c r="E159" t="inlineStr">
        <is>
          <t>SÄFFLE</t>
        </is>
      </c>
      <c r="F159" t="inlineStr">
        <is>
          <t>Bergvik skog väst AB</t>
        </is>
      </c>
      <c r="G159" t="n">
        <v>40.8</v>
      </c>
      <c r="H159" t="n">
        <v>0</v>
      </c>
      <c r="I159" t="n">
        <v>0</v>
      </c>
      <c r="J159" t="n">
        <v>2</v>
      </c>
      <c r="K159" t="n">
        <v>0</v>
      </c>
      <c r="L159" t="n">
        <v>0</v>
      </c>
      <c r="M159" t="n">
        <v>0</v>
      </c>
      <c r="N159" t="n">
        <v>0</v>
      </c>
      <c r="O159" t="n">
        <v>2</v>
      </c>
      <c r="P159" t="n">
        <v>0</v>
      </c>
      <c r="Q159" t="n">
        <v>2</v>
      </c>
      <c r="R159" s="2" t="inlineStr">
        <is>
          <t>Kandelabersvamp
Veckticka</t>
        </is>
      </c>
      <c r="S159">
        <f>HYPERLINK("https://klasma.github.io/Logging_1785/artfynd/A 48762-2021 artfynd.xlsx", "A 48762-2021")</f>
        <v/>
      </c>
      <c r="T159">
        <f>HYPERLINK("https://klasma.github.io/Logging_1785/kartor/A 48762-2021 karta.png", "A 48762-2021")</f>
        <v/>
      </c>
      <c r="V159">
        <f>HYPERLINK("https://klasma.github.io/Logging_1785/klagomål/A 48762-2021 FSC-klagomål.docx", "A 48762-2021")</f>
        <v/>
      </c>
      <c r="W159">
        <f>HYPERLINK("https://klasma.github.io/Logging_1785/klagomålsmail/A 48762-2021 FSC-klagomål mail.docx", "A 48762-2021")</f>
        <v/>
      </c>
      <c r="X159">
        <f>HYPERLINK("https://klasma.github.io/Logging_1785/tillsyn/A 48762-2021 tillsynsbegäran.docx", "A 48762-2021")</f>
        <v/>
      </c>
      <c r="Y159">
        <f>HYPERLINK("https://klasma.github.io/Logging_1785/tillsynsmail/A 48762-2021 tillsynsbegäran mail.docx", "A 48762-2021")</f>
        <v/>
      </c>
    </row>
    <row r="160" ht="15" customHeight="1">
      <c r="A160" t="inlineStr">
        <is>
          <t>A 51072-2021</t>
        </is>
      </c>
      <c r="B160" s="1" t="n">
        <v>44461</v>
      </c>
      <c r="C160" s="1" t="n">
        <v>45222</v>
      </c>
      <c r="D160" t="inlineStr">
        <is>
          <t>VÄRMLANDS LÄN</t>
        </is>
      </c>
      <c r="E160" t="inlineStr">
        <is>
          <t>FORSHAGA</t>
        </is>
      </c>
      <c r="G160" t="n">
        <v>19.6</v>
      </c>
      <c r="H160" t="n">
        <v>1</v>
      </c>
      <c r="I160" t="n">
        <v>0</v>
      </c>
      <c r="J160" t="n">
        <v>2</v>
      </c>
      <c r="K160" t="n">
        <v>0</v>
      </c>
      <c r="L160" t="n">
        <v>0</v>
      </c>
      <c r="M160" t="n">
        <v>0</v>
      </c>
      <c r="N160" t="n">
        <v>0</v>
      </c>
      <c r="O160" t="n">
        <v>2</v>
      </c>
      <c r="P160" t="n">
        <v>0</v>
      </c>
      <c r="Q160" t="n">
        <v>2</v>
      </c>
      <c r="R160" s="2" t="inlineStr">
        <is>
          <t>Brun gräsfjäril
Violettkantad guldvinge</t>
        </is>
      </c>
      <c r="S160">
        <f>HYPERLINK("https://klasma.github.io/Logging_1763/artfynd/A 51072-2021 artfynd.xlsx", "A 51072-2021")</f>
        <v/>
      </c>
      <c r="T160">
        <f>HYPERLINK("https://klasma.github.io/Logging_1763/kartor/A 51072-2021 karta.png", "A 51072-2021")</f>
        <v/>
      </c>
      <c r="V160">
        <f>HYPERLINK("https://klasma.github.io/Logging_1763/klagomål/A 51072-2021 FSC-klagomål.docx", "A 51072-2021")</f>
        <v/>
      </c>
      <c r="W160">
        <f>HYPERLINK("https://klasma.github.io/Logging_1763/klagomålsmail/A 51072-2021 FSC-klagomål mail.docx", "A 51072-2021")</f>
        <v/>
      </c>
      <c r="X160">
        <f>HYPERLINK("https://klasma.github.io/Logging_1763/tillsyn/A 51072-2021 tillsynsbegäran.docx", "A 51072-2021")</f>
        <v/>
      </c>
      <c r="Y160">
        <f>HYPERLINK("https://klasma.github.io/Logging_1763/tillsynsmail/A 51072-2021 tillsynsbegäran mail.docx", "A 51072-2021")</f>
        <v/>
      </c>
    </row>
    <row r="161" ht="15" customHeight="1">
      <c r="A161" t="inlineStr">
        <is>
          <t>A 54323-2021</t>
        </is>
      </c>
      <c r="B161" s="1" t="n">
        <v>44472</v>
      </c>
      <c r="C161" s="1" t="n">
        <v>45222</v>
      </c>
      <c r="D161" t="inlineStr">
        <is>
          <t>VÄRMLANDS LÄN</t>
        </is>
      </c>
      <c r="E161" t="inlineStr">
        <is>
          <t>ARVIKA</t>
        </is>
      </c>
      <c r="G161" t="n">
        <v>26.7</v>
      </c>
      <c r="H161" t="n">
        <v>0</v>
      </c>
      <c r="I161" t="n">
        <v>0</v>
      </c>
      <c r="J161" t="n">
        <v>2</v>
      </c>
      <c r="K161" t="n">
        <v>0</v>
      </c>
      <c r="L161" t="n">
        <v>0</v>
      </c>
      <c r="M161" t="n">
        <v>0</v>
      </c>
      <c r="N161" t="n">
        <v>0</v>
      </c>
      <c r="O161" t="n">
        <v>2</v>
      </c>
      <c r="P161" t="n">
        <v>0</v>
      </c>
      <c r="Q161" t="n">
        <v>2</v>
      </c>
      <c r="R161" s="2" t="inlineStr">
        <is>
          <t>Tallticka
Vedskivlav</t>
        </is>
      </c>
      <c r="S161">
        <f>HYPERLINK("https://klasma.github.io/Logging_1784/artfynd/A 54323-2021 artfynd.xlsx", "A 54323-2021")</f>
        <v/>
      </c>
      <c r="T161">
        <f>HYPERLINK("https://klasma.github.io/Logging_1784/kartor/A 54323-2021 karta.png", "A 54323-2021")</f>
        <v/>
      </c>
      <c r="V161">
        <f>HYPERLINK("https://klasma.github.io/Logging_1784/klagomål/A 54323-2021 FSC-klagomål.docx", "A 54323-2021")</f>
        <v/>
      </c>
      <c r="W161">
        <f>HYPERLINK("https://klasma.github.io/Logging_1784/klagomålsmail/A 54323-2021 FSC-klagomål mail.docx", "A 54323-2021")</f>
        <v/>
      </c>
      <c r="X161">
        <f>HYPERLINK("https://klasma.github.io/Logging_1784/tillsyn/A 54323-2021 tillsynsbegäran.docx", "A 54323-2021")</f>
        <v/>
      </c>
      <c r="Y161">
        <f>HYPERLINK("https://klasma.github.io/Logging_1784/tillsynsmail/A 54323-2021 tillsynsbegäran mail.docx", "A 54323-2021")</f>
        <v/>
      </c>
    </row>
    <row r="162" ht="15" customHeight="1">
      <c r="A162" t="inlineStr">
        <is>
          <t>A 65319-2021</t>
        </is>
      </c>
      <c r="B162" s="1" t="n">
        <v>44515</v>
      </c>
      <c r="C162" s="1" t="n">
        <v>45222</v>
      </c>
      <c r="D162" t="inlineStr">
        <is>
          <t>VÄRMLANDS LÄN</t>
        </is>
      </c>
      <c r="E162" t="inlineStr">
        <is>
          <t>ÅRJÄNG</t>
        </is>
      </c>
      <c r="G162" t="n">
        <v>4.9</v>
      </c>
      <c r="H162" t="n">
        <v>0</v>
      </c>
      <c r="I162" t="n">
        <v>0</v>
      </c>
      <c r="J162" t="n">
        <v>2</v>
      </c>
      <c r="K162" t="n">
        <v>0</v>
      </c>
      <c r="L162" t="n">
        <v>0</v>
      </c>
      <c r="M162" t="n">
        <v>0</v>
      </c>
      <c r="N162" t="n">
        <v>0</v>
      </c>
      <c r="O162" t="n">
        <v>2</v>
      </c>
      <c r="P162" t="n">
        <v>0</v>
      </c>
      <c r="Q162" t="n">
        <v>2</v>
      </c>
      <c r="R162" s="2" t="inlineStr">
        <is>
          <t>Garnlav
Lunglav</t>
        </is>
      </c>
      <c r="S162">
        <f>HYPERLINK("https://klasma.github.io/Logging_1765/artfynd/A 65319-2021 artfynd.xlsx", "A 65319-2021")</f>
        <v/>
      </c>
      <c r="T162">
        <f>HYPERLINK("https://klasma.github.io/Logging_1765/kartor/A 65319-2021 karta.png", "A 65319-2021")</f>
        <v/>
      </c>
      <c r="U162">
        <f>HYPERLINK("https://klasma.github.io/Logging_1765/knärot/A 65319-2021 karta knärot.png", "A 65319-2021")</f>
        <v/>
      </c>
      <c r="V162">
        <f>HYPERLINK("https://klasma.github.io/Logging_1765/klagomål/A 65319-2021 FSC-klagomål.docx", "A 65319-2021")</f>
        <v/>
      </c>
      <c r="W162">
        <f>HYPERLINK("https://klasma.github.io/Logging_1765/klagomålsmail/A 65319-2021 FSC-klagomål mail.docx", "A 65319-2021")</f>
        <v/>
      </c>
      <c r="X162">
        <f>HYPERLINK("https://klasma.github.io/Logging_1765/tillsyn/A 65319-2021 tillsynsbegäran.docx", "A 65319-2021")</f>
        <v/>
      </c>
      <c r="Y162">
        <f>HYPERLINK("https://klasma.github.io/Logging_1765/tillsynsmail/A 65319-2021 tillsynsbegäran mail.docx", "A 65319-2021")</f>
        <v/>
      </c>
    </row>
    <row r="163" ht="15" customHeight="1">
      <c r="A163" t="inlineStr">
        <is>
          <t>A 66072-2021</t>
        </is>
      </c>
      <c r="B163" s="1" t="n">
        <v>44517</v>
      </c>
      <c r="C163" s="1" t="n">
        <v>45222</v>
      </c>
      <c r="D163" t="inlineStr">
        <is>
          <t>VÄRMLANDS LÄN</t>
        </is>
      </c>
      <c r="E163" t="inlineStr">
        <is>
          <t>FORSHAGA</t>
        </is>
      </c>
      <c r="F163" t="inlineStr">
        <is>
          <t>Bergvik skog väst AB</t>
        </is>
      </c>
      <c r="G163" t="n">
        <v>2</v>
      </c>
      <c r="H163" t="n">
        <v>1</v>
      </c>
      <c r="I163" t="n">
        <v>1</v>
      </c>
      <c r="J163" t="n">
        <v>0</v>
      </c>
      <c r="K163" t="n">
        <v>0</v>
      </c>
      <c r="L163" t="n">
        <v>0</v>
      </c>
      <c r="M163" t="n">
        <v>0</v>
      </c>
      <c r="N163" t="n">
        <v>0</v>
      </c>
      <c r="O163" t="n">
        <v>0</v>
      </c>
      <c r="P163" t="n">
        <v>0</v>
      </c>
      <c r="Q163" t="n">
        <v>2</v>
      </c>
      <c r="R163" s="2" t="inlineStr">
        <is>
          <t>Svart trolldruva
Blåsippa</t>
        </is>
      </c>
      <c r="S163">
        <f>HYPERLINK("https://klasma.github.io/Logging_1763/artfynd/A 66072-2021 artfynd.xlsx", "A 66072-2021")</f>
        <v/>
      </c>
      <c r="T163">
        <f>HYPERLINK("https://klasma.github.io/Logging_1763/kartor/A 66072-2021 karta.png", "A 66072-2021")</f>
        <v/>
      </c>
      <c r="V163">
        <f>HYPERLINK("https://klasma.github.io/Logging_1763/klagomål/A 66072-2021 FSC-klagomål.docx", "A 66072-2021")</f>
        <v/>
      </c>
      <c r="W163">
        <f>HYPERLINK("https://klasma.github.io/Logging_1763/klagomålsmail/A 66072-2021 FSC-klagomål mail.docx", "A 66072-2021")</f>
        <v/>
      </c>
      <c r="X163">
        <f>HYPERLINK("https://klasma.github.io/Logging_1763/tillsyn/A 66072-2021 tillsynsbegäran.docx", "A 66072-2021")</f>
        <v/>
      </c>
      <c r="Y163">
        <f>HYPERLINK("https://klasma.github.io/Logging_1763/tillsynsmail/A 66072-2021 tillsynsbegäran mail.docx", "A 66072-2021")</f>
        <v/>
      </c>
    </row>
    <row r="164" ht="15" customHeight="1">
      <c r="A164" t="inlineStr">
        <is>
          <t>A 69928-2021</t>
        </is>
      </c>
      <c r="B164" s="1" t="n">
        <v>44533</v>
      </c>
      <c r="C164" s="1" t="n">
        <v>45222</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 artfynd.xlsx", "A 69928-2021")</f>
        <v/>
      </c>
      <c r="T164">
        <f>HYPERLINK("https://klasma.github.io/Logging_1784/kartor/A 69928-2021 karta.png", "A 69928-2021")</f>
        <v/>
      </c>
      <c r="V164">
        <f>HYPERLINK("https://klasma.github.io/Logging_1784/klagomål/A 69928-2021 FSC-klagomål.docx", "A 69928-2021")</f>
        <v/>
      </c>
      <c r="W164">
        <f>HYPERLINK("https://klasma.github.io/Logging_1784/klagomålsmail/A 69928-2021 FSC-klagomål mail.docx", "A 69928-2021")</f>
        <v/>
      </c>
      <c r="X164">
        <f>HYPERLINK("https://klasma.github.io/Logging_1784/tillsyn/A 69928-2021 tillsynsbegäran.docx", "A 69928-2021")</f>
        <v/>
      </c>
      <c r="Y164">
        <f>HYPERLINK("https://klasma.github.io/Logging_1784/tillsynsmail/A 69928-2021 tillsynsbegäran mail.docx", "A 69928-2021")</f>
        <v/>
      </c>
    </row>
    <row r="165" ht="15" customHeight="1">
      <c r="A165" t="inlineStr">
        <is>
          <t>A 72989-2021</t>
        </is>
      </c>
      <c r="B165" s="1" t="n">
        <v>44549</v>
      </c>
      <c r="C165" s="1" t="n">
        <v>45222</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 artfynd.xlsx", "A 72989-2021")</f>
        <v/>
      </c>
      <c r="T165">
        <f>HYPERLINK("https://klasma.github.io/Logging_1763/kartor/A 72989-2021 karta.png", "A 72989-2021")</f>
        <v/>
      </c>
      <c r="V165">
        <f>HYPERLINK("https://klasma.github.io/Logging_1763/klagomål/A 72989-2021 FSC-klagomål.docx", "A 72989-2021")</f>
        <v/>
      </c>
      <c r="W165">
        <f>HYPERLINK("https://klasma.github.io/Logging_1763/klagomålsmail/A 72989-2021 FSC-klagomål mail.docx", "A 72989-2021")</f>
        <v/>
      </c>
      <c r="X165">
        <f>HYPERLINK("https://klasma.github.io/Logging_1763/tillsyn/A 72989-2021 tillsynsbegäran.docx", "A 72989-2021")</f>
        <v/>
      </c>
      <c r="Y165">
        <f>HYPERLINK("https://klasma.github.io/Logging_1763/tillsynsmail/A 72989-2021 tillsynsbegäran mail.docx", "A 72989-2021")</f>
        <v/>
      </c>
    </row>
    <row r="166" ht="15" customHeight="1">
      <c r="A166" t="inlineStr">
        <is>
          <t>A 573-2022</t>
        </is>
      </c>
      <c r="B166" s="1" t="n">
        <v>44566</v>
      </c>
      <c r="C166" s="1" t="n">
        <v>45222</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 artfynd.xlsx", "A 573-2022")</f>
        <v/>
      </c>
      <c r="T166">
        <f>HYPERLINK("https://klasma.github.io/Logging_1766/kartor/A 573-2022 karta.png", "A 573-2022")</f>
        <v/>
      </c>
      <c r="V166">
        <f>HYPERLINK("https://klasma.github.io/Logging_1766/klagomål/A 573-2022 FSC-klagomål.docx", "A 573-2022")</f>
        <v/>
      </c>
      <c r="W166">
        <f>HYPERLINK("https://klasma.github.io/Logging_1766/klagomålsmail/A 573-2022 FSC-klagomål mail.docx", "A 573-2022")</f>
        <v/>
      </c>
      <c r="X166">
        <f>HYPERLINK("https://klasma.github.io/Logging_1766/tillsyn/A 573-2022 tillsynsbegäran.docx", "A 573-2022")</f>
        <v/>
      </c>
      <c r="Y166">
        <f>HYPERLINK("https://klasma.github.io/Logging_1766/tillsynsmail/A 573-2022 tillsynsbegäran mail.docx", "A 573-2022")</f>
        <v/>
      </c>
    </row>
    <row r="167" ht="15" customHeight="1">
      <c r="A167" t="inlineStr">
        <is>
          <t>A 656-2022</t>
        </is>
      </c>
      <c r="B167" s="1" t="n">
        <v>44566</v>
      </c>
      <c r="C167" s="1" t="n">
        <v>45222</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 artfynd.xlsx", "A 656-2022")</f>
        <v/>
      </c>
      <c r="T167">
        <f>HYPERLINK("https://klasma.github.io/Logging_1783/kartor/A 656-2022 karta.png", "A 656-2022")</f>
        <v/>
      </c>
      <c r="V167">
        <f>HYPERLINK("https://klasma.github.io/Logging_1783/klagomål/A 656-2022 FSC-klagomål.docx", "A 656-2022")</f>
        <v/>
      </c>
      <c r="W167">
        <f>HYPERLINK("https://klasma.github.io/Logging_1783/klagomålsmail/A 656-2022 FSC-klagomål mail.docx", "A 656-2022")</f>
        <v/>
      </c>
      <c r="X167">
        <f>HYPERLINK("https://klasma.github.io/Logging_1783/tillsyn/A 656-2022 tillsynsbegäran.docx", "A 656-2022")</f>
        <v/>
      </c>
      <c r="Y167">
        <f>HYPERLINK("https://klasma.github.io/Logging_1783/tillsynsmail/A 656-2022 tillsynsbegäran mail.docx", "A 656-2022")</f>
        <v/>
      </c>
    </row>
    <row r="168" ht="15" customHeight="1">
      <c r="A168" t="inlineStr">
        <is>
          <t>A 3340-2022</t>
        </is>
      </c>
      <c r="B168" s="1" t="n">
        <v>44585</v>
      </c>
      <c r="C168" s="1" t="n">
        <v>45222</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 artfynd.xlsx", "A 3340-2022")</f>
        <v/>
      </c>
      <c r="T168">
        <f>HYPERLINK("https://klasma.github.io/Logging_1784/kartor/A 3340-2022 karta.png", "A 3340-2022")</f>
        <v/>
      </c>
      <c r="V168">
        <f>HYPERLINK("https://klasma.github.io/Logging_1784/klagomål/A 3340-2022 FSC-klagomål.docx", "A 3340-2022")</f>
        <v/>
      </c>
      <c r="W168">
        <f>HYPERLINK("https://klasma.github.io/Logging_1784/klagomålsmail/A 3340-2022 FSC-klagomål mail.docx", "A 3340-2022")</f>
        <v/>
      </c>
      <c r="X168">
        <f>HYPERLINK("https://klasma.github.io/Logging_1784/tillsyn/A 3340-2022 tillsynsbegäran.docx", "A 3340-2022")</f>
        <v/>
      </c>
      <c r="Y168">
        <f>HYPERLINK("https://klasma.github.io/Logging_1784/tillsynsmail/A 3340-2022 tillsynsbegäran mail.docx", "A 3340-2022")</f>
        <v/>
      </c>
    </row>
    <row r="169" ht="15" customHeight="1">
      <c r="A169" t="inlineStr">
        <is>
          <t>A 12372-2022</t>
        </is>
      </c>
      <c r="B169" s="1" t="n">
        <v>44637</v>
      </c>
      <c r="C169" s="1" t="n">
        <v>45222</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 artfynd.xlsx", "A 12372-2022")</f>
        <v/>
      </c>
      <c r="T169">
        <f>HYPERLINK("https://klasma.github.io/Logging_1737/kartor/A 12372-2022 karta.png", "A 12372-2022")</f>
        <v/>
      </c>
      <c r="V169">
        <f>HYPERLINK("https://klasma.github.io/Logging_1737/klagomål/A 12372-2022 FSC-klagomål.docx", "A 12372-2022")</f>
        <v/>
      </c>
      <c r="W169">
        <f>HYPERLINK("https://klasma.github.io/Logging_1737/klagomålsmail/A 12372-2022 FSC-klagomål mail.docx", "A 12372-2022")</f>
        <v/>
      </c>
      <c r="X169">
        <f>HYPERLINK("https://klasma.github.io/Logging_1737/tillsyn/A 12372-2022 tillsynsbegäran.docx", "A 12372-2022")</f>
        <v/>
      </c>
      <c r="Y169">
        <f>HYPERLINK("https://klasma.github.io/Logging_1737/tillsynsmail/A 12372-2022 tillsynsbegäran mail.docx", "A 12372-2022")</f>
        <v/>
      </c>
    </row>
    <row r="170" ht="15" customHeight="1">
      <c r="A170" t="inlineStr">
        <is>
          <t>A 12375-2022</t>
        </is>
      </c>
      <c r="B170" s="1" t="n">
        <v>44637</v>
      </c>
      <c r="C170" s="1" t="n">
        <v>45222</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 artfynd.xlsx", "A 12375-2022")</f>
        <v/>
      </c>
      <c r="T170">
        <f>HYPERLINK("https://klasma.github.io/Logging_1737/kartor/A 12375-2022 karta.png", "A 12375-2022")</f>
        <v/>
      </c>
      <c r="V170">
        <f>HYPERLINK("https://klasma.github.io/Logging_1737/klagomål/A 12375-2022 FSC-klagomål.docx", "A 12375-2022")</f>
        <v/>
      </c>
      <c r="W170">
        <f>HYPERLINK("https://klasma.github.io/Logging_1737/klagomålsmail/A 12375-2022 FSC-klagomål mail.docx", "A 12375-2022")</f>
        <v/>
      </c>
      <c r="X170">
        <f>HYPERLINK("https://klasma.github.io/Logging_1737/tillsyn/A 12375-2022 tillsynsbegäran.docx", "A 12375-2022")</f>
        <v/>
      </c>
      <c r="Y170">
        <f>HYPERLINK("https://klasma.github.io/Logging_1737/tillsynsmail/A 12375-2022 tillsynsbegäran mail.docx", "A 12375-2022")</f>
        <v/>
      </c>
    </row>
    <row r="171" ht="15" customHeight="1">
      <c r="A171" t="inlineStr">
        <is>
          <t>A 16766-2022</t>
        </is>
      </c>
      <c r="B171" s="1" t="n">
        <v>44673</v>
      </c>
      <c r="C171" s="1" t="n">
        <v>45222</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 artfynd.xlsx", "A 16766-2022")</f>
        <v/>
      </c>
      <c r="T171">
        <f>HYPERLINK("https://klasma.github.io/Logging_1785/kartor/A 16766-2022 karta.png", "A 16766-2022")</f>
        <v/>
      </c>
      <c r="V171">
        <f>HYPERLINK("https://klasma.github.io/Logging_1785/klagomål/A 16766-2022 FSC-klagomål.docx", "A 16766-2022")</f>
        <v/>
      </c>
      <c r="W171">
        <f>HYPERLINK("https://klasma.github.io/Logging_1785/klagomålsmail/A 16766-2022 FSC-klagomål mail.docx", "A 16766-2022")</f>
        <v/>
      </c>
      <c r="X171">
        <f>HYPERLINK("https://klasma.github.io/Logging_1785/tillsyn/A 16766-2022 tillsynsbegäran.docx", "A 16766-2022")</f>
        <v/>
      </c>
      <c r="Y171">
        <f>HYPERLINK("https://klasma.github.io/Logging_1785/tillsynsmail/A 16766-2022 tillsynsbegäran mail.docx", "A 16766-2022")</f>
        <v/>
      </c>
    </row>
    <row r="172" ht="15" customHeight="1">
      <c r="A172" t="inlineStr">
        <is>
          <t>A 20765-2022</t>
        </is>
      </c>
      <c r="B172" s="1" t="n">
        <v>44701</v>
      </c>
      <c r="C172" s="1" t="n">
        <v>45222</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 artfynd.xlsx", "A 20765-2022")</f>
        <v/>
      </c>
      <c r="T172">
        <f>HYPERLINK("https://klasma.github.io/Logging_1780/kartor/A 20765-2022 karta.png", "A 20765-2022")</f>
        <v/>
      </c>
      <c r="V172">
        <f>HYPERLINK("https://klasma.github.io/Logging_1780/klagomål/A 20765-2022 FSC-klagomål.docx", "A 20765-2022")</f>
        <v/>
      </c>
      <c r="W172">
        <f>HYPERLINK("https://klasma.github.io/Logging_1780/klagomålsmail/A 20765-2022 FSC-klagomål mail.docx", "A 20765-2022")</f>
        <v/>
      </c>
      <c r="X172">
        <f>HYPERLINK("https://klasma.github.io/Logging_1780/tillsyn/A 20765-2022 tillsynsbegäran.docx", "A 20765-2022")</f>
        <v/>
      </c>
      <c r="Y172">
        <f>HYPERLINK("https://klasma.github.io/Logging_1780/tillsynsmail/A 20765-2022 tillsynsbegäran mail.docx", "A 20765-2022")</f>
        <v/>
      </c>
    </row>
    <row r="173" ht="15" customHeight="1">
      <c r="A173" t="inlineStr">
        <is>
          <t>A 24616-2022</t>
        </is>
      </c>
      <c r="B173" s="1" t="n">
        <v>44727</v>
      </c>
      <c r="C173" s="1" t="n">
        <v>45222</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 artfynd.xlsx", "A 24616-2022")</f>
        <v/>
      </c>
      <c r="T173">
        <f>HYPERLINK("https://klasma.github.io/Logging_1761/kartor/A 24616-2022 karta.png", "A 24616-2022")</f>
        <v/>
      </c>
      <c r="U173">
        <f>HYPERLINK("https://klasma.github.io/Logging_1761/knärot/A 24616-2022 karta knärot.png", "A 24616-2022")</f>
        <v/>
      </c>
      <c r="V173">
        <f>HYPERLINK("https://klasma.github.io/Logging_1761/klagomål/A 24616-2022 FSC-klagomål.docx", "A 24616-2022")</f>
        <v/>
      </c>
      <c r="W173">
        <f>HYPERLINK("https://klasma.github.io/Logging_1761/klagomålsmail/A 24616-2022 FSC-klagomål mail.docx", "A 24616-2022")</f>
        <v/>
      </c>
      <c r="X173">
        <f>HYPERLINK("https://klasma.github.io/Logging_1761/tillsyn/A 24616-2022 tillsynsbegäran.docx", "A 24616-2022")</f>
        <v/>
      </c>
      <c r="Y173">
        <f>HYPERLINK("https://klasma.github.io/Logging_1761/tillsynsmail/A 24616-2022 tillsynsbegäran mail.docx", "A 24616-2022")</f>
        <v/>
      </c>
    </row>
    <row r="174" ht="15" customHeight="1">
      <c r="A174" t="inlineStr">
        <is>
          <t>A 28156-2022</t>
        </is>
      </c>
      <c r="B174" s="1" t="n">
        <v>44746</v>
      </c>
      <c r="C174" s="1" t="n">
        <v>45222</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 artfynd.xlsx", "A 28156-2022")</f>
        <v/>
      </c>
      <c r="T174">
        <f>HYPERLINK("https://klasma.github.io/Logging_1737/kartor/A 28156-2022 karta.png", "A 28156-2022")</f>
        <v/>
      </c>
      <c r="V174">
        <f>HYPERLINK("https://klasma.github.io/Logging_1737/klagomål/A 28156-2022 FSC-klagomål.docx", "A 28156-2022")</f>
        <v/>
      </c>
      <c r="W174">
        <f>HYPERLINK("https://klasma.github.io/Logging_1737/klagomålsmail/A 28156-2022 FSC-klagomål mail.docx", "A 28156-2022")</f>
        <v/>
      </c>
      <c r="X174">
        <f>HYPERLINK("https://klasma.github.io/Logging_1737/tillsyn/A 28156-2022 tillsynsbegäran.docx", "A 28156-2022")</f>
        <v/>
      </c>
      <c r="Y174">
        <f>HYPERLINK("https://klasma.github.io/Logging_1737/tillsynsmail/A 28156-2022 tillsynsbegäran mail.docx", "A 28156-2022")</f>
        <v/>
      </c>
    </row>
    <row r="175" ht="15" customHeight="1">
      <c r="A175" t="inlineStr">
        <is>
          <t>A 31603-2022</t>
        </is>
      </c>
      <c r="B175" s="1" t="n">
        <v>44775</v>
      </c>
      <c r="C175" s="1" t="n">
        <v>45222</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 artfynd.xlsx", "A 31603-2022")</f>
        <v/>
      </c>
      <c r="T175">
        <f>HYPERLINK("https://klasma.github.io/Logging_1766/kartor/A 31603-2022 karta.png", "A 31603-2022")</f>
        <v/>
      </c>
      <c r="V175">
        <f>HYPERLINK("https://klasma.github.io/Logging_1766/klagomål/A 31603-2022 FSC-klagomål.docx", "A 31603-2022")</f>
        <v/>
      </c>
      <c r="W175">
        <f>HYPERLINK("https://klasma.github.io/Logging_1766/klagomålsmail/A 31603-2022 FSC-klagomål mail.docx", "A 31603-2022")</f>
        <v/>
      </c>
      <c r="X175">
        <f>HYPERLINK("https://klasma.github.io/Logging_1766/tillsyn/A 31603-2022 tillsynsbegäran.docx", "A 31603-2022")</f>
        <v/>
      </c>
      <c r="Y175">
        <f>HYPERLINK("https://klasma.github.io/Logging_1766/tillsynsmail/A 31603-2022 tillsynsbegäran mail.docx", "A 31603-2022")</f>
        <v/>
      </c>
    </row>
    <row r="176" ht="15" customHeight="1">
      <c r="A176" t="inlineStr">
        <is>
          <t>A 34930-2022</t>
        </is>
      </c>
      <c r="B176" s="1" t="n">
        <v>44796</v>
      </c>
      <c r="C176" s="1" t="n">
        <v>45222</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 artfynd.xlsx", "A 34930-2022")</f>
        <v/>
      </c>
      <c r="T176">
        <f>HYPERLINK("https://klasma.github.io/Logging_1737/kartor/A 34930-2022 karta.png", "A 34930-2022")</f>
        <v/>
      </c>
      <c r="V176">
        <f>HYPERLINK("https://klasma.github.io/Logging_1737/klagomål/A 34930-2022 FSC-klagomål.docx", "A 34930-2022")</f>
        <v/>
      </c>
      <c r="W176">
        <f>HYPERLINK("https://klasma.github.io/Logging_1737/klagomålsmail/A 34930-2022 FSC-klagomål mail.docx", "A 34930-2022")</f>
        <v/>
      </c>
      <c r="X176">
        <f>HYPERLINK("https://klasma.github.io/Logging_1737/tillsyn/A 34930-2022 tillsynsbegäran.docx", "A 34930-2022")</f>
        <v/>
      </c>
      <c r="Y176">
        <f>HYPERLINK("https://klasma.github.io/Logging_1737/tillsynsmail/A 34930-2022 tillsynsbegäran mail.docx", "A 34930-2022")</f>
        <v/>
      </c>
    </row>
    <row r="177" ht="15" customHeight="1">
      <c r="A177" t="inlineStr">
        <is>
          <t>A 38221-2022</t>
        </is>
      </c>
      <c r="B177" s="1" t="n">
        <v>44812</v>
      </c>
      <c r="C177" s="1" t="n">
        <v>45222</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 artfynd.xlsx", "A 38221-2022")</f>
        <v/>
      </c>
      <c r="T177">
        <f>HYPERLINK("https://klasma.github.io/Logging_1737/kartor/A 38221-2022 karta.png", "A 38221-2022")</f>
        <v/>
      </c>
      <c r="V177">
        <f>HYPERLINK("https://klasma.github.io/Logging_1737/klagomål/A 38221-2022 FSC-klagomål.docx", "A 38221-2022")</f>
        <v/>
      </c>
      <c r="W177">
        <f>HYPERLINK("https://klasma.github.io/Logging_1737/klagomålsmail/A 38221-2022 FSC-klagomål mail.docx", "A 38221-2022")</f>
        <v/>
      </c>
      <c r="X177">
        <f>HYPERLINK("https://klasma.github.io/Logging_1737/tillsyn/A 38221-2022 tillsynsbegäran.docx", "A 38221-2022")</f>
        <v/>
      </c>
      <c r="Y177">
        <f>HYPERLINK("https://klasma.github.io/Logging_1737/tillsynsmail/A 38221-2022 tillsynsbegäran mail.docx", "A 38221-2022")</f>
        <v/>
      </c>
    </row>
    <row r="178" ht="15" customHeight="1">
      <c r="A178" t="inlineStr">
        <is>
          <t>A 45523-2022</t>
        </is>
      </c>
      <c r="B178" s="1" t="n">
        <v>44845</v>
      </c>
      <c r="C178" s="1" t="n">
        <v>45222</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 artfynd.xlsx", "A 45523-2022")</f>
        <v/>
      </c>
      <c r="T178">
        <f>HYPERLINK("https://klasma.github.io/Logging_1782/kartor/A 45523-2022 karta.png", "A 45523-2022")</f>
        <v/>
      </c>
      <c r="V178">
        <f>HYPERLINK("https://klasma.github.io/Logging_1782/klagomål/A 45523-2022 FSC-klagomål.docx", "A 45523-2022")</f>
        <v/>
      </c>
      <c r="W178">
        <f>HYPERLINK("https://klasma.github.io/Logging_1782/klagomålsmail/A 45523-2022 FSC-klagomål mail.docx", "A 45523-2022")</f>
        <v/>
      </c>
      <c r="X178">
        <f>HYPERLINK("https://klasma.github.io/Logging_1782/tillsyn/A 45523-2022 tillsynsbegäran.docx", "A 45523-2022")</f>
        <v/>
      </c>
      <c r="Y178">
        <f>HYPERLINK("https://klasma.github.io/Logging_1782/tillsynsmail/A 45523-2022 tillsynsbegäran mail.docx", "A 45523-2022")</f>
        <v/>
      </c>
    </row>
    <row r="179" ht="15" customHeight="1">
      <c r="A179" t="inlineStr">
        <is>
          <t>A 50431-2022</t>
        </is>
      </c>
      <c r="B179" s="1" t="n">
        <v>44861</v>
      </c>
      <c r="C179" s="1" t="n">
        <v>45222</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 artfynd.xlsx", "A 50431-2022")</f>
        <v/>
      </c>
      <c r="T179">
        <f>HYPERLINK("https://klasma.github.io/Logging_1785/kartor/A 50431-2022 karta.png", "A 50431-2022")</f>
        <v/>
      </c>
      <c r="V179">
        <f>HYPERLINK("https://klasma.github.io/Logging_1785/klagomål/A 50431-2022 FSC-klagomål.docx", "A 50431-2022")</f>
        <v/>
      </c>
      <c r="W179">
        <f>HYPERLINK("https://klasma.github.io/Logging_1785/klagomålsmail/A 50431-2022 FSC-klagomål mail.docx", "A 50431-2022")</f>
        <v/>
      </c>
      <c r="X179">
        <f>HYPERLINK("https://klasma.github.io/Logging_1785/tillsyn/A 50431-2022 tillsynsbegäran.docx", "A 50431-2022")</f>
        <v/>
      </c>
      <c r="Y179">
        <f>HYPERLINK("https://klasma.github.io/Logging_1785/tillsynsmail/A 50431-2022 tillsynsbegäran mail.docx", "A 50431-2022")</f>
        <v/>
      </c>
    </row>
    <row r="180" ht="15" customHeight="1">
      <c r="A180" t="inlineStr">
        <is>
          <t>A 50102-2022</t>
        </is>
      </c>
      <c r="B180" s="1" t="n">
        <v>44865</v>
      </c>
      <c r="C180" s="1" t="n">
        <v>45222</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 artfynd.xlsx", "A 50102-2022")</f>
        <v/>
      </c>
      <c r="T180">
        <f>HYPERLINK("https://klasma.github.io/Logging_1730/kartor/A 50102-2022 karta.png", "A 50102-2022")</f>
        <v/>
      </c>
      <c r="V180">
        <f>HYPERLINK("https://klasma.github.io/Logging_1730/klagomål/A 50102-2022 FSC-klagomål.docx", "A 50102-2022")</f>
        <v/>
      </c>
      <c r="W180">
        <f>HYPERLINK("https://klasma.github.io/Logging_1730/klagomålsmail/A 50102-2022 FSC-klagomål mail.docx", "A 50102-2022")</f>
        <v/>
      </c>
      <c r="X180">
        <f>HYPERLINK("https://klasma.github.io/Logging_1730/tillsyn/A 50102-2022 tillsynsbegäran.docx", "A 50102-2022")</f>
        <v/>
      </c>
      <c r="Y180">
        <f>HYPERLINK("https://klasma.github.io/Logging_1730/tillsynsmail/A 50102-2022 tillsynsbegäran mail.docx", "A 50102-2022")</f>
        <v/>
      </c>
    </row>
    <row r="181" ht="15" customHeight="1">
      <c r="A181" t="inlineStr">
        <is>
          <t>A 51769-2022</t>
        </is>
      </c>
      <c r="B181" s="1" t="n">
        <v>44872</v>
      </c>
      <c r="C181" s="1" t="n">
        <v>45222</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 artfynd.xlsx", "A 51769-2022")</f>
        <v/>
      </c>
      <c r="T181">
        <f>HYPERLINK("https://klasma.github.io/Logging_1784/kartor/A 51769-2022 karta.png", "A 51769-2022")</f>
        <v/>
      </c>
      <c r="U181">
        <f>HYPERLINK("https://klasma.github.io/Logging_1784/knärot/A 51769-2022 karta knärot.png", "A 51769-2022")</f>
        <v/>
      </c>
      <c r="V181">
        <f>HYPERLINK("https://klasma.github.io/Logging_1784/klagomål/A 51769-2022 FSC-klagomål.docx", "A 51769-2022")</f>
        <v/>
      </c>
      <c r="W181">
        <f>HYPERLINK("https://klasma.github.io/Logging_1784/klagomålsmail/A 51769-2022 FSC-klagomål mail.docx", "A 51769-2022")</f>
        <v/>
      </c>
      <c r="X181">
        <f>HYPERLINK("https://klasma.github.io/Logging_1784/tillsyn/A 51769-2022 tillsynsbegäran.docx", "A 51769-2022")</f>
        <v/>
      </c>
      <c r="Y181">
        <f>HYPERLINK("https://klasma.github.io/Logging_1784/tillsynsmail/A 51769-2022 tillsynsbegäran mail.docx", "A 51769-2022")</f>
        <v/>
      </c>
    </row>
    <row r="182" ht="15" customHeight="1">
      <c r="A182" t="inlineStr">
        <is>
          <t>A 51928-2022</t>
        </is>
      </c>
      <c r="B182" s="1" t="n">
        <v>44872</v>
      </c>
      <c r="C182" s="1" t="n">
        <v>45222</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 artfynd.xlsx", "A 51928-2022")</f>
        <v/>
      </c>
      <c r="T182">
        <f>HYPERLINK("https://klasma.github.io/Logging_1765/kartor/A 51928-2022 karta.png", "A 51928-2022")</f>
        <v/>
      </c>
      <c r="U182">
        <f>HYPERLINK("https://klasma.github.io/Logging_1765/knärot/A 51928-2022 karta knärot.png", "A 51928-2022")</f>
        <v/>
      </c>
      <c r="V182">
        <f>HYPERLINK("https://klasma.github.io/Logging_1765/klagomål/A 51928-2022 FSC-klagomål.docx", "A 51928-2022")</f>
        <v/>
      </c>
      <c r="W182">
        <f>HYPERLINK("https://klasma.github.io/Logging_1765/klagomålsmail/A 51928-2022 FSC-klagomål mail.docx", "A 51928-2022")</f>
        <v/>
      </c>
      <c r="X182">
        <f>HYPERLINK("https://klasma.github.io/Logging_1765/tillsyn/A 51928-2022 tillsynsbegäran.docx", "A 51928-2022")</f>
        <v/>
      </c>
      <c r="Y182">
        <f>HYPERLINK("https://klasma.github.io/Logging_1765/tillsynsmail/A 51928-2022 tillsynsbegäran mail.docx", "A 51928-2022")</f>
        <v/>
      </c>
    </row>
    <row r="183" ht="15" customHeight="1">
      <c r="A183" t="inlineStr">
        <is>
          <t>A 54195-2022</t>
        </is>
      </c>
      <c r="B183" s="1" t="n">
        <v>44881</v>
      </c>
      <c r="C183" s="1" t="n">
        <v>45222</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 artfynd.xlsx", "A 54195-2022")</f>
        <v/>
      </c>
      <c r="T183">
        <f>HYPERLINK("https://klasma.github.io/Logging_1730/kartor/A 54195-2022 karta.png", "A 54195-2022")</f>
        <v/>
      </c>
      <c r="V183">
        <f>HYPERLINK("https://klasma.github.io/Logging_1730/klagomål/A 54195-2022 FSC-klagomål.docx", "A 54195-2022")</f>
        <v/>
      </c>
      <c r="W183">
        <f>HYPERLINK("https://klasma.github.io/Logging_1730/klagomålsmail/A 54195-2022 FSC-klagomål mail.docx", "A 54195-2022")</f>
        <v/>
      </c>
      <c r="X183">
        <f>HYPERLINK("https://klasma.github.io/Logging_1730/tillsyn/A 54195-2022 tillsynsbegäran.docx", "A 54195-2022")</f>
        <v/>
      </c>
      <c r="Y183">
        <f>HYPERLINK("https://klasma.github.io/Logging_1730/tillsynsmail/A 54195-2022 tillsynsbegäran mail.docx", "A 54195-2022")</f>
        <v/>
      </c>
    </row>
    <row r="184" ht="15" customHeight="1">
      <c r="A184" t="inlineStr">
        <is>
          <t>A 56624-2022</t>
        </is>
      </c>
      <c r="B184" s="1" t="n">
        <v>44893</v>
      </c>
      <c r="C184" s="1" t="n">
        <v>45222</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 artfynd.xlsx", "A 56624-2022")</f>
        <v/>
      </c>
      <c r="T184">
        <f>HYPERLINK("https://klasma.github.io/Logging_1766/kartor/A 56624-2022 karta.png", "A 56624-2022")</f>
        <v/>
      </c>
      <c r="V184">
        <f>HYPERLINK("https://klasma.github.io/Logging_1766/klagomål/A 56624-2022 FSC-klagomål.docx", "A 56624-2022")</f>
        <v/>
      </c>
      <c r="W184">
        <f>HYPERLINK("https://klasma.github.io/Logging_1766/klagomålsmail/A 56624-2022 FSC-klagomål mail.docx", "A 56624-2022")</f>
        <v/>
      </c>
      <c r="X184">
        <f>HYPERLINK("https://klasma.github.io/Logging_1766/tillsyn/A 56624-2022 tillsynsbegäran.docx", "A 56624-2022")</f>
        <v/>
      </c>
      <c r="Y184">
        <f>HYPERLINK("https://klasma.github.io/Logging_1766/tillsynsmail/A 56624-2022 tillsynsbegäran mail.docx", "A 56624-2022")</f>
        <v/>
      </c>
    </row>
    <row r="185" ht="15" customHeight="1">
      <c r="A185" t="inlineStr">
        <is>
          <t>A 60826-2022</t>
        </is>
      </c>
      <c r="B185" s="1" t="n">
        <v>44907</v>
      </c>
      <c r="C185" s="1" t="n">
        <v>45222</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 artfynd.xlsx", "A 60826-2022")</f>
        <v/>
      </c>
      <c r="T185">
        <f>HYPERLINK("https://klasma.github.io/Logging_1764/kartor/A 60826-2022 karta.png", "A 60826-2022")</f>
        <v/>
      </c>
      <c r="V185">
        <f>HYPERLINK("https://klasma.github.io/Logging_1764/klagomål/A 60826-2022 FSC-klagomål.docx", "A 60826-2022")</f>
        <v/>
      </c>
      <c r="W185">
        <f>HYPERLINK("https://klasma.github.io/Logging_1764/klagomålsmail/A 60826-2022 FSC-klagomål mail.docx", "A 60826-2022")</f>
        <v/>
      </c>
      <c r="X185">
        <f>HYPERLINK("https://klasma.github.io/Logging_1764/tillsyn/A 60826-2022 tillsynsbegäran.docx", "A 60826-2022")</f>
        <v/>
      </c>
      <c r="Y185">
        <f>HYPERLINK("https://klasma.github.io/Logging_1764/tillsynsmail/A 60826-2022 tillsynsbegäran mail.docx", "A 60826-2022")</f>
        <v/>
      </c>
    </row>
    <row r="186" ht="15" customHeight="1">
      <c r="A186" t="inlineStr">
        <is>
          <t>A 1198-2023</t>
        </is>
      </c>
      <c r="B186" s="1" t="n">
        <v>44935</v>
      </c>
      <c r="C186" s="1" t="n">
        <v>45222</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 artfynd.xlsx", "A 1198-2023")</f>
        <v/>
      </c>
      <c r="T186">
        <f>HYPERLINK("https://klasma.github.io/Logging_1765/kartor/A 1198-2023 karta.png", "A 1198-2023")</f>
        <v/>
      </c>
      <c r="V186">
        <f>HYPERLINK("https://klasma.github.io/Logging_1765/klagomål/A 1198-2023 FSC-klagomål.docx", "A 1198-2023")</f>
        <v/>
      </c>
      <c r="W186">
        <f>HYPERLINK("https://klasma.github.io/Logging_1765/klagomålsmail/A 1198-2023 FSC-klagomål mail.docx", "A 1198-2023")</f>
        <v/>
      </c>
      <c r="X186">
        <f>HYPERLINK("https://klasma.github.io/Logging_1765/tillsyn/A 1198-2023 tillsynsbegäran.docx", "A 1198-2023")</f>
        <v/>
      </c>
      <c r="Y186">
        <f>HYPERLINK("https://klasma.github.io/Logging_1765/tillsynsmail/A 1198-2023 tillsynsbegäran mail.docx", "A 1198-2023")</f>
        <v/>
      </c>
    </row>
    <row r="187" ht="15" customHeight="1">
      <c r="A187" t="inlineStr">
        <is>
          <t>A 2000-2023</t>
        </is>
      </c>
      <c r="B187" s="1" t="n">
        <v>44939</v>
      </c>
      <c r="C187" s="1" t="n">
        <v>45222</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 artfynd.xlsx", "A 2000-2023")</f>
        <v/>
      </c>
      <c r="T187">
        <f>HYPERLINK("https://klasma.github.io/Logging_1737/kartor/A 2000-2023 karta.png", "A 2000-2023")</f>
        <v/>
      </c>
      <c r="V187">
        <f>HYPERLINK("https://klasma.github.io/Logging_1737/klagomål/A 2000-2023 FSC-klagomål.docx", "A 2000-2023")</f>
        <v/>
      </c>
      <c r="W187">
        <f>HYPERLINK("https://klasma.github.io/Logging_1737/klagomålsmail/A 2000-2023 FSC-klagomål mail.docx", "A 2000-2023")</f>
        <v/>
      </c>
      <c r="X187">
        <f>HYPERLINK("https://klasma.github.io/Logging_1737/tillsyn/A 2000-2023 tillsynsbegäran.docx", "A 2000-2023")</f>
        <v/>
      </c>
      <c r="Y187">
        <f>HYPERLINK("https://klasma.github.io/Logging_1737/tillsynsmail/A 2000-2023 tillsynsbegäran mail.docx", "A 2000-2023")</f>
        <v/>
      </c>
    </row>
    <row r="188" ht="15" customHeight="1">
      <c r="A188" t="inlineStr">
        <is>
          <t>A 4718-2023</t>
        </is>
      </c>
      <c r="B188" s="1" t="n">
        <v>44957</v>
      </c>
      <c r="C188" s="1" t="n">
        <v>45222</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 artfynd.xlsx", "A 4718-2023")</f>
        <v/>
      </c>
      <c r="T188">
        <f>HYPERLINK("https://klasma.github.io/Logging_1737/kartor/A 4718-2023 karta.png", "A 4718-2023")</f>
        <v/>
      </c>
      <c r="V188">
        <f>HYPERLINK("https://klasma.github.io/Logging_1737/klagomål/A 4718-2023 FSC-klagomål.docx", "A 4718-2023")</f>
        <v/>
      </c>
      <c r="W188">
        <f>HYPERLINK("https://klasma.github.io/Logging_1737/klagomålsmail/A 4718-2023 FSC-klagomål mail.docx", "A 4718-2023")</f>
        <v/>
      </c>
      <c r="X188">
        <f>HYPERLINK("https://klasma.github.io/Logging_1737/tillsyn/A 4718-2023 tillsynsbegäran.docx", "A 4718-2023")</f>
        <v/>
      </c>
      <c r="Y188">
        <f>HYPERLINK("https://klasma.github.io/Logging_1737/tillsynsmail/A 4718-2023 tillsynsbegäran mail.docx", "A 4718-2023")</f>
        <v/>
      </c>
    </row>
    <row r="189" ht="15" customHeight="1">
      <c r="A189" t="inlineStr">
        <is>
          <t>A 12949-2023</t>
        </is>
      </c>
      <c r="B189" s="1" t="n">
        <v>45001</v>
      </c>
      <c r="C189" s="1" t="n">
        <v>45222</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 artfynd.xlsx", "A 12949-2023")</f>
        <v/>
      </c>
      <c r="T189">
        <f>HYPERLINK("https://klasma.github.io/Logging_1765/kartor/A 12949-2023 karta.png", "A 12949-2023")</f>
        <v/>
      </c>
      <c r="V189">
        <f>HYPERLINK("https://klasma.github.io/Logging_1765/klagomål/A 12949-2023 FSC-klagomål.docx", "A 12949-2023")</f>
        <v/>
      </c>
      <c r="W189">
        <f>HYPERLINK("https://klasma.github.io/Logging_1765/klagomålsmail/A 12949-2023 FSC-klagomål mail.docx", "A 12949-2023")</f>
        <v/>
      </c>
      <c r="X189">
        <f>HYPERLINK("https://klasma.github.io/Logging_1765/tillsyn/A 12949-2023 tillsynsbegäran.docx", "A 12949-2023")</f>
        <v/>
      </c>
      <c r="Y189">
        <f>HYPERLINK("https://klasma.github.io/Logging_1765/tillsynsmail/A 12949-2023 tillsynsbegäran mail.docx", "A 12949-2023")</f>
        <v/>
      </c>
    </row>
    <row r="190" ht="15" customHeight="1">
      <c r="A190" t="inlineStr">
        <is>
          <t>A 13364-2023</t>
        </is>
      </c>
      <c r="B190" s="1" t="n">
        <v>45005</v>
      </c>
      <c r="C190" s="1" t="n">
        <v>45222</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 artfynd.xlsx", "A 13364-2023")</f>
        <v/>
      </c>
      <c r="T190">
        <f>HYPERLINK("https://klasma.github.io/Logging_1737/kartor/A 13364-2023 karta.png", "A 13364-2023")</f>
        <v/>
      </c>
      <c r="V190">
        <f>HYPERLINK("https://klasma.github.io/Logging_1737/klagomål/A 13364-2023 FSC-klagomål.docx", "A 13364-2023")</f>
        <v/>
      </c>
      <c r="W190">
        <f>HYPERLINK("https://klasma.github.io/Logging_1737/klagomålsmail/A 13364-2023 FSC-klagomål mail.docx", "A 13364-2023")</f>
        <v/>
      </c>
      <c r="X190">
        <f>HYPERLINK("https://klasma.github.io/Logging_1737/tillsyn/A 13364-2023 tillsynsbegäran.docx", "A 13364-2023")</f>
        <v/>
      </c>
      <c r="Y190">
        <f>HYPERLINK("https://klasma.github.io/Logging_1737/tillsynsmail/A 13364-2023 tillsynsbegäran mail.docx", "A 13364-2023")</f>
        <v/>
      </c>
    </row>
    <row r="191" ht="15" customHeight="1">
      <c r="A191" t="inlineStr">
        <is>
          <t>A 13630-2023</t>
        </is>
      </c>
      <c r="B191" s="1" t="n">
        <v>45006</v>
      </c>
      <c r="C191" s="1" t="n">
        <v>45222</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 artfynd.xlsx", "A 13630-2023")</f>
        <v/>
      </c>
      <c r="T191">
        <f>HYPERLINK("https://klasma.github.io/Logging_1784/kartor/A 13630-2023 karta.png", "A 13630-2023")</f>
        <v/>
      </c>
      <c r="V191">
        <f>HYPERLINK("https://klasma.github.io/Logging_1784/klagomål/A 13630-2023 FSC-klagomål.docx", "A 13630-2023")</f>
        <v/>
      </c>
      <c r="W191">
        <f>HYPERLINK("https://klasma.github.io/Logging_1784/klagomålsmail/A 13630-2023 FSC-klagomål mail.docx", "A 13630-2023")</f>
        <v/>
      </c>
      <c r="X191">
        <f>HYPERLINK("https://klasma.github.io/Logging_1784/tillsyn/A 13630-2023 tillsynsbegäran.docx", "A 13630-2023")</f>
        <v/>
      </c>
      <c r="Y191">
        <f>HYPERLINK("https://klasma.github.io/Logging_1784/tillsynsmail/A 13630-2023 tillsynsbegäran mail.docx", "A 13630-2023")</f>
        <v/>
      </c>
    </row>
    <row r="192" ht="15" customHeight="1">
      <c r="A192" t="inlineStr">
        <is>
          <t>A 16414-2023</t>
        </is>
      </c>
      <c r="B192" s="1" t="n">
        <v>45022</v>
      </c>
      <c r="C192" s="1" t="n">
        <v>45222</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 artfynd.xlsx", "A 16414-2023")</f>
        <v/>
      </c>
      <c r="T192">
        <f>HYPERLINK("https://klasma.github.io/Logging_1737/kartor/A 16414-2023 karta.png", "A 16414-2023")</f>
        <v/>
      </c>
      <c r="V192">
        <f>HYPERLINK("https://klasma.github.io/Logging_1737/klagomål/A 16414-2023 FSC-klagomål.docx", "A 16414-2023")</f>
        <v/>
      </c>
      <c r="W192">
        <f>HYPERLINK("https://klasma.github.io/Logging_1737/klagomålsmail/A 16414-2023 FSC-klagomål mail.docx", "A 16414-2023")</f>
        <v/>
      </c>
      <c r="X192">
        <f>HYPERLINK("https://klasma.github.io/Logging_1737/tillsyn/A 16414-2023 tillsynsbegäran.docx", "A 16414-2023")</f>
        <v/>
      </c>
      <c r="Y192">
        <f>HYPERLINK("https://klasma.github.io/Logging_1737/tillsynsmail/A 16414-2023 tillsynsbegäran mail.docx", "A 16414-2023")</f>
        <v/>
      </c>
    </row>
    <row r="193" ht="15" customHeight="1">
      <c r="A193" t="inlineStr">
        <is>
          <t>A 16442-2023</t>
        </is>
      </c>
      <c r="B193" s="1" t="n">
        <v>45026</v>
      </c>
      <c r="C193" s="1" t="n">
        <v>45222</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 artfynd.xlsx", "A 16442-2023")</f>
        <v/>
      </c>
      <c r="T193">
        <f>HYPERLINK("https://klasma.github.io/Logging_1737/kartor/A 16442-2023 karta.png", "A 16442-2023")</f>
        <v/>
      </c>
      <c r="V193">
        <f>HYPERLINK("https://klasma.github.io/Logging_1737/klagomål/A 16442-2023 FSC-klagomål.docx", "A 16442-2023")</f>
        <v/>
      </c>
      <c r="W193">
        <f>HYPERLINK("https://klasma.github.io/Logging_1737/klagomålsmail/A 16442-2023 FSC-klagomål mail.docx", "A 16442-2023")</f>
        <v/>
      </c>
      <c r="X193">
        <f>HYPERLINK("https://klasma.github.io/Logging_1737/tillsyn/A 16442-2023 tillsynsbegäran.docx", "A 16442-2023")</f>
        <v/>
      </c>
      <c r="Y193">
        <f>HYPERLINK("https://klasma.github.io/Logging_1737/tillsynsmail/A 16442-2023 tillsynsbegäran mail.docx", "A 16442-2023")</f>
        <v/>
      </c>
    </row>
    <row r="194" ht="15" customHeight="1">
      <c r="A194" t="inlineStr">
        <is>
          <t>A 19945-2023</t>
        </is>
      </c>
      <c r="B194" s="1" t="n">
        <v>45054</v>
      </c>
      <c r="C194" s="1" t="n">
        <v>45222</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 artfynd.xlsx", "A 19945-2023")</f>
        <v/>
      </c>
      <c r="T194">
        <f>HYPERLINK("https://klasma.github.io/Logging_1782/kartor/A 19945-2023 karta.png", "A 19945-2023")</f>
        <v/>
      </c>
      <c r="V194">
        <f>HYPERLINK("https://klasma.github.io/Logging_1782/klagomål/A 19945-2023 FSC-klagomål.docx", "A 19945-2023")</f>
        <v/>
      </c>
      <c r="W194">
        <f>HYPERLINK("https://klasma.github.io/Logging_1782/klagomålsmail/A 19945-2023 FSC-klagomål mail.docx", "A 19945-2023")</f>
        <v/>
      </c>
      <c r="X194">
        <f>HYPERLINK("https://klasma.github.io/Logging_1782/tillsyn/A 19945-2023 tillsynsbegäran.docx", "A 19945-2023")</f>
        <v/>
      </c>
      <c r="Y194">
        <f>HYPERLINK("https://klasma.github.io/Logging_1782/tillsynsmail/A 19945-2023 tillsynsbegäran mail.docx", "A 19945-2023")</f>
        <v/>
      </c>
    </row>
    <row r="195" ht="15" customHeight="1">
      <c r="A195" t="inlineStr">
        <is>
          <t>A 41507-2023</t>
        </is>
      </c>
      <c r="B195" s="1" t="n">
        <v>45175</v>
      </c>
      <c r="C195" s="1" t="n">
        <v>45222</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 artfynd.xlsx", "A 41507-2023")</f>
        <v/>
      </c>
      <c r="T195">
        <f>HYPERLINK("https://klasma.github.io/Logging_1780/kartor/A 41507-2023 karta.png", "A 41507-2023")</f>
        <v/>
      </c>
      <c r="V195">
        <f>HYPERLINK("https://klasma.github.io/Logging_1780/klagomål/A 41507-2023 FSC-klagomål.docx", "A 41507-2023")</f>
        <v/>
      </c>
      <c r="W195">
        <f>HYPERLINK("https://klasma.github.io/Logging_1780/klagomålsmail/A 41507-2023 FSC-klagomål mail.docx", "A 41507-2023")</f>
        <v/>
      </c>
      <c r="X195">
        <f>HYPERLINK("https://klasma.github.io/Logging_1780/tillsyn/A 41507-2023 tillsynsbegäran.docx", "A 41507-2023")</f>
        <v/>
      </c>
      <c r="Y195">
        <f>HYPERLINK("https://klasma.github.io/Logging_1780/tillsynsmail/A 41507-2023 tillsynsbegäran mail.docx", "A 41507-2023")</f>
        <v/>
      </c>
    </row>
    <row r="196" ht="15" customHeight="1">
      <c r="A196" t="inlineStr">
        <is>
          <t>A 42610-2023</t>
        </is>
      </c>
      <c r="B196" s="1" t="n">
        <v>45181</v>
      </c>
      <c r="C196" s="1" t="n">
        <v>45222</v>
      </c>
      <c r="D196" t="inlineStr">
        <is>
          <t>VÄRMLANDS LÄN</t>
        </is>
      </c>
      <c r="E196" t="inlineStr">
        <is>
          <t>TORSBY</t>
        </is>
      </c>
      <c r="G196" t="n">
        <v>16.9</v>
      </c>
      <c r="H196" t="n">
        <v>1</v>
      </c>
      <c r="I196" t="n">
        <v>0</v>
      </c>
      <c r="J196" t="n">
        <v>1</v>
      </c>
      <c r="K196" t="n">
        <v>0</v>
      </c>
      <c r="L196" t="n">
        <v>0</v>
      </c>
      <c r="M196" t="n">
        <v>0</v>
      </c>
      <c r="N196" t="n">
        <v>0</v>
      </c>
      <c r="O196" t="n">
        <v>1</v>
      </c>
      <c r="P196" t="n">
        <v>0</v>
      </c>
      <c r="Q196" t="n">
        <v>2</v>
      </c>
      <c r="R196" s="2" t="inlineStr">
        <is>
          <t>Garnlav
Tjäder</t>
        </is>
      </c>
      <c r="S196">
        <f>HYPERLINK("https://klasma.github.io/Logging_1737/artfynd/A 42610-2023 artfynd.xlsx", "A 42610-2023")</f>
        <v/>
      </c>
      <c r="T196">
        <f>HYPERLINK("https://klasma.github.io/Logging_1737/kartor/A 42610-2023 karta.png", "A 42610-2023")</f>
        <v/>
      </c>
      <c r="V196">
        <f>HYPERLINK("https://klasma.github.io/Logging_1737/klagomål/A 42610-2023 FSC-klagomål.docx", "A 42610-2023")</f>
        <v/>
      </c>
      <c r="W196">
        <f>HYPERLINK("https://klasma.github.io/Logging_1737/klagomålsmail/A 42610-2023 FSC-klagomål mail.docx", "A 42610-2023")</f>
        <v/>
      </c>
      <c r="X196">
        <f>HYPERLINK("https://klasma.github.io/Logging_1737/tillsyn/A 42610-2023 tillsynsbegäran.docx", "A 42610-2023")</f>
        <v/>
      </c>
      <c r="Y196">
        <f>HYPERLINK("https://klasma.github.io/Logging_1737/tillsynsmail/A 42610-2023 tillsynsbegäran mail.docx", "A 42610-2023")</f>
        <v/>
      </c>
    </row>
    <row r="197" ht="15" customHeight="1">
      <c r="A197" t="inlineStr">
        <is>
          <t>A 46008-2023</t>
        </is>
      </c>
      <c r="B197" s="1" t="n">
        <v>45196</v>
      </c>
      <c r="C197" s="1" t="n">
        <v>45222</v>
      </c>
      <c r="D197" t="inlineStr">
        <is>
          <t>VÄRMLANDS LÄN</t>
        </is>
      </c>
      <c r="E197" t="inlineStr">
        <is>
          <t>TORSBY</t>
        </is>
      </c>
      <c r="G197" t="n">
        <v>15.4</v>
      </c>
      <c r="H197" t="n">
        <v>0</v>
      </c>
      <c r="I197" t="n">
        <v>0</v>
      </c>
      <c r="J197" t="n">
        <v>2</v>
      </c>
      <c r="K197" t="n">
        <v>0</v>
      </c>
      <c r="L197" t="n">
        <v>0</v>
      </c>
      <c r="M197" t="n">
        <v>0</v>
      </c>
      <c r="N197" t="n">
        <v>0</v>
      </c>
      <c r="O197" t="n">
        <v>2</v>
      </c>
      <c r="P197" t="n">
        <v>0</v>
      </c>
      <c r="Q197" t="n">
        <v>2</v>
      </c>
      <c r="R197" s="2" t="inlineStr">
        <is>
          <t>Dvärgbägarlav
Garnlav</t>
        </is>
      </c>
      <c r="S197">
        <f>HYPERLINK("https://klasma.github.io/Logging_1737/artfynd/A 46008-2023 artfynd.xlsx", "A 46008-2023")</f>
        <v/>
      </c>
      <c r="T197">
        <f>HYPERLINK("https://klasma.github.io/Logging_1737/kartor/A 46008-2023 karta.png", "A 46008-2023")</f>
        <v/>
      </c>
      <c r="V197">
        <f>HYPERLINK("https://klasma.github.io/Logging_1737/klagomål/A 46008-2023 FSC-klagomål.docx", "A 46008-2023")</f>
        <v/>
      </c>
      <c r="W197">
        <f>HYPERLINK("https://klasma.github.io/Logging_1737/klagomålsmail/A 46008-2023 FSC-klagomål mail.docx", "A 46008-2023")</f>
        <v/>
      </c>
      <c r="X197">
        <f>HYPERLINK("https://klasma.github.io/Logging_1737/tillsyn/A 46008-2023 tillsynsbegäran.docx", "A 46008-2023")</f>
        <v/>
      </c>
      <c r="Y197">
        <f>HYPERLINK("https://klasma.github.io/Logging_1737/tillsynsmail/A 46008-2023 tillsynsbegäran mail.docx", "A 46008-2023")</f>
        <v/>
      </c>
    </row>
    <row r="198" ht="15" customHeight="1">
      <c r="A198" t="inlineStr">
        <is>
          <t>A 36996-2018</t>
        </is>
      </c>
      <c r="B198" s="1" t="n">
        <v>43332</v>
      </c>
      <c r="C198" s="1" t="n">
        <v>45222</v>
      </c>
      <c r="D198" t="inlineStr">
        <is>
          <t>VÄRMLANDS LÄN</t>
        </is>
      </c>
      <c r="E198" t="inlineStr">
        <is>
          <t>SUNNE</t>
        </is>
      </c>
      <c r="G198" t="n">
        <v>38.6</v>
      </c>
      <c r="H198" t="n">
        <v>0</v>
      </c>
      <c r="I198" t="n">
        <v>0</v>
      </c>
      <c r="J198" t="n">
        <v>1</v>
      </c>
      <c r="K198" t="n">
        <v>0</v>
      </c>
      <c r="L198" t="n">
        <v>0</v>
      </c>
      <c r="M198" t="n">
        <v>0</v>
      </c>
      <c r="N198" t="n">
        <v>0</v>
      </c>
      <c r="O198" t="n">
        <v>1</v>
      </c>
      <c r="P198" t="n">
        <v>0</v>
      </c>
      <c r="Q198" t="n">
        <v>1</v>
      </c>
      <c r="R198" s="2" t="inlineStr">
        <is>
          <t>Vedtrappmossa</t>
        </is>
      </c>
      <c r="S198">
        <f>HYPERLINK("https://klasma.github.io/Logging_1766/artfynd/A 36996-2018 artfynd.xlsx", "A 36996-2018")</f>
        <v/>
      </c>
      <c r="T198">
        <f>HYPERLINK("https://klasma.github.io/Logging_1766/kartor/A 36996-2018 karta.png", "A 36996-2018")</f>
        <v/>
      </c>
      <c r="V198">
        <f>HYPERLINK("https://klasma.github.io/Logging_1766/klagomål/A 36996-2018 FSC-klagomål.docx", "A 36996-2018")</f>
        <v/>
      </c>
      <c r="W198">
        <f>HYPERLINK("https://klasma.github.io/Logging_1766/klagomålsmail/A 36996-2018 FSC-klagomål mail.docx", "A 36996-2018")</f>
        <v/>
      </c>
      <c r="X198">
        <f>HYPERLINK("https://klasma.github.io/Logging_1766/tillsyn/A 36996-2018 tillsynsbegäran.docx", "A 36996-2018")</f>
        <v/>
      </c>
      <c r="Y198">
        <f>HYPERLINK("https://klasma.github.io/Logging_1766/tillsynsmail/A 36996-2018 tillsynsbegäran mail.docx", "A 36996-2018")</f>
        <v/>
      </c>
    </row>
    <row r="199" ht="15" customHeight="1">
      <c r="A199" t="inlineStr">
        <is>
          <t>A 49243-2018</t>
        </is>
      </c>
      <c r="B199" s="1" t="n">
        <v>43376</v>
      </c>
      <c r="C199" s="1" t="n">
        <v>45222</v>
      </c>
      <c r="D199" t="inlineStr">
        <is>
          <t>VÄRMLANDS LÄN</t>
        </is>
      </c>
      <c r="E199" t="inlineStr">
        <is>
          <t>EDA</t>
        </is>
      </c>
      <c r="G199" t="n">
        <v>7.8</v>
      </c>
      <c r="H199" t="n">
        <v>0</v>
      </c>
      <c r="I199" t="n">
        <v>0</v>
      </c>
      <c r="J199" t="n">
        <v>1</v>
      </c>
      <c r="K199" t="n">
        <v>0</v>
      </c>
      <c r="L199" t="n">
        <v>0</v>
      </c>
      <c r="M199" t="n">
        <v>0</v>
      </c>
      <c r="N199" t="n">
        <v>0</v>
      </c>
      <c r="O199" t="n">
        <v>1</v>
      </c>
      <c r="P199" t="n">
        <v>0</v>
      </c>
      <c r="Q199" t="n">
        <v>1</v>
      </c>
      <c r="R199" s="2" t="inlineStr">
        <is>
          <t>Lunglav</t>
        </is>
      </c>
      <c r="S199">
        <f>HYPERLINK("https://klasma.github.io/Logging_1730/artfynd/A 49243-2018 artfynd.xlsx", "A 49243-2018")</f>
        <v/>
      </c>
      <c r="T199">
        <f>HYPERLINK("https://klasma.github.io/Logging_1730/kartor/A 49243-2018 karta.png", "A 49243-2018")</f>
        <v/>
      </c>
      <c r="V199">
        <f>HYPERLINK("https://klasma.github.io/Logging_1730/klagomål/A 49243-2018 FSC-klagomål.docx", "A 49243-2018")</f>
        <v/>
      </c>
      <c r="W199">
        <f>HYPERLINK("https://klasma.github.io/Logging_1730/klagomålsmail/A 49243-2018 FSC-klagomål mail.docx", "A 49243-2018")</f>
        <v/>
      </c>
      <c r="X199">
        <f>HYPERLINK("https://klasma.github.io/Logging_1730/tillsyn/A 49243-2018 tillsynsbegäran.docx", "A 49243-2018")</f>
        <v/>
      </c>
      <c r="Y199">
        <f>HYPERLINK("https://klasma.github.io/Logging_1730/tillsynsmail/A 49243-2018 tillsynsbegäran mail.docx", "A 49243-2018")</f>
        <v/>
      </c>
    </row>
    <row r="200" ht="15" customHeight="1">
      <c r="A200" t="inlineStr">
        <is>
          <t>A 56625-2018</t>
        </is>
      </c>
      <c r="B200" s="1" t="n">
        <v>43382</v>
      </c>
      <c r="C200" s="1" t="n">
        <v>45222</v>
      </c>
      <c r="D200" t="inlineStr">
        <is>
          <t>VÄRMLANDS LÄN</t>
        </is>
      </c>
      <c r="E200" t="inlineStr">
        <is>
          <t>SÄFFLE</t>
        </is>
      </c>
      <c r="G200" t="n">
        <v>2</v>
      </c>
      <c r="H200" t="n">
        <v>0</v>
      </c>
      <c r="I200" t="n">
        <v>1</v>
      </c>
      <c r="J200" t="n">
        <v>0</v>
      </c>
      <c r="K200" t="n">
        <v>0</v>
      </c>
      <c r="L200" t="n">
        <v>0</v>
      </c>
      <c r="M200" t="n">
        <v>0</v>
      </c>
      <c r="N200" t="n">
        <v>0</v>
      </c>
      <c r="O200" t="n">
        <v>0</v>
      </c>
      <c r="P200" t="n">
        <v>0</v>
      </c>
      <c r="Q200" t="n">
        <v>1</v>
      </c>
      <c r="R200" s="2" t="inlineStr">
        <is>
          <t>Vätteros</t>
        </is>
      </c>
      <c r="S200">
        <f>HYPERLINK("https://klasma.github.io/Logging_1785/artfynd/A 56625-2018 artfynd.xlsx", "A 56625-2018")</f>
        <v/>
      </c>
      <c r="T200">
        <f>HYPERLINK("https://klasma.github.io/Logging_1785/kartor/A 56625-2018 karta.png", "A 56625-2018")</f>
        <v/>
      </c>
      <c r="V200">
        <f>HYPERLINK("https://klasma.github.io/Logging_1785/klagomål/A 56625-2018 FSC-klagomål.docx", "A 56625-2018")</f>
        <v/>
      </c>
      <c r="W200">
        <f>HYPERLINK("https://klasma.github.io/Logging_1785/klagomålsmail/A 56625-2018 FSC-klagomål mail.docx", "A 56625-2018")</f>
        <v/>
      </c>
      <c r="X200">
        <f>HYPERLINK("https://klasma.github.io/Logging_1785/tillsyn/A 56625-2018 tillsynsbegäran.docx", "A 56625-2018")</f>
        <v/>
      </c>
      <c r="Y200">
        <f>HYPERLINK("https://klasma.github.io/Logging_1785/tillsynsmail/A 56625-2018 tillsynsbegäran mail.docx", "A 56625-2018")</f>
        <v/>
      </c>
    </row>
    <row r="201" ht="15" customHeight="1">
      <c r="A201" t="inlineStr">
        <is>
          <t>A 56529-2018</t>
        </is>
      </c>
      <c r="B201" s="1" t="n">
        <v>43401</v>
      </c>
      <c r="C201" s="1" t="n">
        <v>45222</v>
      </c>
      <c r="D201" t="inlineStr">
        <is>
          <t>VÄRMLANDS LÄN</t>
        </is>
      </c>
      <c r="E201" t="inlineStr">
        <is>
          <t>TORSBY</t>
        </is>
      </c>
      <c r="G201" t="n">
        <v>2.5</v>
      </c>
      <c r="H201" t="n">
        <v>0</v>
      </c>
      <c r="I201" t="n">
        <v>0</v>
      </c>
      <c r="J201" t="n">
        <v>1</v>
      </c>
      <c r="K201" t="n">
        <v>0</v>
      </c>
      <c r="L201" t="n">
        <v>0</v>
      </c>
      <c r="M201" t="n">
        <v>0</v>
      </c>
      <c r="N201" t="n">
        <v>0</v>
      </c>
      <c r="O201" t="n">
        <v>1</v>
      </c>
      <c r="P201" t="n">
        <v>0</v>
      </c>
      <c r="Q201" t="n">
        <v>1</v>
      </c>
      <c r="R201" s="2" t="inlineStr">
        <is>
          <t>Vedskivlav</t>
        </is>
      </c>
      <c r="S201">
        <f>HYPERLINK("https://klasma.github.io/Logging_1737/artfynd/A 56529-2018 artfynd.xlsx", "A 56529-2018")</f>
        <v/>
      </c>
      <c r="T201">
        <f>HYPERLINK("https://klasma.github.io/Logging_1737/kartor/A 56529-2018 karta.png", "A 56529-2018")</f>
        <v/>
      </c>
      <c r="V201">
        <f>HYPERLINK("https://klasma.github.io/Logging_1737/klagomål/A 56529-2018 FSC-klagomål.docx", "A 56529-2018")</f>
        <v/>
      </c>
      <c r="W201">
        <f>HYPERLINK("https://klasma.github.io/Logging_1737/klagomålsmail/A 56529-2018 FSC-klagomål mail.docx", "A 56529-2018")</f>
        <v/>
      </c>
      <c r="X201">
        <f>HYPERLINK("https://klasma.github.io/Logging_1737/tillsyn/A 56529-2018 tillsynsbegäran.docx", "A 56529-2018")</f>
        <v/>
      </c>
      <c r="Y201">
        <f>HYPERLINK("https://klasma.github.io/Logging_1737/tillsynsmail/A 56529-2018 tillsynsbegäran mail.docx", "A 56529-2018")</f>
        <v/>
      </c>
    </row>
    <row r="202" ht="15" customHeight="1">
      <c r="A202" t="inlineStr">
        <is>
          <t>A 56530-2018</t>
        </is>
      </c>
      <c r="B202" s="1" t="n">
        <v>43401</v>
      </c>
      <c r="C202" s="1" t="n">
        <v>45222</v>
      </c>
      <c r="D202" t="inlineStr">
        <is>
          <t>VÄRMLANDS LÄN</t>
        </is>
      </c>
      <c r="E202" t="inlineStr">
        <is>
          <t>TORSBY</t>
        </is>
      </c>
      <c r="G202" t="n">
        <v>4.6</v>
      </c>
      <c r="H202" t="n">
        <v>0</v>
      </c>
      <c r="I202" t="n">
        <v>0</v>
      </c>
      <c r="J202" t="n">
        <v>1</v>
      </c>
      <c r="K202" t="n">
        <v>0</v>
      </c>
      <c r="L202" t="n">
        <v>0</v>
      </c>
      <c r="M202" t="n">
        <v>0</v>
      </c>
      <c r="N202" t="n">
        <v>0</v>
      </c>
      <c r="O202" t="n">
        <v>1</v>
      </c>
      <c r="P202" t="n">
        <v>0</v>
      </c>
      <c r="Q202" t="n">
        <v>1</v>
      </c>
      <c r="R202" s="2" t="inlineStr">
        <is>
          <t>Garnlav</t>
        </is>
      </c>
      <c r="S202">
        <f>HYPERLINK("https://klasma.github.io/Logging_1737/artfynd/A 56530-2018 artfynd.xlsx", "A 56530-2018")</f>
        <v/>
      </c>
      <c r="T202">
        <f>HYPERLINK("https://klasma.github.io/Logging_1737/kartor/A 56530-2018 karta.png", "A 56530-2018")</f>
        <v/>
      </c>
      <c r="V202">
        <f>HYPERLINK("https://klasma.github.io/Logging_1737/klagomål/A 56530-2018 FSC-klagomål.docx", "A 56530-2018")</f>
        <v/>
      </c>
      <c r="W202">
        <f>HYPERLINK("https://klasma.github.io/Logging_1737/klagomålsmail/A 56530-2018 FSC-klagomål mail.docx", "A 56530-2018")</f>
        <v/>
      </c>
      <c r="X202">
        <f>HYPERLINK("https://klasma.github.io/Logging_1737/tillsyn/A 56530-2018 tillsynsbegäran.docx", "A 56530-2018")</f>
        <v/>
      </c>
      <c r="Y202">
        <f>HYPERLINK("https://klasma.github.io/Logging_1737/tillsynsmail/A 56530-2018 tillsynsbegäran mail.docx", "A 56530-2018")</f>
        <v/>
      </c>
    </row>
    <row r="203" ht="15" customHeight="1">
      <c r="A203" t="inlineStr">
        <is>
          <t>A 59035-2018</t>
        </is>
      </c>
      <c r="B203" s="1" t="n">
        <v>43411</v>
      </c>
      <c r="C203" s="1" t="n">
        <v>45222</v>
      </c>
      <c r="D203" t="inlineStr">
        <is>
          <t>VÄRMLANDS LÄN</t>
        </is>
      </c>
      <c r="E203" t="inlineStr">
        <is>
          <t>HAGFORS</t>
        </is>
      </c>
      <c r="G203" t="n">
        <v>0.9</v>
      </c>
      <c r="H203" t="n">
        <v>1</v>
      </c>
      <c r="I203" t="n">
        <v>0</v>
      </c>
      <c r="J203" t="n">
        <v>1</v>
      </c>
      <c r="K203" t="n">
        <v>0</v>
      </c>
      <c r="L203" t="n">
        <v>0</v>
      </c>
      <c r="M203" t="n">
        <v>0</v>
      </c>
      <c r="N203" t="n">
        <v>0</v>
      </c>
      <c r="O203" t="n">
        <v>1</v>
      </c>
      <c r="P203" t="n">
        <v>0</v>
      </c>
      <c r="Q203" t="n">
        <v>1</v>
      </c>
      <c r="R203" s="2" t="inlineStr">
        <is>
          <t>Buskskvätta</t>
        </is>
      </c>
      <c r="S203">
        <f>HYPERLINK("https://klasma.github.io/Logging_1783/artfynd/A 59035-2018 artfynd.xlsx", "A 59035-2018")</f>
        <v/>
      </c>
      <c r="T203">
        <f>HYPERLINK("https://klasma.github.io/Logging_1783/kartor/A 59035-2018 karta.png", "A 59035-2018")</f>
        <v/>
      </c>
      <c r="V203">
        <f>HYPERLINK("https://klasma.github.io/Logging_1783/klagomål/A 59035-2018 FSC-klagomål.docx", "A 59035-2018")</f>
        <v/>
      </c>
      <c r="W203">
        <f>HYPERLINK("https://klasma.github.io/Logging_1783/klagomålsmail/A 59035-2018 FSC-klagomål mail.docx", "A 59035-2018")</f>
        <v/>
      </c>
      <c r="X203">
        <f>HYPERLINK("https://klasma.github.io/Logging_1783/tillsyn/A 59035-2018 tillsynsbegäran.docx", "A 59035-2018")</f>
        <v/>
      </c>
      <c r="Y203">
        <f>HYPERLINK("https://klasma.github.io/Logging_1783/tillsynsmail/A 59035-2018 tillsynsbegäran mail.docx", "A 59035-2018")</f>
        <v/>
      </c>
    </row>
    <row r="204" ht="15" customHeight="1">
      <c r="A204" t="inlineStr">
        <is>
          <t>A 59340-2018</t>
        </is>
      </c>
      <c r="B204" s="1" t="n">
        <v>43418</v>
      </c>
      <c r="C204" s="1" t="n">
        <v>45222</v>
      </c>
      <c r="D204" t="inlineStr">
        <is>
          <t>VÄRMLANDS LÄN</t>
        </is>
      </c>
      <c r="E204" t="inlineStr">
        <is>
          <t>EDA</t>
        </is>
      </c>
      <c r="G204" t="n">
        <v>3</v>
      </c>
      <c r="H204" t="n">
        <v>0</v>
      </c>
      <c r="I204" t="n">
        <v>0</v>
      </c>
      <c r="J204" t="n">
        <v>1</v>
      </c>
      <c r="K204" t="n">
        <v>0</v>
      </c>
      <c r="L204" t="n">
        <v>0</v>
      </c>
      <c r="M204" t="n">
        <v>0</v>
      </c>
      <c r="N204" t="n">
        <v>0</v>
      </c>
      <c r="O204" t="n">
        <v>1</v>
      </c>
      <c r="P204" t="n">
        <v>0</v>
      </c>
      <c r="Q204" t="n">
        <v>1</v>
      </c>
      <c r="R204" s="2" t="inlineStr">
        <is>
          <t>Vedtrappmossa</t>
        </is>
      </c>
      <c r="S204">
        <f>HYPERLINK("https://klasma.github.io/Logging_1730/artfynd/A 59340-2018 artfynd.xlsx", "A 59340-2018")</f>
        <v/>
      </c>
      <c r="T204">
        <f>HYPERLINK("https://klasma.github.io/Logging_1730/kartor/A 59340-2018 karta.png", "A 59340-2018")</f>
        <v/>
      </c>
      <c r="V204">
        <f>HYPERLINK("https://klasma.github.io/Logging_1730/klagomål/A 59340-2018 FSC-klagomål.docx", "A 59340-2018")</f>
        <v/>
      </c>
      <c r="W204">
        <f>HYPERLINK("https://klasma.github.io/Logging_1730/klagomålsmail/A 59340-2018 FSC-klagomål mail.docx", "A 59340-2018")</f>
        <v/>
      </c>
      <c r="X204">
        <f>HYPERLINK("https://klasma.github.io/Logging_1730/tillsyn/A 59340-2018 tillsynsbegäran.docx", "A 59340-2018")</f>
        <v/>
      </c>
      <c r="Y204">
        <f>HYPERLINK("https://klasma.github.io/Logging_1730/tillsynsmail/A 59340-2018 tillsynsbegäran mail.docx", "A 59340-2018")</f>
        <v/>
      </c>
    </row>
    <row r="205" ht="15" customHeight="1">
      <c r="A205" t="inlineStr">
        <is>
          <t>A 59564-2018</t>
        </is>
      </c>
      <c r="B205" s="1" t="n">
        <v>43419</v>
      </c>
      <c r="C205" s="1" t="n">
        <v>45222</v>
      </c>
      <c r="D205" t="inlineStr">
        <is>
          <t>VÄRMLANDS LÄN</t>
        </is>
      </c>
      <c r="E205" t="inlineStr">
        <is>
          <t>KARLSTAD</t>
        </is>
      </c>
      <c r="F205" t="inlineStr">
        <is>
          <t>Kommuner</t>
        </is>
      </c>
      <c r="G205" t="n">
        <v>5</v>
      </c>
      <c r="H205" t="n">
        <v>1</v>
      </c>
      <c r="I205" t="n">
        <v>0</v>
      </c>
      <c r="J205" t="n">
        <v>0</v>
      </c>
      <c r="K205" t="n">
        <v>0</v>
      </c>
      <c r="L205" t="n">
        <v>0</v>
      </c>
      <c r="M205" t="n">
        <v>0</v>
      </c>
      <c r="N205" t="n">
        <v>0</v>
      </c>
      <c r="O205" t="n">
        <v>0</v>
      </c>
      <c r="P205" t="n">
        <v>0</v>
      </c>
      <c r="Q205" t="n">
        <v>1</v>
      </c>
      <c r="R205" s="2" t="inlineStr">
        <is>
          <t>Fläcknycklar</t>
        </is>
      </c>
      <c r="S205">
        <f>HYPERLINK("https://klasma.github.io/Logging_1780/artfynd/A 59564-2018 artfynd.xlsx", "A 59564-2018")</f>
        <v/>
      </c>
      <c r="T205">
        <f>HYPERLINK("https://klasma.github.io/Logging_1780/kartor/A 59564-2018 karta.png", "A 59564-2018")</f>
        <v/>
      </c>
      <c r="V205">
        <f>HYPERLINK("https://klasma.github.io/Logging_1780/klagomål/A 59564-2018 FSC-klagomål.docx", "A 59564-2018")</f>
        <v/>
      </c>
      <c r="W205">
        <f>HYPERLINK("https://klasma.github.io/Logging_1780/klagomålsmail/A 59564-2018 FSC-klagomål mail.docx", "A 59564-2018")</f>
        <v/>
      </c>
      <c r="X205">
        <f>HYPERLINK("https://klasma.github.io/Logging_1780/tillsyn/A 59564-2018 tillsynsbegäran.docx", "A 59564-2018")</f>
        <v/>
      </c>
      <c r="Y205">
        <f>HYPERLINK("https://klasma.github.io/Logging_1780/tillsynsmail/A 59564-2018 tillsynsbegäran mail.docx", "A 59564-2018")</f>
        <v/>
      </c>
    </row>
    <row r="206" ht="15" customHeight="1">
      <c r="A206" t="inlineStr">
        <is>
          <t>A 59626-2018</t>
        </is>
      </c>
      <c r="B206" s="1" t="n">
        <v>43419</v>
      </c>
      <c r="C206" s="1" t="n">
        <v>45222</v>
      </c>
      <c r="D206" t="inlineStr">
        <is>
          <t>VÄRMLANDS LÄN</t>
        </is>
      </c>
      <c r="E206" t="inlineStr">
        <is>
          <t>EDA</t>
        </is>
      </c>
      <c r="G206" t="n">
        <v>1.4</v>
      </c>
      <c r="H206" t="n">
        <v>1</v>
      </c>
      <c r="I206" t="n">
        <v>0</v>
      </c>
      <c r="J206" t="n">
        <v>0</v>
      </c>
      <c r="K206" t="n">
        <v>0</v>
      </c>
      <c r="L206" t="n">
        <v>0</v>
      </c>
      <c r="M206" t="n">
        <v>0</v>
      </c>
      <c r="N206" t="n">
        <v>0</v>
      </c>
      <c r="O206" t="n">
        <v>0</v>
      </c>
      <c r="P206" t="n">
        <v>0</v>
      </c>
      <c r="Q206" t="n">
        <v>1</v>
      </c>
      <c r="R206" s="2" t="inlineStr">
        <is>
          <t>Blåsippa</t>
        </is>
      </c>
      <c r="S206">
        <f>HYPERLINK("https://klasma.github.io/Logging_1730/artfynd/A 59626-2018 artfynd.xlsx", "A 59626-2018")</f>
        <v/>
      </c>
      <c r="T206">
        <f>HYPERLINK("https://klasma.github.io/Logging_1730/kartor/A 59626-2018 karta.png", "A 59626-2018")</f>
        <v/>
      </c>
      <c r="U206">
        <f>HYPERLINK("https://klasma.github.io/Logging_1730/knärot/A 59626-2018 karta knärot.png", "A 59626-2018")</f>
        <v/>
      </c>
      <c r="V206">
        <f>HYPERLINK("https://klasma.github.io/Logging_1730/klagomål/A 59626-2018 FSC-klagomål.docx", "A 59626-2018")</f>
        <v/>
      </c>
      <c r="W206">
        <f>HYPERLINK("https://klasma.github.io/Logging_1730/klagomålsmail/A 59626-2018 FSC-klagomål mail.docx", "A 59626-2018")</f>
        <v/>
      </c>
      <c r="X206">
        <f>HYPERLINK("https://klasma.github.io/Logging_1730/tillsyn/A 59626-2018 tillsynsbegäran.docx", "A 59626-2018")</f>
        <v/>
      </c>
      <c r="Y206">
        <f>HYPERLINK("https://klasma.github.io/Logging_1730/tillsynsmail/A 59626-2018 tillsynsbegäran mail.docx", "A 59626-2018")</f>
        <v/>
      </c>
    </row>
    <row r="207" ht="15" customHeight="1">
      <c r="A207" t="inlineStr">
        <is>
          <t>A 59625-2018</t>
        </is>
      </c>
      <c r="B207" s="1" t="n">
        <v>43419</v>
      </c>
      <c r="C207" s="1" t="n">
        <v>45222</v>
      </c>
      <c r="D207" t="inlineStr">
        <is>
          <t>VÄRMLANDS LÄN</t>
        </is>
      </c>
      <c r="E207" t="inlineStr">
        <is>
          <t>EDA</t>
        </is>
      </c>
      <c r="G207" t="n">
        <v>3.8</v>
      </c>
      <c r="H207" t="n">
        <v>1</v>
      </c>
      <c r="I207" t="n">
        <v>0</v>
      </c>
      <c r="J207" t="n">
        <v>0</v>
      </c>
      <c r="K207" t="n">
        <v>0</v>
      </c>
      <c r="L207" t="n">
        <v>0</v>
      </c>
      <c r="M207" t="n">
        <v>0</v>
      </c>
      <c r="N207" t="n">
        <v>0</v>
      </c>
      <c r="O207" t="n">
        <v>0</v>
      </c>
      <c r="P207" t="n">
        <v>0</v>
      </c>
      <c r="Q207" t="n">
        <v>1</v>
      </c>
      <c r="R207" s="2" t="inlineStr">
        <is>
          <t>Blåsippa</t>
        </is>
      </c>
      <c r="S207">
        <f>HYPERLINK("https://klasma.github.io/Logging_1730/artfynd/A 59625-2018 artfynd.xlsx", "A 59625-2018")</f>
        <v/>
      </c>
      <c r="T207">
        <f>HYPERLINK("https://klasma.github.io/Logging_1730/kartor/A 59625-2018 karta.png", "A 59625-2018")</f>
        <v/>
      </c>
      <c r="V207">
        <f>HYPERLINK("https://klasma.github.io/Logging_1730/klagomål/A 59625-2018 FSC-klagomål.docx", "A 59625-2018")</f>
        <v/>
      </c>
      <c r="W207">
        <f>HYPERLINK("https://klasma.github.io/Logging_1730/klagomålsmail/A 59625-2018 FSC-klagomål mail.docx", "A 59625-2018")</f>
        <v/>
      </c>
      <c r="X207">
        <f>HYPERLINK("https://klasma.github.io/Logging_1730/tillsyn/A 59625-2018 tillsynsbegäran.docx", "A 59625-2018")</f>
        <v/>
      </c>
      <c r="Y207">
        <f>HYPERLINK("https://klasma.github.io/Logging_1730/tillsynsmail/A 59625-2018 tillsynsbegäran mail.docx", "A 59625-2018")</f>
        <v/>
      </c>
    </row>
    <row r="208" ht="15" customHeight="1">
      <c r="A208" t="inlineStr">
        <is>
          <t>A 66923-2018</t>
        </is>
      </c>
      <c r="B208" s="1" t="n">
        <v>43431</v>
      </c>
      <c r="C208" s="1" t="n">
        <v>45222</v>
      </c>
      <c r="D208" t="inlineStr">
        <is>
          <t>VÄRMLANDS LÄN</t>
        </is>
      </c>
      <c r="E208" t="inlineStr">
        <is>
          <t>SÄFFLE</t>
        </is>
      </c>
      <c r="G208" t="n">
        <v>2.6</v>
      </c>
      <c r="H208" t="n">
        <v>0</v>
      </c>
      <c r="I208" t="n">
        <v>1</v>
      </c>
      <c r="J208" t="n">
        <v>0</v>
      </c>
      <c r="K208" t="n">
        <v>0</v>
      </c>
      <c r="L208" t="n">
        <v>0</v>
      </c>
      <c r="M208" t="n">
        <v>0</v>
      </c>
      <c r="N208" t="n">
        <v>0</v>
      </c>
      <c r="O208" t="n">
        <v>0</v>
      </c>
      <c r="P208" t="n">
        <v>0</v>
      </c>
      <c r="Q208" t="n">
        <v>1</v>
      </c>
      <c r="R208" s="2" t="inlineStr">
        <is>
          <t>Vedticka</t>
        </is>
      </c>
      <c r="S208">
        <f>HYPERLINK("https://klasma.github.io/Logging_1785/artfynd/A 66923-2018 artfynd.xlsx", "A 66923-2018")</f>
        <v/>
      </c>
      <c r="T208">
        <f>HYPERLINK("https://klasma.github.io/Logging_1785/kartor/A 66923-2018 karta.png", "A 66923-2018")</f>
        <v/>
      </c>
      <c r="V208">
        <f>HYPERLINK("https://klasma.github.io/Logging_1785/klagomål/A 66923-2018 FSC-klagomål.docx", "A 66923-2018")</f>
        <v/>
      </c>
      <c r="W208">
        <f>HYPERLINK("https://klasma.github.io/Logging_1785/klagomålsmail/A 66923-2018 FSC-klagomål mail.docx", "A 66923-2018")</f>
        <v/>
      </c>
      <c r="X208">
        <f>HYPERLINK("https://klasma.github.io/Logging_1785/tillsyn/A 66923-2018 tillsynsbegäran.docx", "A 66923-2018")</f>
        <v/>
      </c>
      <c r="Y208">
        <f>HYPERLINK("https://klasma.github.io/Logging_1785/tillsynsmail/A 66923-2018 tillsynsbegäran mail.docx", "A 66923-2018")</f>
        <v/>
      </c>
    </row>
    <row r="209" ht="15" customHeight="1">
      <c r="A209" t="inlineStr">
        <is>
          <t>A 1254-2019</t>
        </is>
      </c>
      <c r="B209" s="1" t="n">
        <v>43461</v>
      </c>
      <c r="C209" s="1" t="n">
        <v>45222</v>
      </c>
      <c r="D209" t="inlineStr">
        <is>
          <t>VÄRMLANDS LÄN</t>
        </is>
      </c>
      <c r="E209" t="inlineStr">
        <is>
          <t>SÄFFLE</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HYPERLINK("https://klasma.github.io/Logging_1785/artfynd/A 1254-2019 artfynd.xlsx", "A 1254-2019")</f>
        <v/>
      </c>
      <c r="T209">
        <f>HYPERLINK("https://klasma.github.io/Logging_1785/kartor/A 1254-2019 karta.png", "A 1254-2019")</f>
        <v/>
      </c>
      <c r="V209">
        <f>HYPERLINK("https://klasma.github.io/Logging_1785/klagomål/A 1254-2019 FSC-klagomål.docx", "A 1254-2019")</f>
        <v/>
      </c>
      <c r="W209">
        <f>HYPERLINK("https://klasma.github.io/Logging_1785/klagomålsmail/A 1254-2019 FSC-klagomål mail.docx", "A 1254-2019")</f>
        <v/>
      </c>
      <c r="X209">
        <f>HYPERLINK("https://klasma.github.io/Logging_1785/tillsyn/A 1254-2019 tillsynsbegäran.docx", "A 1254-2019")</f>
        <v/>
      </c>
      <c r="Y209">
        <f>HYPERLINK("https://klasma.github.io/Logging_1785/tillsynsmail/A 1254-2019 tillsynsbegäran mail.docx", "A 1254-2019")</f>
        <v/>
      </c>
    </row>
    <row r="210" ht="15" customHeight="1">
      <c r="A210" t="inlineStr">
        <is>
          <t>A 2392-2019</t>
        </is>
      </c>
      <c r="B210" s="1" t="n">
        <v>43476</v>
      </c>
      <c r="C210" s="1" t="n">
        <v>45222</v>
      </c>
      <c r="D210" t="inlineStr">
        <is>
          <t>VÄRMLANDS LÄN</t>
        </is>
      </c>
      <c r="E210" t="inlineStr">
        <is>
          <t>ARVIKA</t>
        </is>
      </c>
      <c r="G210" t="n">
        <v>1.6</v>
      </c>
      <c r="H210" t="n">
        <v>1</v>
      </c>
      <c r="I210" t="n">
        <v>0</v>
      </c>
      <c r="J210" t="n">
        <v>0</v>
      </c>
      <c r="K210" t="n">
        <v>1</v>
      </c>
      <c r="L210" t="n">
        <v>0</v>
      </c>
      <c r="M210" t="n">
        <v>0</v>
      </c>
      <c r="N210" t="n">
        <v>0</v>
      </c>
      <c r="O210" t="n">
        <v>1</v>
      </c>
      <c r="P210" t="n">
        <v>1</v>
      </c>
      <c r="Q210" t="n">
        <v>1</v>
      </c>
      <c r="R210" s="2" t="inlineStr">
        <is>
          <t>Knärot</t>
        </is>
      </c>
      <c r="S210">
        <f>HYPERLINK("https://klasma.github.io/Logging_1784/artfynd/A 2392-2019 artfynd.xlsx", "A 2392-2019")</f>
        <v/>
      </c>
      <c r="T210">
        <f>HYPERLINK("https://klasma.github.io/Logging_1784/kartor/A 2392-2019 karta.png", "A 2392-2019")</f>
        <v/>
      </c>
      <c r="U210">
        <f>HYPERLINK("https://klasma.github.io/Logging_1784/knärot/A 2392-2019 karta knärot.png", "A 2392-2019")</f>
        <v/>
      </c>
      <c r="V210">
        <f>HYPERLINK("https://klasma.github.io/Logging_1784/klagomål/A 2392-2019 FSC-klagomål.docx", "A 2392-2019")</f>
        <v/>
      </c>
      <c r="W210">
        <f>HYPERLINK("https://klasma.github.io/Logging_1784/klagomålsmail/A 2392-2019 FSC-klagomål mail.docx", "A 2392-2019")</f>
        <v/>
      </c>
      <c r="X210">
        <f>HYPERLINK("https://klasma.github.io/Logging_1784/tillsyn/A 2392-2019 tillsynsbegäran.docx", "A 2392-2019")</f>
        <v/>
      </c>
      <c r="Y210">
        <f>HYPERLINK("https://klasma.github.io/Logging_1784/tillsynsmail/A 2392-2019 tillsynsbegäran mail.docx", "A 2392-2019")</f>
        <v/>
      </c>
    </row>
    <row r="211" ht="15" customHeight="1">
      <c r="A211" t="inlineStr">
        <is>
          <t>A 6077-2019</t>
        </is>
      </c>
      <c r="B211" s="1" t="n">
        <v>43493</v>
      </c>
      <c r="C211" s="1" t="n">
        <v>45222</v>
      </c>
      <c r="D211" t="inlineStr">
        <is>
          <t>VÄRMLANDS LÄN</t>
        </is>
      </c>
      <c r="E211" t="inlineStr">
        <is>
          <t>FILIPSTAD</t>
        </is>
      </c>
      <c r="F211" t="inlineStr">
        <is>
          <t>Bergvik skog väst AB</t>
        </is>
      </c>
      <c r="G211" t="n">
        <v>5.8</v>
      </c>
      <c r="H211" t="n">
        <v>0</v>
      </c>
      <c r="I211" t="n">
        <v>0</v>
      </c>
      <c r="J211" t="n">
        <v>0</v>
      </c>
      <c r="K211" t="n">
        <v>0</v>
      </c>
      <c r="L211" t="n">
        <v>1</v>
      </c>
      <c r="M211" t="n">
        <v>0</v>
      </c>
      <c r="N211" t="n">
        <v>0</v>
      </c>
      <c r="O211" t="n">
        <v>1</v>
      </c>
      <c r="P211" t="n">
        <v>1</v>
      </c>
      <c r="Q211" t="n">
        <v>1</v>
      </c>
      <c r="R211" s="2" t="inlineStr">
        <is>
          <t>Ask</t>
        </is>
      </c>
      <c r="S211">
        <f>HYPERLINK("https://klasma.github.io/Logging_1782/artfynd/A 6077-2019 artfynd.xlsx", "A 6077-2019")</f>
        <v/>
      </c>
      <c r="T211">
        <f>HYPERLINK("https://klasma.github.io/Logging_1782/kartor/A 6077-2019 karta.png", "A 6077-2019")</f>
        <v/>
      </c>
      <c r="V211">
        <f>HYPERLINK("https://klasma.github.io/Logging_1782/klagomål/A 6077-2019 FSC-klagomål.docx", "A 6077-2019")</f>
        <v/>
      </c>
      <c r="W211">
        <f>HYPERLINK("https://klasma.github.io/Logging_1782/klagomålsmail/A 6077-2019 FSC-klagomål mail.docx", "A 6077-2019")</f>
        <v/>
      </c>
      <c r="X211">
        <f>HYPERLINK("https://klasma.github.io/Logging_1782/tillsyn/A 6077-2019 tillsynsbegäran.docx", "A 6077-2019")</f>
        <v/>
      </c>
      <c r="Y211">
        <f>HYPERLINK("https://klasma.github.io/Logging_1782/tillsynsmail/A 6077-2019 tillsynsbegäran mail.docx", "A 6077-2019")</f>
        <v/>
      </c>
    </row>
    <row r="212" ht="15" customHeight="1">
      <c r="A212" t="inlineStr">
        <is>
          <t>A 7073-2019</t>
        </is>
      </c>
      <c r="B212" s="1" t="n">
        <v>43496</v>
      </c>
      <c r="C212" s="1" t="n">
        <v>45222</v>
      </c>
      <c r="D212" t="inlineStr">
        <is>
          <t>VÄRMLANDS LÄN</t>
        </is>
      </c>
      <c r="E212" t="inlineStr">
        <is>
          <t>EDA</t>
        </is>
      </c>
      <c r="G212" t="n">
        <v>13.9</v>
      </c>
      <c r="H212" t="n">
        <v>0</v>
      </c>
      <c r="I212" t="n">
        <v>0</v>
      </c>
      <c r="J212" t="n">
        <v>1</v>
      </c>
      <c r="K212" t="n">
        <v>0</v>
      </c>
      <c r="L212" t="n">
        <v>0</v>
      </c>
      <c r="M212" t="n">
        <v>0</v>
      </c>
      <c r="N212" t="n">
        <v>0</v>
      </c>
      <c r="O212" t="n">
        <v>1</v>
      </c>
      <c r="P212" t="n">
        <v>0</v>
      </c>
      <c r="Q212" t="n">
        <v>1</v>
      </c>
      <c r="R212" s="2" t="inlineStr">
        <is>
          <t>Garnlav</t>
        </is>
      </c>
      <c r="S212">
        <f>HYPERLINK("https://klasma.github.io/Logging_1730/artfynd/A 7073-2019 artfynd.xlsx", "A 7073-2019")</f>
        <v/>
      </c>
      <c r="T212">
        <f>HYPERLINK("https://klasma.github.io/Logging_1730/kartor/A 7073-2019 karta.png", "A 7073-2019")</f>
        <v/>
      </c>
      <c r="V212">
        <f>HYPERLINK("https://klasma.github.io/Logging_1730/klagomål/A 7073-2019 FSC-klagomål.docx", "A 7073-2019")</f>
        <v/>
      </c>
      <c r="W212">
        <f>HYPERLINK("https://klasma.github.io/Logging_1730/klagomålsmail/A 7073-2019 FSC-klagomål mail.docx", "A 7073-2019")</f>
        <v/>
      </c>
      <c r="X212">
        <f>HYPERLINK("https://klasma.github.io/Logging_1730/tillsyn/A 7073-2019 tillsynsbegäran.docx", "A 7073-2019")</f>
        <v/>
      </c>
      <c r="Y212">
        <f>HYPERLINK("https://klasma.github.io/Logging_1730/tillsynsmail/A 7073-2019 tillsynsbegäran mail.docx", "A 7073-2019")</f>
        <v/>
      </c>
    </row>
    <row r="213" ht="15" customHeight="1">
      <c r="A213" t="inlineStr">
        <is>
          <t>A 9067-2019</t>
        </is>
      </c>
      <c r="B213" s="1" t="n">
        <v>43504</v>
      </c>
      <c r="C213" s="1" t="n">
        <v>45222</v>
      </c>
      <c r="D213" t="inlineStr">
        <is>
          <t>VÄRMLANDS LÄN</t>
        </is>
      </c>
      <c r="E213" t="inlineStr">
        <is>
          <t>KARLSTAD</t>
        </is>
      </c>
      <c r="F213" t="inlineStr">
        <is>
          <t>Kommuner</t>
        </is>
      </c>
      <c r="G213" t="n">
        <v>2.1</v>
      </c>
      <c r="H213" t="n">
        <v>1</v>
      </c>
      <c r="I213" t="n">
        <v>0</v>
      </c>
      <c r="J213" t="n">
        <v>1</v>
      </c>
      <c r="K213" t="n">
        <v>0</v>
      </c>
      <c r="L213" t="n">
        <v>0</v>
      </c>
      <c r="M213" t="n">
        <v>0</v>
      </c>
      <c r="N213" t="n">
        <v>0</v>
      </c>
      <c r="O213" t="n">
        <v>1</v>
      </c>
      <c r="P213" t="n">
        <v>0</v>
      </c>
      <c r="Q213" t="n">
        <v>1</v>
      </c>
      <c r="R213" s="2" t="inlineStr">
        <is>
          <t>Gulsparv</t>
        </is>
      </c>
      <c r="S213">
        <f>HYPERLINK("https://klasma.github.io/Logging_1780/artfynd/A 9067-2019 artfynd.xlsx", "A 9067-2019")</f>
        <v/>
      </c>
      <c r="T213">
        <f>HYPERLINK("https://klasma.github.io/Logging_1780/kartor/A 9067-2019 karta.png", "A 9067-2019")</f>
        <v/>
      </c>
      <c r="V213">
        <f>HYPERLINK("https://klasma.github.io/Logging_1780/klagomål/A 9067-2019 FSC-klagomål.docx", "A 9067-2019")</f>
        <v/>
      </c>
      <c r="W213">
        <f>HYPERLINK("https://klasma.github.io/Logging_1780/klagomålsmail/A 9067-2019 FSC-klagomål mail.docx", "A 9067-2019")</f>
        <v/>
      </c>
      <c r="X213">
        <f>HYPERLINK("https://klasma.github.io/Logging_1780/tillsyn/A 9067-2019 tillsynsbegäran.docx", "A 9067-2019")</f>
        <v/>
      </c>
      <c r="Y213">
        <f>HYPERLINK("https://klasma.github.io/Logging_1780/tillsynsmail/A 9067-2019 tillsynsbegäran mail.docx", "A 9067-2019")</f>
        <v/>
      </c>
    </row>
    <row r="214" ht="15" customHeight="1">
      <c r="A214" t="inlineStr">
        <is>
          <t>A 14475-2019</t>
        </is>
      </c>
      <c r="B214" s="1" t="n">
        <v>43536</v>
      </c>
      <c r="C214" s="1" t="n">
        <v>45222</v>
      </c>
      <c r="D214" t="inlineStr">
        <is>
          <t>VÄRMLANDS LÄN</t>
        </is>
      </c>
      <c r="E214" t="inlineStr">
        <is>
          <t>KRISTINEHAMN</t>
        </is>
      </c>
      <c r="G214" t="n">
        <v>1.7</v>
      </c>
      <c r="H214" t="n">
        <v>1</v>
      </c>
      <c r="I214" t="n">
        <v>0</v>
      </c>
      <c r="J214" t="n">
        <v>0</v>
      </c>
      <c r="K214" t="n">
        <v>1</v>
      </c>
      <c r="L214" t="n">
        <v>0</v>
      </c>
      <c r="M214" t="n">
        <v>0</v>
      </c>
      <c r="N214" t="n">
        <v>0</v>
      </c>
      <c r="O214" t="n">
        <v>1</v>
      </c>
      <c r="P214" t="n">
        <v>1</v>
      </c>
      <c r="Q214" t="n">
        <v>1</v>
      </c>
      <c r="R214" s="2" t="inlineStr">
        <is>
          <t>Bombmurkla</t>
        </is>
      </c>
      <c r="S214">
        <f>HYPERLINK("https://klasma.github.io/Logging_1781/artfynd/A 14475-2019 artfynd.xlsx", "A 14475-2019")</f>
        <v/>
      </c>
      <c r="T214">
        <f>HYPERLINK("https://klasma.github.io/Logging_1781/kartor/A 14475-2019 karta.png", "A 14475-2019")</f>
        <v/>
      </c>
      <c r="V214">
        <f>HYPERLINK("https://klasma.github.io/Logging_1781/klagomål/A 14475-2019 FSC-klagomål.docx", "A 14475-2019")</f>
        <v/>
      </c>
      <c r="W214">
        <f>HYPERLINK("https://klasma.github.io/Logging_1781/klagomålsmail/A 14475-2019 FSC-klagomål mail.docx", "A 14475-2019")</f>
        <v/>
      </c>
      <c r="X214">
        <f>HYPERLINK("https://klasma.github.io/Logging_1781/tillsyn/A 14475-2019 tillsynsbegäran.docx", "A 14475-2019")</f>
        <v/>
      </c>
      <c r="Y214">
        <f>HYPERLINK("https://klasma.github.io/Logging_1781/tillsynsmail/A 14475-2019 tillsynsbegäran mail.docx", "A 14475-2019")</f>
        <v/>
      </c>
    </row>
    <row r="215" ht="15" customHeight="1">
      <c r="A215" t="inlineStr">
        <is>
          <t>A 18499-2019</t>
        </is>
      </c>
      <c r="B215" s="1" t="n">
        <v>43559</v>
      </c>
      <c r="C215" s="1" t="n">
        <v>45222</v>
      </c>
      <c r="D215" t="inlineStr">
        <is>
          <t>VÄRMLANDS LÄN</t>
        </is>
      </c>
      <c r="E215" t="inlineStr">
        <is>
          <t>TORSBY</t>
        </is>
      </c>
      <c r="G215" t="n">
        <v>4.8</v>
      </c>
      <c r="H215" t="n">
        <v>0</v>
      </c>
      <c r="I215" t="n">
        <v>0</v>
      </c>
      <c r="J215" t="n">
        <v>0</v>
      </c>
      <c r="K215" t="n">
        <v>1</v>
      </c>
      <c r="L215" t="n">
        <v>0</v>
      </c>
      <c r="M215" t="n">
        <v>0</v>
      </c>
      <c r="N215" t="n">
        <v>0</v>
      </c>
      <c r="O215" t="n">
        <v>1</v>
      </c>
      <c r="P215" t="n">
        <v>1</v>
      </c>
      <c r="Q215" t="n">
        <v>1</v>
      </c>
      <c r="R215" s="2" t="inlineStr">
        <is>
          <t>Raggbock</t>
        </is>
      </c>
      <c r="S215">
        <f>HYPERLINK("https://klasma.github.io/Logging_1737/artfynd/A 18499-2019 artfynd.xlsx", "A 18499-2019")</f>
        <v/>
      </c>
      <c r="T215">
        <f>HYPERLINK("https://klasma.github.io/Logging_1737/kartor/A 18499-2019 karta.png", "A 18499-2019")</f>
        <v/>
      </c>
      <c r="V215">
        <f>HYPERLINK("https://klasma.github.io/Logging_1737/klagomål/A 18499-2019 FSC-klagomål.docx", "A 18499-2019")</f>
        <v/>
      </c>
      <c r="W215">
        <f>HYPERLINK("https://klasma.github.io/Logging_1737/klagomålsmail/A 18499-2019 FSC-klagomål mail.docx", "A 18499-2019")</f>
        <v/>
      </c>
      <c r="X215">
        <f>HYPERLINK("https://klasma.github.io/Logging_1737/tillsyn/A 18499-2019 tillsynsbegäran.docx", "A 18499-2019")</f>
        <v/>
      </c>
      <c r="Y215">
        <f>HYPERLINK("https://klasma.github.io/Logging_1737/tillsynsmail/A 18499-2019 tillsynsbegäran mail.docx", "A 18499-2019")</f>
        <v/>
      </c>
    </row>
    <row r="216" ht="15" customHeight="1">
      <c r="A216" t="inlineStr">
        <is>
          <t>A 18838-2019</t>
        </is>
      </c>
      <c r="B216" s="1" t="n">
        <v>43563</v>
      </c>
      <c r="C216" s="1" t="n">
        <v>45222</v>
      </c>
      <c r="D216" t="inlineStr">
        <is>
          <t>VÄRMLANDS LÄN</t>
        </is>
      </c>
      <c r="E216" t="inlineStr">
        <is>
          <t>KARLSTAD</t>
        </is>
      </c>
      <c r="G216" t="n">
        <v>7.7</v>
      </c>
      <c r="H216" t="n">
        <v>1</v>
      </c>
      <c r="I216" t="n">
        <v>0</v>
      </c>
      <c r="J216" t="n">
        <v>0</v>
      </c>
      <c r="K216" t="n">
        <v>0</v>
      </c>
      <c r="L216" t="n">
        <v>0</v>
      </c>
      <c r="M216" t="n">
        <v>0</v>
      </c>
      <c r="N216" t="n">
        <v>0</v>
      </c>
      <c r="O216" t="n">
        <v>0</v>
      </c>
      <c r="P216" t="n">
        <v>0</v>
      </c>
      <c r="Q216" t="n">
        <v>1</v>
      </c>
      <c r="R216" s="2" t="inlineStr">
        <is>
          <t>Fläcknycklar</t>
        </is>
      </c>
      <c r="S216">
        <f>HYPERLINK("https://klasma.github.io/Logging_1780/artfynd/A 18838-2019 artfynd.xlsx", "A 18838-2019")</f>
        <v/>
      </c>
      <c r="T216">
        <f>HYPERLINK("https://klasma.github.io/Logging_1780/kartor/A 18838-2019 karta.png", "A 18838-2019")</f>
        <v/>
      </c>
      <c r="V216">
        <f>HYPERLINK("https://klasma.github.io/Logging_1780/klagomål/A 18838-2019 FSC-klagomål.docx", "A 18838-2019")</f>
        <v/>
      </c>
      <c r="W216">
        <f>HYPERLINK("https://klasma.github.io/Logging_1780/klagomålsmail/A 18838-2019 FSC-klagomål mail.docx", "A 18838-2019")</f>
        <v/>
      </c>
      <c r="X216">
        <f>HYPERLINK("https://klasma.github.io/Logging_1780/tillsyn/A 18838-2019 tillsynsbegäran.docx", "A 18838-2019")</f>
        <v/>
      </c>
      <c r="Y216">
        <f>HYPERLINK("https://klasma.github.io/Logging_1780/tillsynsmail/A 18838-2019 tillsynsbegäran mail.docx", "A 18838-2019")</f>
        <v/>
      </c>
    </row>
    <row r="217" ht="15" customHeight="1">
      <c r="A217" t="inlineStr">
        <is>
          <t>A 19213-2019</t>
        </is>
      </c>
      <c r="B217" s="1" t="n">
        <v>43564</v>
      </c>
      <c r="C217" s="1" t="n">
        <v>45222</v>
      </c>
      <c r="D217" t="inlineStr">
        <is>
          <t>VÄRMLANDS LÄN</t>
        </is>
      </c>
      <c r="E217" t="inlineStr">
        <is>
          <t>ARVIKA</t>
        </is>
      </c>
      <c r="G217" t="n">
        <v>7.8</v>
      </c>
      <c r="H217" t="n">
        <v>0</v>
      </c>
      <c r="I217" t="n">
        <v>0</v>
      </c>
      <c r="J217" t="n">
        <v>1</v>
      </c>
      <c r="K217" t="n">
        <v>0</v>
      </c>
      <c r="L217" t="n">
        <v>0</v>
      </c>
      <c r="M217" t="n">
        <v>0</v>
      </c>
      <c r="N217" t="n">
        <v>0</v>
      </c>
      <c r="O217" t="n">
        <v>1</v>
      </c>
      <c r="P217" t="n">
        <v>0</v>
      </c>
      <c r="Q217" t="n">
        <v>1</v>
      </c>
      <c r="R217" s="2" t="inlineStr">
        <is>
          <t>Skogsklocka</t>
        </is>
      </c>
      <c r="S217">
        <f>HYPERLINK("https://klasma.github.io/Logging_1784/artfynd/A 19213-2019 artfynd.xlsx", "A 19213-2019")</f>
        <v/>
      </c>
      <c r="T217">
        <f>HYPERLINK("https://klasma.github.io/Logging_1784/kartor/A 19213-2019 karta.png", "A 19213-2019")</f>
        <v/>
      </c>
      <c r="V217">
        <f>HYPERLINK("https://klasma.github.io/Logging_1784/klagomål/A 19213-2019 FSC-klagomål.docx", "A 19213-2019")</f>
        <v/>
      </c>
      <c r="W217">
        <f>HYPERLINK("https://klasma.github.io/Logging_1784/klagomålsmail/A 19213-2019 FSC-klagomål mail.docx", "A 19213-2019")</f>
        <v/>
      </c>
      <c r="X217">
        <f>HYPERLINK("https://klasma.github.io/Logging_1784/tillsyn/A 19213-2019 tillsynsbegäran.docx", "A 19213-2019")</f>
        <v/>
      </c>
      <c r="Y217">
        <f>HYPERLINK("https://klasma.github.io/Logging_1784/tillsynsmail/A 19213-2019 tillsynsbegäran mail.docx", "A 19213-2019")</f>
        <v/>
      </c>
    </row>
    <row r="218" ht="15" customHeight="1">
      <c r="A218" t="inlineStr">
        <is>
          <t>A 23681-2019</t>
        </is>
      </c>
      <c r="B218" s="1" t="n">
        <v>43594</v>
      </c>
      <c r="C218" s="1" t="n">
        <v>45222</v>
      </c>
      <c r="D218" t="inlineStr">
        <is>
          <t>VÄRMLANDS LÄN</t>
        </is>
      </c>
      <c r="E218" t="inlineStr">
        <is>
          <t>SÄFFLE</t>
        </is>
      </c>
      <c r="G218" t="n">
        <v>1.1</v>
      </c>
      <c r="H218" t="n">
        <v>0</v>
      </c>
      <c r="I218" t="n">
        <v>0</v>
      </c>
      <c r="J218" t="n">
        <v>1</v>
      </c>
      <c r="K218" t="n">
        <v>0</v>
      </c>
      <c r="L218" t="n">
        <v>0</v>
      </c>
      <c r="M218" t="n">
        <v>0</v>
      </c>
      <c r="N218" t="n">
        <v>0</v>
      </c>
      <c r="O218" t="n">
        <v>1</v>
      </c>
      <c r="P218" t="n">
        <v>0</v>
      </c>
      <c r="Q218" t="n">
        <v>1</v>
      </c>
      <c r="R218" s="2" t="inlineStr">
        <is>
          <t>Svinrot</t>
        </is>
      </c>
      <c r="S218">
        <f>HYPERLINK("https://klasma.github.io/Logging_1785/artfynd/A 23681-2019 artfynd.xlsx", "A 23681-2019")</f>
        <v/>
      </c>
      <c r="T218">
        <f>HYPERLINK("https://klasma.github.io/Logging_1785/kartor/A 23681-2019 karta.png", "A 23681-2019")</f>
        <v/>
      </c>
      <c r="V218">
        <f>HYPERLINK("https://klasma.github.io/Logging_1785/klagomål/A 23681-2019 FSC-klagomål.docx", "A 23681-2019")</f>
        <v/>
      </c>
      <c r="W218">
        <f>HYPERLINK("https://klasma.github.io/Logging_1785/klagomålsmail/A 23681-2019 FSC-klagomål mail.docx", "A 23681-2019")</f>
        <v/>
      </c>
      <c r="X218">
        <f>HYPERLINK("https://klasma.github.io/Logging_1785/tillsyn/A 23681-2019 tillsynsbegäran.docx", "A 23681-2019")</f>
        <v/>
      </c>
      <c r="Y218">
        <f>HYPERLINK("https://klasma.github.io/Logging_1785/tillsynsmail/A 23681-2019 tillsynsbegäran mail.docx", "A 23681-2019")</f>
        <v/>
      </c>
    </row>
    <row r="219" ht="15" customHeight="1">
      <c r="A219" t="inlineStr">
        <is>
          <t>A 25652-2019</t>
        </is>
      </c>
      <c r="B219" s="1" t="n">
        <v>43607</v>
      </c>
      <c r="C219" s="1" t="n">
        <v>45222</v>
      </c>
      <c r="D219" t="inlineStr">
        <is>
          <t>VÄRMLANDS LÄN</t>
        </is>
      </c>
      <c r="E219" t="inlineStr">
        <is>
          <t>KARLSTAD</t>
        </is>
      </c>
      <c r="G219" t="n">
        <v>1.9</v>
      </c>
      <c r="H219" t="n">
        <v>0</v>
      </c>
      <c r="I219" t="n">
        <v>1</v>
      </c>
      <c r="J219" t="n">
        <v>0</v>
      </c>
      <c r="K219" t="n">
        <v>0</v>
      </c>
      <c r="L219" t="n">
        <v>0</v>
      </c>
      <c r="M219" t="n">
        <v>0</v>
      </c>
      <c r="N219" t="n">
        <v>0</v>
      </c>
      <c r="O219" t="n">
        <v>0</v>
      </c>
      <c r="P219" t="n">
        <v>0</v>
      </c>
      <c r="Q219" t="n">
        <v>1</v>
      </c>
      <c r="R219" s="2" t="inlineStr">
        <is>
          <t>Vedticka</t>
        </is>
      </c>
      <c r="S219">
        <f>HYPERLINK("https://klasma.github.io/Logging_1780/artfynd/A 25652-2019 artfynd.xlsx", "A 25652-2019")</f>
        <v/>
      </c>
      <c r="T219">
        <f>HYPERLINK("https://klasma.github.io/Logging_1780/kartor/A 25652-2019 karta.png", "A 25652-2019")</f>
        <v/>
      </c>
      <c r="V219">
        <f>HYPERLINK("https://klasma.github.io/Logging_1780/klagomål/A 25652-2019 FSC-klagomål.docx", "A 25652-2019")</f>
        <v/>
      </c>
      <c r="W219">
        <f>HYPERLINK("https://klasma.github.io/Logging_1780/klagomålsmail/A 25652-2019 FSC-klagomål mail.docx", "A 25652-2019")</f>
        <v/>
      </c>
      <c r="X219">
        <f>HYPERLINK("https://klasma.github.io/Logging_1780/tillsyn/A 25652-2019 tillsynsbegäran.docx", "A 25652-2019")</f>
        <v/>
      </c>
      <c r="Y219">
        <f>HYPERLINK("https://klasma.github.io/Logging_1780/tillsynsmail/A 25652-2019 tillsynsbegäran mail.docx", "A 25652-2019")</f>
        <v/>
      </c>
    </row>
    <row r="220" ht="15" customHeight="1">
      <c r="A220" t="inlineStr">
        <is>
          <t>A 27311-2019</t>
        </is>
      </c>
      <c r="B220" s="1" t="n">
        <v>43616</v>
      </c>
      <c r="C220" s="1" t="n">
        <v>45222</v>
      </c>
      <c r="D220" t="inlineStr">
        <is>
          <t>VÄRMLANDS LÄN</t>
        </is>
      </c>
      <c r="E220" t="inlineStr">
        <is>
          <t>KARLSTAD</t>
        </is>
      </c>
      <c r="F220" t="inlineStr">
        <is>
          <t>Kommuner</t>
        </is>
      </c>
      <c r="G220" t="n">
        <v>2</v>
      </c>
      <c r="H220" t="n">
        <v>0</v>
      </c>
      <c r="I220" t="n">
        <v>0</v>
      </c>
      <c r="J220" t="n">
        <v>1</v>
      </c>
      <c r="K220" t="n">
        <v>0</v>
      </c>
      <c r="L220" t="n">
        <v>0</v>
      </c>
      <c r="M220" t="n">
        <v>0</v>
      </c>
      <c r="N220" t="n">
        <v>0</v>
      </c>
      <c r="O220" t="n">
        <v>1</v>
      </c>
      <c r="P220" t="n">
        <v>0</v>
      </c>
      <c r="Q220" t="n">
        <v>1</v>
      </c>
      <c r="R220" s="2" t="inlineStr">
        <is>
          <t>Ängsmetallvinge</t>
        </is>
      </c>
      <c r="S220">
        <f>HYPERLINK("https://klasma.github.io/Logging_1780/artfynd/A 27311-2019 artfynd.xlsx", "A 27311-2019")</f>
        <v/>
      </c>
      <c r="T220">
        <f>HYPERLINK("https://klasma.github.io/Logging_1780/kartor/A 27311-2019 karta.png", "A 27311-2019")</f>
        <v/>
      </c>
      <c r="V220">
        <f>HYPERLINK("https://klasma.github.io/Logging_1780/klagomål/A 27311-2019 FSC-klagomål.docx", "A 27311-2019")</f>
        <v/>
      </c>
      <c r="W220">
        <f>HYPERLINK("https://klasma.github.io/Logging_1780/klagomålsmail/A 27311-2019 FSC-klagomål mail.docx", "A 27311-2019")</f>
        <v/>
      </c>
      <c r="X220">
        <f>HYPERLINK("https://klasma.github.io/Logging_1780/tillsyn/A 27311-2019 tillsynsbegäran.docx", "A 27311-2019")</f>
        <v/>
      </c>
      <c r="Y220">
        <f>HYPERLINK("https://klasma.github.io/Logging_1780/tillsynsmail/A 27311-2019 tillsynsbegäran mail.docx", "A 27311-2019")</f>
        <v/>
      </c>
    </row>
    <row r="221" ht="15" customHeight="1">
      <c r="A221" t="inlineStr">
        <is>
          <t>A 29032-2019</t>
        </is>
      </c>
      <c r="B221" s="1" t="n">
        <v>43621</v>
      </c>
      <c r="C221" s="1" t="n">
        <v>45222</v>
      </c>
      <c r="D221" t="inlineStr">
        <is>
          <t>VÄRMLANDS LÄN</t>
        </is>
      </c>
      <c r="E221" t="inlineStr">
        <is>
          <t>ÅRJÄNG</t>
        </is>
      </c>
      <c r="G221" t="n">
        <v>4.8</v>
      </c>
      <c r="H221" t="n">
        <v>0</v>
      </c>
      <c r="I221" t="n">
        <v>0</v>
      </c>
      <c r="J221" t="n">
        <v>1</v>
      </c>
      <c r="K221" t="n">
        <v>0</v>
      </c>
      <c r="L221" t="n">
        <v>0</v>
      </c>
      <c r="M221" t="n">
        <v>0</v>
      </c>
      <c r="N221" t="n">
        <v>0</v>
      </c>
      <c r="O221" t="n">
        <v>1</v>
      </c>
      <c r="P221" t="n">
        <v>0</v>
      </c>
      <c r="Q221" t="n">
        <v>1</v>
      </c>
      <c r="R221" s="2" t="inlineStr">
        <is>
          <t>Veckticka</t>
        </is>
      </c>
      <c r="S221">
        <f>HYPERLINK("https://klasma.github.io/Logging_1765/artfynd/A 29032-2019 artfynd.xlsx", "A 29032-2019")</f>
        <v/>
      </c>
      <c r="T221">
        <f>HYPERLINK("https://klasma.github.io/Logging_1765/kartor/A 29032-2019 karta.png", "A 29032-2019")</f>
        <v/>
      </c>
      <c r="U221">
        <f>HYPERLINK("https://klasma.github.io/Logging_1765/knärot/A 29032-2019 karta knärot.png", "A 29032-2019")</f>
        <v/>
      </c>
      <c r="V221">
        <f>HYPERLINK("https://klasma.github.io/Logging_1765/klagomål/A 29032-2019 FSC-klagomål.docx", "A 29032-2019")</f>
        <v/>
      </c>
      <c r="W221">
        <f>HYPERLINK("https://klasma.github.io/Logging_1765/klagomålsmail/A 29032-2019 FSC-klagomål mail.docx", "A 29032-2019")</f>
        <v/>
      </c>
      <c r="X221">
        <f>HYPERLINK("https://klasma.github.io/Logging_1765/tillsyn/A 29032-2019 tillsynsbegäran.docx", "A 29032-2019")</f>
        <v/>
      </c>
      <c r="Y221">
        <f>HYPERLINK("https://klasma.github.io/Logging_1765/tillsynsmail/A 29032-2019 tillsynsbegäran mail.docx", "A 29032-2019")</f>
        <v/>
      </c>
    </row>
    <row r="222" ht="15" customHeight="1">
      <c r="A222" t="inlineStr">
        <is>
          <t>A 28904-2019</t>
        </is>
      </c>
      <c r="B222" s="1" t="n">
        <v>43628</v>
      </c>
      <c r="C222" s="1" t="n">
        <v>45222</v>
      </c>
      <c r="D222" t="inlineStr">
        <is>
          <t>VÄRMLANDS LÄN</t>
        </is>
      </c>
      <c r="E222" t="inlineStr">
        <is>
          <t>FORSHAGA</t>
        </is>
      </c>
      <c r="G222" t="n">
        <v>6.7</v>
      </c>
      <c r="H222" t="n">
        <v>1</v>
      </c>
      <c r="I222" t="n">
        <v>0</v>
      </c>
      <c r="J222" t="n">
        <v>0</v>
      </c>
      <c r="K222" t="n">
        <v>0</v>
      </c>
      <c r="L222" t="n">
        <v>0</v>
      </c>
      <c r="M222" t="n">
        <v>0</v>
      </c>
      <c r="N222" t="n">
        <v>0</v>
      </c>
      <c r="O222" t="n">
        <v>0</v>
      </c>
      <c r="P222" t="n">
        <v>0</v>
      </c>
      <c r="Q222" t="n">
        <v>1</v>
      </c>
      <c r="R222" s="2" t="inlineStr">
        <is>
          <t>Lopplummer</t>
        </is>
      </c>
      <c r="S222">
        <f>HYPERLINK("https://klasma.github.io/Logging_1763/artfynd/A 28904-2019 artfynd.xlsx", "A 28904-2019")</f>
        <v/>
      </c>
      <c r="T222">
        <f>HYPERLINK("https://klasma.github.io/Logging_1763/kartor/A 28904-2019 karta.png", "A 28904-2019")</f>
        <v/>
      </c>
      <c r="V222">
        <f>HYPERLINK("https://klasma.github.io/Logging_1763/klagomål/A 28904-2019 FSC-klagomål.docx", "A 28904-2019")</f>
        <v/>
      </c>
      <c r="W222">
        <f>HYPERLINK("https://klasma.github.io/Logging_1763/klagomålsmail/A 28904-2019 FSC-klagomål mail.docx", "A 28904-2019")</f>
        <v/>
      </c>
      <c r="X222">
        <f>HYPERLINK("https://klasma.github.io/Logging_1763/tillsyn/A 28904-2019 tillsynsbegäran.docx", "A 28904-2019")</f>
        <v/>
      </c>
      <c r="Y222">
        <f>HYPERLINK("https://klasma.github.io/Logging_1763/tillsynsmail/A 28904-2019 tillsynsbegäran mail.docx", "A 28904-2019")</f>
        <v/>
      </c>
    </row>
    <row r="223" ht="15" customHeight="1">
      <c r="A223" t="inlineStr">
        <is>
          <t>A 30304-2019</t>
        </is>
      </c>
      <c r="B223" s="1" t="n">
        <v>43634</v>
      </c>
      <c r="C223" s="1" t="n">
        <v>45222</v>
      </c>
      <c r="D223" t="inlineStr">
        <is>
          <t>VÄRMLANDS LÄN</t>
        </is>
      </c>
      <c r="E223" t="inlineStr">
        <is>
          <t>ARVIKA</t>
        </is>
      </c>
      <c r="G223" t="n">
        <v>0.6</v>
      </c>
      <c r="H223" t="n">
        <v>1</v>
      </c>
      <c r="I223" t="n">
        <v>0</v>
      </c>
      <c r="J223" t="n">
        <v>0</v>
      </c>
      <c r="K223" t="n">
        <v>1</v>
      </c>
      <c r="L223" t="n">
        <v>0</v>
      </c>
      <c r="M223" t="n">
        <v>0</v>
      </c>
      <c r="N223" t="n">
        <v>0</v>
      </c>
      <c r="O223" t="n">
        <v>1</v>
      </c>
      <c r="P223" t="n">
        <v>1</v>
      </c>
      <c r="Q223" t="n">
        <v>1</v>
      </c>
      <c r="R223" s="2" t="inlineStr">
        <is>
          <t>Knärot</t>
        </is>
      </c>
      <c r="S223">
        <f>HYPERLINK("https://klasma.github.io/Logging_1784/artfynd/A 30304-2019 artfynd.xlsx", "A 30304-2019")</f>
        <v/>
      </c>
      <c r="T223">
        <f>HYPERLINK("https://klasma.github.io/Logging_1784/kartor/A 30304-2019 karta.png", "A 30304-2019")</f>
        <v/>
      </c>
      <c r="U223">
        <f>HYPERLINK("https://klasma.github.io/Logging_1784/knärot/A 30304-2019 karta knärot.png", "A 30304-2019")</f>
        <v/>
      </c>
      <c r="V223">
        <f>HYPERLINK("https://klasma.github.io/Logging_1784/klagomål/A 30304-2019 FSC-klagomål.docx", "A 30304-2019")</f>
        <v/>
      </c>
      <c r="W223">
        <f>HYPERLINK("https://klasma.github.io/Logging_1784/klagomålsmail/A 30304-2019 FSC-klagomål mail.docx", "A 30304-2019")</f>
        <v/>
      </c>
      <c r="X223">
        <f>HYPERLINK("https://klasma.github.io/Logging_1784/tillsyn/A 30304-2019 tillsynsbegäran.docx", "A 30304-2019")</f>
        <v/>
      </c>
      <c r="Y223">
        <f>HYPERLINK("https://klasma.github.io/Logging_1784/tillsynsmail/A 30304-2019 tillsynsbegäran mail.docx", "A 30304-2019")</f>
        <v/>
      </c>
    </row>
    <row r="224" ht="15" customHeight="1">
      <c r="A224" t="inlineStr">
        <is>
          <t>A 31191-2019</t>
        </is>
      </c>
      <c r="B224" s="1" t="n">
        <v>43640</v>
      </c>
      <c r="C224" s="1" t="n">
        <v>45222</v>
      </c>
      <c r="D224" t="inlineStr">
        <is>
          <t>VÄRMLANDS LÄN</t>
        </is>
      </c>
      <c r="E224" t="inlineStr">
        <is>
          <t>FILIPSTAD</t>
        </is>
      </c>
      <c r="G224" t="n">
        <v>5.9</v>
      </c>
      <c r="H224" t="n">
        <v>1</v>
      </c>
      <c r="I224" t="n">
        <v>0</v>
      </c>
      <c r="J224" t="n">
        <v>1</v>
      </c>
      <c r="K224" t="n">
        <v>0</v>
      </c>
      <c r="L224" t="n">
        <v>0</v>
      </c>
      <c r="M224" t="n">
        <v>0</v>
      </c>
      <c r="N224" t="n">
        <v>0</v>
      </c>
      <c r="O224" t="n">
        <v>1</v>
      </c>
      <c r="P224" t="n">
        <v>0</v>
      </c>
      <c r="Q224" t="n">
        <v>1</v>
      </c>
      <c r="R224" s="2" t="inlineStr">
        <is>
          <t>Smålom</t>
        </is>
      </c>
      <c r="S224">
        <f>HYPERLINK("https://klasma.github.io/Logging_1782/artfynd/A 31191-2019 artfynd.xlsx", "A 31191-2019")</f>
        <v/>
      </c>
      <c r="T224">
        <f>HYPERLINK("https://klasma.github.io/Logging_1782/kartor/A 31191-2019 karta.png", "A 31191-2019")</f>
        <v/>
      </c>
      <c r="V224">
        <f>HYPERLINK("https://klasma.github.io/Logging_1782/klagomål/A 31191-2019 FSC-klagomål.docx", "A 31191-2019")</f>
        <v/>
      </c>
      <c r="W224">
        <f>HYPERLINK("https://klasma.github.io/Logging_1782/klagomålsmail/A 31191-2019 FSC-klagomål mail.docx", "A 31191-2019")</f>
        <v/>
      </c>
      <c r="X224">
        <f>HYPERLINK("https://klasma.github.io/Logging_1782/tillsyn/A 31191-2019 tillsynsbegäran.docx", "A 31191-2019")</f>
        <v/>
      </c>
      <c r="Y224">
        <f>HYPERLINK("https://klasma.github.io/Logging_1782/tillsynsmail/A 31191-2019 tillsynsbegäran mail.docx", "A 31191-2019")</f>
        <v/>
      </c>
    </row>
    <row r="225" ht="15" customHeight="1">
      <c r="A225" t="inlineStr">
        <is>
          <t>A 31848-2019</t>
        </is>
      </c>
      <c r="B225" s="1" t="n">
        <v>43642</v>
      </c>
      <c r="C225" s="1" t="n">
        <v>45222</v>
      </c>
      <c r="D225" t="inlineStr">
        <is>
          <t>VÄRMLANDS LÄN</t>
        </is>
      </c>
      <c r="E225" t="inlineStr">
        <is>
          <t>TORSBY</t>
        </is>
      </c>
      <c r="G225" t="n">
        <v>6.1</v>
      </c>
      <c r="H225" t="n">
        <v>1</v>
      </c>
      <c r="I225" t="n">
        <v>0</v>
      </c>
      <c r="J225" t="n">
        <v>0</v>
      </c>
      <c r="K225" t="n">
        <v>1</v>
      </c>
      <c r="L225" t="n">
        <v>0</v>
      </c>
      <c r="M225" t="n">
        <v>0</v>
      </c>
      <c r="N225" t="n">
        <v>0</v>
      </c>
      <c r="O225" t="n">
        <v>1</v>
      </c>
      <c r="P225" t="n">
        <v>1</v>
      </c>
      <c r="Q225" t="n">
        <v>1</v>
      </c>
      <c r="R225" s="2" t="inlineStr">
        <is>
          <t>Knärot</t>
        </is>
      </c>
      <c r="S225">
        <f>HYPERLINK("https://klasma.github.io/Logging_1737/artfynd/A 31848-2019 artfynd.xlsx", "A 31848-2019")</f>
        <v/>
      </c>
      <c r="T225">
        <f>HYPERLINK("https://klasma.github.io/Logging_1737/kartor/A 31848-2019 karta.png", "A 31848-2019")</f>
        <v/>
      </c>
      <c r="U225">
        <f>HYPERLINK("https://klasma.github.io/Logging_1737/knärot/A 31848-2019 karta knärot.png", "A 31848-2019")</f>
        <v/>
      </c>
      <c r="V225">
        <f>HYPERLINK("https://klasma.github.io/Logging_1737/klagomål/A 31848-2019 FSC-klagomål.docx", "A 31848-2019")</f>
        <v/>
      </c>
      <c r="W225">
        <f>HYPERLINK("https://klasma.github.io/Logging_1737/klagomålsmail/A 31848-2019 FSC-klagomål mail.docx", "A 31848-2019")</f>
        <v/>
      </c>
      <c r="X225">
        <f>HYPERLINK("https://klasma.github.io/Logging_1737/tillsyn/A 31848-2019 tillsynsbegäran.docx", "A 31848-2019")</f>
        <v/>
      </c>
      <c r="Y225">
        <f>HYPERLINK("https://klasma.github.io/Logging_1737/tillsynsmail/A 31848-2019 tillsynsbegäran mail.docx", "A 31848-2019")</f>
        <v/>
      </c>
    </row>
    <row r="226" ht="15" customHeight="1">
      <c r="A226" t="inlineStr">
        <is>
          <t>A 41355-2019</t>
        </is>
      </c>
      <c r="B226" s="1" t="n">
        <v>43696</v>
      </c>
      <c r="C226" s="1" t="n">
        <v>45222</v>
      </c>
      <c r="D226" t="inlineStr">
        <is>
          <t>VÄRMLANDS LÄN</t>
        </is>
      </c>
      <c r="E226" t="inlineStr">
        <is>
          <t>ÅRJÄNG</t>
        </is>
      </c>
      <c r="G226" t="n">
        <v>3.1</v>
      </c>
      <c r="H226" t="n">
        <v>0</v>
      </c>
      <c r="I226" t="n">
        <v>0</v>
      </c>
      <c r="J226" t="n">
        <v>1</v>
      </c>
      <c r="K226" t="n">
        <v>0</v>
      </c>
      <c r="L226" t="n">
        <v>0</v>
      </c>
      <c r="M226" t="n">
        <v>0</v>
      </c>
      <c r="N226" t="n">
        <v>0</v>
      </c>
      <c r="O226" t="n">
        <v>1</v>
      </c>
      <c r="P226" t="n">
        <v>0</v>
      </c>
      <c r="Q226" t="n">
        <v>1</v>
      </c>
      <c r="R226" s="2" t="inlineStr">
        <is>
          <t>Dofttaggsvamp</t>
        </is>
      </c>
      <c r="S226">
        <f>HYPERLINK("https://klasma.github.io/Logging_1765/artfynd/A 41355-2019 artfynd.xlsx", "A 41355-2019")</f>
        <v/>
      </c>
      <c r="T226">
        <f>HYPERLINK("https://klasma.github.io/Logging_1765/kartor/A 41355-2019 karta.png", "A 41355-2019")</f>
        <v/>
      </c>
      <c r="V226">
        <f>HYPERLINK("https://klasma.github.io/Logging_1765/klagomål/A 41355-2019 FSC-klagomål.docx", "A 41355-2019")</f>
        <v/>
      </c>
      <c r="W226">
        <f>HYPERLINK("https://klasma.github.io/Logging_1765/klagomålsmail/A 41355-2019 FSC-klagomål mail.docx", "A 41355-2019")</f>
        <v/>
      </c>
      <c r="X226">
        <f>HYPERLINK("https://klasma.github.io/Logging_1765/tillsyn/A 41355-2019 tillsynsbegäran.docx", "A 41355-2019")</f>
        <v/>
      </c>
      <c r="Y226">
        <f>HYPERLINK("https://klasma.github.io/Logging_1765/tillsynsmail/A 41355-2019 tillsynsbegäran mail.docx", "A 41355-2019")</f>
        <v/>
      </c>
    </row>
    <row r="227" ht="15" customHeight="1">
      <c r="A227" t="inlineStr">
        <is>
          <t>A 43500-2019</t>
        </is>
      </c>
      <c r="B227" s="1" t="n">
        <v>43706</v>
      </c>
      <c r="C227" s="1" t="n">
        <v>45222</v>
      </c>
      <c r="D227" t="inlineStr">
        <is>
          <t>VÄRMLANDS LÄN</t>
        </is>
      </c>
      <c r="E227" t="inlineStr">
        <is>
          <t>SUNNE</t>
        </is>
      </c>
      <c r="G227" t="n">
        <v>4.5</v>
      </c>
      <c r="H227" t="n">
        <v>0</v>
      </c>
      <c r="I227" t="n">
        <v>0</v>
      </c>
      <c r="J227" t="n">
        <v>1</v>
      </c>
      <c r="K227" t="n">
        <v>0</v>
      </c>
      <c r="L227" t="n">
        <v>0</v>
      </c>
      <c r="M227" t="n">
        <v>0</v>
      </c>
      <c r="N227" t="n">
        <v>0</v>
      </c>
      <c r="O227" t="n">
        <v>1</v>
      </c>
      <c r="P227" t="n">
        <v>0</v>
      </c>
      <c r="Q227" t="n">
        <v>1</v>
      </c>
      <c r="R227" s="2" t="inlineStr">
        <is>
          <t>Garnlav</t>
        </is>
      </c>
      <c r="S227">
        <f>HYPERLINK("https://klasma.github.io/Logging_1766/artfynd/A 43500-2019 artfynd.xlsx", "A 43500-2019")</f>
        <v/>
      </c>
      <c r="T227">
        <f>HYPERLINK("https://klasma.github.io/Logging_1766/kartor/A 43500-2019 karta.png", "A 43500-2019")</f>
        <v/>
      </c>
      <c r="V227">
        <f>HYPERLINK("https://klasma.github.io/Logging_1766/klagomål/A 43500-2019 FSC-klagomål.docx", "A 43500-2019")</f>
        <v/>
      </c>
      <c r="W227">
        <f>HYPERLINK("https://klasma.github.io/Logging_1766/klagomålsmail/A 43500-2019 FSC-klagomål mail.docx", "A 43500-2019")</f>
        <v/>
      </c>
      <c r="X227">
        <f>HYPERLINK("https://klasma.github.io/Logging_1766/tillsyn/A 43500-2019 tillsynsbegäran.docx", "A 43500-2019")</f>
        <v/>
      </c>
      <c r="Y227">
        <f>HYPERLINK("https://klasma.github.io/Logging_1766/tillsynsmail/A 43500-2019 tillsynsbegäran mail.docx", "A 43500-2019")</f>
        <v/>
      </c>
    </row>
    <row r="228" ht="15" customHeight="1">
      <c r="A228" t="inlineStr">
        <is>
          <t>A 45844-2019</t>
        </is>
      </c>
      <c r="B228" s="1" t="n">
        <v>43717</v>
      </c>
      <c r="C228" s="1" t="n">
        <v>45222</v>
      </c>
      <c r="D228" t="inlineStr">
        <is>
          <t>VÄRMLANDS LÄN</t>
        </is>
      </c>
      <c r="E228" t="inlineStr">
        <is>
          <t>TORSBY</t>
        </is>
      </c>
      <c r="G228" t="n">
        <v>4.1</v>
      </c>
      <c r="H228" t="n">
        <v>1</v>
      </c>
      <c r="I228" t="n">
        <v>0</v>
      </c>
      <c r="J228" t="n">
        <v>1</v>
      </c>
      <c r="K228" t="n">
        <v>0</v>
      </c>
      <c r="L228" t="n">
        <v>0</v>
      </c>
      <c r="M228" t="n">
        <v>0</v>
      </c>
      <c r="N228" t="n">
        <v>0</v>
      </c>
      <c r="O228" t="n">
        <v>1</v>
      </c>
      <c r="P228" t="n">
        <v>0</v>
      </c>
      <c r="Q228" t="n">
        <v>1</v>
      </c>
      <c r="R228" s="2" t="inlineStr">
        <is>
          <t>Talltita</t>
        </is>
      </c>
      <c r="S228">
        <f>HYPERLINK("https://klasma.github.io/Logging_1737/artfynd/A 45844-2019 artfynd.xlsx", "A 45844-2019")</f>
        <v/>
      </c>
      <c r="T228">
        <f>HYPERLINK("https://klasma.github.io/Logging_1737/kartor/A 45844-2019 karta.png", "A 45844-2019")</f>
        <v/>
      </c>
      <c r="V228">
        <f>HYPERLINK("https://klasma.github.io/Logging_1737/klagomål/A 45844-2019 FSC-klagomål.docx", "A 45844-2019")</f>
        <v/>
      </c>
      <c r="W228">
        <f>HYPERLINK("https://klasma.github.io/Logging_1737/klagomålsmail/A 45844-2019 FSC-klagomål mail.docx", "A 45844-2019")</f>
        <v/>
      </c>
      <c r="X228">
        <f>HYPERLINK("https://klasma.github.io/Logging_1737/tillsyn/A 45844-2019 tillsynsbegäran.docx", "A 45844-2019")</f>
        <v/>
      </c>
      <c r="Y228">
        <f>HYPERLINK("https://klasma.github.io/Logging_1737/tillsynsmail/A 45844-2019 tillsynsbegäran mail.docx", "A 45844-2019")</f>
        <v/>
      </c>
    </row>
    <row r="229" ht="15" customHeight="1">
      <c r="A229" t="inlineStr">
        <is>
          <t>A 47192-2019</t>
        </is>
      </c>
      <c r="B229" s="1" t="n">
        <v>43721</v>
      </c>
      <c r="C229" s="1" t="n">
        <v>45222</v>
      </c>
      <c r="D229" t="inlineStr">
        <is>
          <t>VÄRMLANDS LÄN</t>
        </is>
      </c>
      <c r="E229" t="inlineStr">
        <is>
          <t>KIL</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HYPERLINK("https://klasma.github.io/Logging_1715/artfynd/A 47192-2019 artfynd.xlsx", "A 47192-2019")</f>
        <v/>
      </c>
      <c r="T229">
        <f>HYPERLINK("https://klasma.github.io/Logging_1715/kartor/A 47192-2019 karta.png", "A 47192-2019")</f>
        <v/>
      </c>
      <c r="U229">
        <f>HYPERLINK("https://klasma.github.io/Logging_1715/knärot/A 47192-2019 karta knärot.png", "A 47192-2019")</f>
        <v/>
      </c>
      <c r="V229">
        <f>HYPERLINK("https://klasma.github.io/Logging_1715/klagomål/A 47192-2019 FSC-klagomål.docx", "A 47192-2019")</f>
        <v/>
      </c>
      <c r="W229">
        <f>HYPERLINK("https://klasma.github.io/Logging_1715/klagomålsmail/A 47192-2019 FSC-klagomål mail.docx", "A 47192-2019")</f>
        <v/>
      </c>
      <c r="X229">
        <f>HYPERLINK("https://klasma.github.io/Logging_1715/tillsyn/A 47192-2019 tillsynsbegäran.docx", "A 47192-2019")</f>
        <v/>
      </c>
      <c r="Y229">
        <f>HYPERLINK("https://klasma.github.io/Logging_1715/tillsynsmail/A 47192-2019 tillsynsbegäran mail.docx", "A 47192-2019")</f>
        <v/>
      </c>
    </row>
    <row r="230" ht="15" customHeight="1">
      <c r="A230" t="inlineStr">
        <is>
          <t>A 47423-2019</t>
        </is>
      </c>
      <c r="B230" s="1" t="n">
        <v>43723</v>
      </c>
      <c r="C230" s="1" t="n">
        <v>45222</v>
      </c>
      <c r="D230" t="inlineStr">
        <is>
          <t>VÄRMLANDS LÄN</t>
        </is>
      </c>
      <c r="E230" t="inlineStr">
        <is>
          <t>TORSBY</t>
        </is>
      </c>
      <c r="G230" t="n">
        <v>5.1</v>
      </c>
      <c r="H230" t="n">
        <v>0</v>
      </c>
      <c r="I230" t="n">
        <v>0</v>
      </c>
      <c r="J230" t="n">
        <v>1</v>
      </c>
      <c r="K230" t="n">
        <v>0</v>
      </c>
      <c r="L230" t="n">
        <v>0</v>
      </c>
      <c r="M230" t="n">
        <v>0</v>
      </c>
      <c r="N230" t="n">
        <v>0</v>
      </c>
      <c r="O230" t="n">
        <v>1</v>
      </c>
      <c r="P230" t="n">
        <v>0</v>
      </c>
      <c r="Q230" t="n">
        <v>1</v>
      </c>
      <c r="R230" s="2" t="inlineStr">
        <is>
          <t>Gammelgransskål</t>
        </is>
      </c>
      <c r="S230">
        <f>HYPERLINK("https://klasma.github.io/Logging_1737/artfynd/A 47423-2019 artfynd.xlsx", "A 47423-2019")</f>
        <v/>
      </c>
      <c r="T230">
        <f>HYPERLINK("https://klasma.github.io/Logging_1737/kartor/A 47423-2019 karta.png", "A 47423-2019")</f>
        <v/>
      </c>
      <c r="V230">
        <f>HYPERLINK("https://klasma.github.io/Logging_1737/klagomål/A 47423-2019 FSC-klagomål.docx", "A 47423-2019")</f>
        <v/>
      </c>
      <c r="W230">
        <f>HYPERLINK("https://klasma.github.io/Logging_1737/klagomålsmail/A 47423-2019 FSC-klagomål mail.docx", "A 47423-2019")</f>
        <v/>
      </c>
      <c r="X230">
        <f>HYPERLINK("https://klasma.github.io/Logging_1737/tillsyn/A 47423-2019 tillsynsbegäran.docx", "A 47423-2019")</f>
        <v/>
      </c>
      <c r="Y230">
        <f>HYPERLINK("https://klasma.github.io/Logging_1737/tillsynsmail/A 47423-2019 tillsynsbegäran mail.docx", "A 47423-2019")</f>
        <v/>
      </c>
    </row>
    <row r="231" ht="15" customHeight="1">
      <c r="A231" t="inlineStr">
        <is>
          <t>A 47834-2019</t>
        </is>
      </c>
      <c r="B231" s="1" t="n">
        <v>43725</v>
      </c>
      <c r="C231" s="1" t="n">
        <v>45222</v>
      </c>
      <c r="D231" t="inlineStr">
        <is>
          <t>VÄRMLANDS LÄN</t>
        </is>
      </c>
      <c r="E231" t="inlineStr">
        <is>
          <t>ÅRJÄNG</t>
        </is>
      </c>
      <c r="G231" t="n">
        <v>3</v>
      </c>
      <c r="H231" t="n">
        <v>0</v>
      </c>
      <c r="I231" t="n">
        <v>0</v>
      </c>
      <c r="J231" t="n">
        <v>0</v>
      </c>
      <c r="K231" t="n">
        <v>0</v>
      </c>
      <c r="L231" t="n">
        <v>1</v>
      </c>
      <c r="M231" t="n">
        <v>0</v>
      </c>
      <c r="N231" t="n">
        <v>0</v>
      </c>
      <c r="O231" t="n">
        <v>1</v>
      </c>
      <c r="P231" t="n">
        <v>1</v>
      </c>
      <c r="Q231" t="n">
        <v>1</v>
      </c>
      <c r="R231" s="2" t="inlineStr">
        <is>
          <t>Ask</t>
        </is>
      </c>
      <c r="S231">
        <f>HYPERLINK("https://klasma.github.io/Logging_1765/artfynd/A 47834-2019 artfynd.xlsx", "A 47834-2019")</f>
        <v/>
      </c>
      <c r="T231">
        <f>HYPERLINK("https://klasma.github.io/Logging_1765/kartor/A 47834-2019 karta.png", "A 47834-2019")</f>
        <v/>
      </c>
      <c r="V231">
        <f>HYPERLINK("https://klasma.github.io/Logging_1765/klagomål/A 47834-2019 FSC-klagomål.docx", "A 47834-2019")</f>
        <v/>
      </c>
      <c r="W231">
        <f>HYPERLINK("https://klasma.github.io/Logging_1765/klagomålsmail/A 47834-2019 FSC-klagomål mail.docx", "A 47834-2019")</f>
        <v/>
      </c>
      <c r="X231">
        <f>HYPERLINK("https://klasma.github.io/Logging_1765/tillsyn/A 47834-2019 tillsynsbegäran.docx", "A 47834-2019")</f>
        <v/>
      </c>
      <c r="Y231">
        <f>HYPERLINK("https://klasma.github.io/Logging_1765/tillsynsmail/A 47834-2019 tillsynsbegäran mail.docx", "A 47834-2019")</f>
        <v/>
      </c>
    </row>
    <row r="232" ht="15" customHeight="1">
      <c r="A232" t="inlineStr">
        <is>
          <t>A 48854-2019</t>
        </is>
      </c>
      <c r="B232" s="1" t="n">
        <v>43728</v>
      </c>
      <c r="C232" s="1" t="n">
        <v>45222</v>
      </c>
      <c r="D232" t="inlineStr">
        <is>
          <t>VÄRMLANDS LÄN</t>
        </is>
      </c>
      <c r="E232" t="inlineStr">
        <is>
          <t>ARVIKA</t>
        </is>
      </c>
      <c r="G232" t="n">
        <v>8.1</v>
      </c>
      <c r="H232" t="n">
        <v>1</v>
      </c>
      <c r="I232" t="n">
        <v>0</v>
      </c>
      <c r="J232" t="n">
        <v>0</v>
      </c>
      <c r="K232" t="n">
        <v>1</v>
      </c>
      <c r="L232" t="n">
        <v>0</v>
      </c>
      <c r="M232" t="n">
        <v>0</v>
      </c>
      <c r="N232" t="n">
        <v>0</v>
      </c>
      <c r="O232" t="n">
        <v>1</v>
      </c>
      <c r="P232" t="n">
        <v>1</v>
      </c>
      <c r="Q232" t="n">
        <v>1</v>
      </c>
      <c r="R232" s="2" t="inlineStr">
        <is>
          <t>Knärot</t>
        </is>
      </c>
      <c r="S232">
        <f>HYPERLINK("https://klasma.github.io/Logging_1784/artfynd/A 48854-2019 artfynd.xlsx", "A 48854-2019")</f>
        <v/>
      </c>
      <c r="T232">
        <f>HYPERLINK("https://klasma.github.io/Logging_1784/kartor/A 48854-2019 karta.png", "A 48854-2019")</f>
        <v/>
      </c>
      <c r="U232">
        <f>HYPERLINK("https://klasma.github.io/Logging_1784/knärot/A 48854-2019 karta knärot.png", "A 48854-2019")</f>
        <v/>
      </c>
      <c r="V232">
        <f>HYPERLINK("https://klasma.github.io/Logging_1784/klagomål/A 48854-2019 FSC-klagomål.docx", "A 48854-2019")</f>
        <v/>
      </c>
      <c r="W232">
        <f>HYPERLINK("https://klasma.github.io/Logging_1784/klagomålsmail/A 48854-2019 FSC-klagomål mail.docx", "A 48854-2019")</f>
        <v/>
      </c>
      <c r="X232">
        <f>HYPERLINK("https://klasma.github.io/Logging_1784/tillsyn/A 48854-2019 tillsynsbegäran.docx", "A 48854-2019")</f>
        <v/>
      </c>
      <c r="Y232">
        <f>HYPERLINK("https://klasma.github.io/Logging_1784/tillsynsmail/A 48854-2019 tillsynsbegäran mail.docx", "A 48854-2019")</f>
        <v/>
      </c>
    </row>
    <row r="233" ht="15" customHeight="1">
      <c r="A233" t="inlineStr">
        <is>
          <t>A 49192-2019</t>
        </is>
      </c>
      <c r="B233" s="1" t="n">
        <v>43731</v>
      </c>
      <c r="C233" s="1" t="n">
        <v>45222</v>
      </c>
      <c r="D233" t="inlineStr">
        <is>
          <t>VÄRMLANDS LÄN</t>
        </is>
      </c>
      <c r="E233" t="inlineStr">
        <is>
          <t>ÅRJÄNG</t>
        </is>
      </c>
      <c r="G233" t="n">
        <v>4.4</v>
      </c>
      <c r="H233" t="n">
        <v>1</v>
      </c>
      <c r="I233" t="n">
        <v>0</v>
      </c>
      <c r="J233" t="n">
        <v>0</v>
      </c>
      <c r="K233" t="n">
        <v>0</v>
      </c>
      <c r="L233" t="n">
        <v>0</v>
      </c>
      <c r="M233" t="n">
        <v>0</v>
      </c>
      <c r="N233" t="n">
        <v>0</v>
      </c>
      <c r="O233" t="n">
        <v>0</v>
      </c>
      <c r="P233" t="n">
        <v>0</v>
      </c>
      <c r="Q233" t="n">
        <v>1</v>
      </c>
      <c r="R233" s="2" t="inlineStr">
        <is>
          <t>Blåsippa</t>
        </is>
      </c>
      <c r="S233">
        <f>HYPERLINK("https://klasma.github.io/Logging_1765/artfynd/A 49192-2019 artfynd.xlsx", "A 49192-2019")</f>
        <v/>
      </c>
      <c r="T233">
        <f>HYPERLINK("https://klasma.github.io/Logging_1765/kartor/A 49192-2019 karta.png", "A 49192-2019")</f>
        <v/>
      </c>
      <c r="V233">
        <f>HYPERLINK("https://klasma.github.io/Logging_1765/klagomål/A 49192-2019 FSC-klagomål.docx", "A 49192-2019")</f>
        <v/>
      </c>
      <c r="W233">
        <f>HYPERLINK("https://klasma.github.io/Logging_1765/klagomålsmail/A 49192-2019 FSC-klagomål mail.docx", "A 49192-2019")</f>
        <v/>
      </c>
      <c r="X233">
        <f>HYPERLINK("https://klasma.github.io/Logging_1765/tillsyn/A 49192-2019 tillsynsbegäran.docx", "A 49192-2019")</f>
        <v/>
      </c>
      <c r="Y233">
        <f>HYPERLINK("https://klasma.github.io/Logging_1765/tillsynsmail/A 49192-2019 tillsynsbegäran mail.docx", "A 49192-2019")</f>
        <v/>
      </c>
    </row>
    <row r="234" ht="15" customHeight="1">
      <c r="A234" t="inlineStr">
        <is>
          <t>A 50261-2019</t>
        </is>
      </c>
      <c r="B234" s="1" t="n">
        <v>43734</v>
      </c>
      <c r="C234" s="1" t="n">
        <v>45222</v>
      </c>
      <c r="D234" t="inlineStr">
        <is>
          <t>VÄRMLANDS LÄN</t>
        </is>
      </c>
      <c r="E234" t="inlineStr">
        <is>
          <t>ÅRJÄNG</t>
        </is>
      </c>
      <c r="G234" t="n">
        <v>1.5</v>
      </c>
      <c r="H234" t="n">
        <v>1</v>
      </c>
      <c r="I234" t="n">
        <v>0</v>
      </c>
      <c r="J234" t="n">
        <v>0</v>
      </c>
      <c r="K234" t="n">
        <v>0</v>
      </c>
      <c r="L234" t="n">
        <v>0</v>
      </c>
      <c r="M234" t="n">
        <v>0</v>
      </c>
      <c r="N234" t="n">
        <v>0</v>
      </c>
      <c r="O234" t="n">
        <v>0</v>
      </c>
      <c r="P234" t="n">
        <v>0</v>
      </c>
      <c r="Q234" t="n">
        <v>1</v>
      </c>
      <c r="R234" s="2" t="inlineStr">
        <is>
          <t>Grönvit nattviol</t>
        </is>
      </c>
      <c r="S234">
        <f>HYPERLINK("https://klasma.github.io/Logging_1765/artfynd/A 50261-2019 artfynd.xlsx", "A 50261-2019")</f>
        <v/>
      </c>
      <c r="T234">
        <f>HYPERLINK("https://klasma.github.io/Logging_1765/kartor/A 50261-2019 karta.png", "A 50261-2019")</f>
        <v/>
      </c>
      <c r="V234">
        <f>HYPERLINK("https://klasma.github.io/Logging_1765/klagomål/A 50261-2019 FSC-klagomål.docx", "A 50261-2019")</f>
        <v/>
      </c>
      <c r="W234">
        <f>HYPERLINK("https://klasma.github.io/Logging_1765/klagomålsmail/A 50261-2019 FSC-klagomål mail.docx", "A 50261-2019")</f>
        <v/>
      </c>
      <c r="X234">
        <f>HYPERLINK("https://klasma.github.io/Logging_1765/tillsyn/A 50261-2019 tillsynsbegäran.docx", "A 50261-2019")</f>
        <v/>
      </c>
      <c r="Y234">
        <f>HYPERLINK("https://klasma.github.io/Logging_1765/tillsynsmail/A 50261-2019 tillsynsbegäran mail.docx", "A 50261-2019")</f>
        <v/>
      </c>
    </row>
    <row r="235" ht="15" customHeight="1">
      <c r="A235" t="inlineStr">
        <is>
          <t>A 51021-2019</t>
        </is>
      </c>
      <c r="B235" s="1" t="n">
        <v>43739</v>
      </c>
      <c r="C235" s="1" t="n">
        <v>45222</v>
      </c>
      <c r="D235" t="inlineStr">
        <is>
          <t>VÄRMLANDS LÄN</t>
        </is>
      </c>
      <c r="E235" t="inlineStr">
        <is>
          <t>HAGFORS</t>
        </is>
      </c>
      <c r="F235" t="inlineStr">
        <is>
          <t>Bergvik skog väst AB</t>
        </is>
      </c>
      <c r="G235" t="n">
        <v>18.7</v>
      </c>
      <c r="H235" t="n">
        <v>1</v>
      </c>
      <c r="I235" t="n">
        <v>0</v>
      </c>
      <c r="J235" t="n">
        <v>0</v>
      </c>
      <c r="K235" t="n">
        <v>1</v>
      </c>
      <c r="L235" t="n">
        <v>0</v>
      </c>
      <c r="M235" t="n">
        <v>0</v>
      </c>
      <c r="N235" t="n">
        <v>0</v>
      </c>
      <c r="O235" t="n">
        <v>1</v>
      </c>
      <c r="P235" t="n">
        <v>1</v>
      </c>
      <c r="Q235" t="n">
        <v>1</v>
      </c>
      <c r="R235" s="2" t="inlineStr">
        <is>
          <t>Mellanlummer</t>
        </is>
      </c>
      <c r="S235">
        <f>HYPERLINK("https://klasma.github.io/Logging_1783/artfynd/A 51021-2019 artfynd.xlsx", "A 51021-2019")</f>
        <v/>
      </c>
      <c r="T235">
        <f>HYPERLINK("https://klasma.github.io/Logging_1783/kartor/A 51021-2019 karta.png", "A 51021-2019")</f>
        <v/>
      </c>
      <c r="V235">
        <f>HYPERLINK("https://klasma.github.io/Logging_1783/klagomål/A 51021-2019 FSC-klagomål.docx", "A 51021-2019")</f>
        <v/>
      </c>
      <c r="W235">
        <f>HYPERLINK("https://klasma.github.io/Logging_1783/klagomålsmail/A 51021-2019 FSC-klagomål mail.docx", "A 51021-2019")</f>
        <v/>
      </c>
      <c r="X235">
        <f>HYPERLINK("https://klasma.github.io/Logging_1783/tillsyn/A 51021-2019 tillsynsbegäran.docx", "A 51021-2019")</f>
        <v/>
      </c>
      <c r="Y235">
        <f>HYPERLINK("https://klasma.github.io/Logging_1783/tillsynsmail/A 51021-2019 tillsynsbegäran mail.docx", "A 51021-2019")</f>
        <v/>
      </c>
    </row>
    <row r="236" ht="15" customHeight="1">
      <c r="A236" t="inlineStr">
        <is>
          <t>A 53924-2019</t>
        </is>
      </c>
      <c r="B236" s="1" t="n">
        <v>43742</v>
      </c>
      <c r="C236" s="1" t="n">
        <v>45222</v>
      </c>
      <c r="D236" t="inlineStr">
        <is>
          <t>VÄRMLANDS LÄN</t>
        </is>
      </c>
      <c r="E236" t="inlineStr">
        <is>
          <t>TORSBY</t>
        </is>
      </c>
      <c r="G236" t="n">
        <v>7.1</v>
      </c>
      <c r="H236" t="n">
        <v>1</v>
      </c>
      <c r="I236" t="n">
        <v>0</v>
      </c>
      <c r="J236" t="n">
        <v>0</v>
      </c>
      <c r="K236" t="n">
        <v>0</v>
      </c>
      <c r="L236" t="n">
        <v>0</v>
      </c>
      <c r="M236" t="n">
        <v>0</v>
      </c>
      <c r="N236" t="n">
        <v>0</v>
      </c>
      <c r="O236" t="n">
        <v>0</v>
      </c>
      <c r="P236" t="n">
        <v>0</v>
      </c>
      <c r="Q236" t="n">
        <v>1</v>
      </c>
      <c r="R236" s="2" t="inlineStr">
        <is>
          <t>Fläcknycklar</t>
        </is>
      </c>
      <c r="S236">
        <f>HYPERLINK("https://klasma.github.io/Logging_1737/artfynd/A 53924-2019 artfynd.xlsx", "A 53924-2019")</f>
        <v/>
      </c>
      <c r="T236">
        <f>HYPERLINK("https://klasma.github.io/Logging_1737/kartor/A 53924-2019 karta.png", "A 53924-2019")</f>
        <v/>
      </c>
      <c r="V236">
        <f>HYPERLINK("https://klasma.github.io/Logging_1737/klagomål/A 53924-2019 FSC-klagomål.docx", "A 53924-2019")</f>
        <v/>
      </c>
      <c r="W236">
        <f>HYPERLINK("https://klasma.github.io/Logging_1737/klagomålsmail/A 53924-2019 FSC-klagomål mail.docx", "A 53924-2019")</f>
        <v/>
      </c>
      <c r="X236">
        <f>HYPERLINK("https://klasma.github.io/Logging_1737/tillsyn/A 53924-2019 tillsynsbegäran.docx", "A 53924-2019")</f>
        <v/>
      </c>
      <c r="Y236">
        <f>HYPERLINK("https://klasma.github.io/Logging_1737/tillsynsmail/A 53924-2019 tillsynsbegäran mail.docx", "A 53924-2019")</f>
        <v/>
      </c>
    </row>
    <row r="237" ht="15" customHeight="1">
      <c r="A237" t="inlineStr">
        <is>
          <t>A 55931-2019</t>
        </is>
      </c>
      <c r="B237" s="1" t="n">
        <v>43761</v>
      </c>
      <c r="C237" s="1" t="n">
        <v>45222</v>
      </c>
      <c r="D237" t="inlineStr">
        <is>
          <t>VÄRMLANDS LÄN</t>
        </is>
      </c>
      <c r="E237" t="inlineStr">
        <is>
          <t>ARVIKA</t>
        </is>
      </c>
      <c r="G237" t="n">
        <v>1.1</v>
      </c>
      <c r="H237" t="n">
        <v>0</v>
      </c>
      <c r="I237" t="n">
        <v>0</v>
      </c>
      <c r="J237" t="n">
        <v>0</v>
      </c>
      <c r="K237" t="n">
        <v>1</v>
      </c>
      <c r="L237" t="n">
        <v>0</v>
      </c>
      <c r="M237" t="n">
        <v>0</v>
      </c>
      <c r="N237" t="n">
        <v>0</v>
      </c>
      <c r="O237" t="n">
        <v>1</v>
      </c>
      <c r="P237" t="n">
        <v>1</v>
      </c>
      <c r="Q237" t="n">
        <v>1</v>
      </c>
      <c r="R237" s="2" t="inlineStr">
        <is>
          <t>Blåtryffel</t>
        </is>
      </c>
      <c r="S237">
        <f>HYPERLINK("https://klasma.github.io/Logging_1784/artfynd/A 55931-2019 artfynd.xlsx", "A 55931-2019")</f>
        <v/>
      </c>
      <c r="T237">
        <f>HYPERLINK("https://klasma.github.io/Logging_1784/kartor/A 55931-2019 karta.png", "A 55931-2019")</f>
        <v/>
      </c>
      <c r="V237">
        <f>HYPERLINK("https://klasma.github.io/Logging_1784/klagomål/A 55931-2019 FSC-klagomål.docx", "A 55931-2019")</f>
        <v/>
      </c>
      <c r="W237">
        <f>HYPERLINK("https://klasma.github.io/Logging_1784/klagomålsmail/A 55931-2019 FSC-klagomål mail.docx", "A 55931-2019")</f>
        <v/>
      </c>
      <c r="X237">
        <f>HYPERLINK("https://klasma.github.io/Logging_1784/tillsyn/A 55931-2019 tillsynsbegäran.docx", "A 55931-2019")</f>
        <v/>
      </c>
      <c r="Y237">
        <f>HYPERLINK("https://klasma.github.io/Logging_1784/tillsynsmail/A 55931-2019 tillsynsbegäran mail.docx", "A 55931-2019")</f>
        <v/>
      </c>
    </row>
    <row r="238" ht="15" customHeight="1">
      <c r="A238" t="inlineStr">
        <is>
          <t>A 56545-2019</t>
        </is>
      </c>
      <c r="B238" s="1" t="n">
        <v>43763</v>
      </c>
      <c r="C238" s="1" t="n">
        <v>45222</v>
      </c>
      <c r="D238" t="inlineStr">
        <is>
          <t>VÄRMLANDS LÄN</t>
        </is>
      </c>
      <c r="E238" t="inlineStr">
        <is>
          <t>ÅRJÄNG</t>
        </is>
      </c>
      <c r="G238" t="n">
        <v>3.4</v>
      </c>
      <c r="H238" t="n">
        <v>0</v>
      </c>
      <c r="I238" t="n">
        <v>0</v>
      </c>
      <c r="J238" t="n">
        <v>1</v>
      </c>
      <c r="K238" t="n">
        <v>0</v>
      </c>
      <c r="L238" t="n">
        <v>0</v>
      </c>
      <c r="M238" t="n">
        <v>0</v>
      </c>
      <c r="N238" t="n">
        <v>0</v>
      </c>
      <c r="O238" t="n">
        <v>1</v>
      </c>
      <c r="P238" t="n">
        <v>0</v>
      </c>
      <c r="Q238" t="n">
        <v>1</v>
      </c>
      <c r="R238" s="2" t="inlineStr">
        <is>
          <t>Garnlav</t>
        </is>
      </c>
      <c r="S238">
        <f>HYPERLINK("https://klasma.github.io/Logging_1765/artfynd/A 56545-2019 artfynd.xlsx", "A 56545-2019")</f>
        <v/>
      </c>
      <c r="T238">
        <f>HYPERLINK("https://klasma.github.io/Logging_1765/kartor/A 56545-2019 karta.png", "A 56545-2019")</f>
        <v/>
      </c>
      <c r="V238">
        <f>HYPERLINK("https://klasma.github.io/Logging_1765/klagomål/A 56545-2019 FSC-klagomål.docx", "A 56545-2019")</f>
        <v/>
      </c>
      <c r="W238">
        <f>HYPERLINK("https://klasma.github.io/Logging_1765/klagomålsmail/A 56545-2019 FSC-klagomål mail.docx", "A 56545-2019")</f>
        <v/>
      </c>
      <c r="X238">
        <f>HYPERLINK("https://klasma.github.io/Logging_1765/tillsyn/A 56545-2019 tillsynsbegäran.docx", "A 56545-2019")</f>
        <v/>
      </c>
      <c r="Y238">
        <f>HYPERLINK("https://klasma.github.io/Logging_1765/tillsynsmail/A 56545-2019 tillsynsbegäran mail.docx", "A 56545-2019")</f>
        <v/>
      </c>
    </row>
    <row r="239" ht="15" customHeight="1">
      <c r="A239" t="inlineStr">
        <is>
          <t>A 57014-2019</t>
        </is>
      </c>
      <c r="B239" s="1" t="n">
        <v>43766</v>
      </c>
      <c r="C239" s="1" t="n">
        <v>45222</v>
      </c>
      <c r="D239" t="inlineStr">
        <is>
          <t>VÄRMLANDS LÄN</t>
        </is>
      </c>
      <c r="E239" t="inlineStr">
        <is>
          <t>EDA</t>
        </is>
      </c>
      <c r="G239" t="n">
        <v>1.1</v>
      </c>
      <c r="H239" t="n">
        <v>0</v>
      </c>
      <c r="I239" t="n">
        <v>0</v>
      </c>
      <c r="J239" t="n">
        <v>1</v>
      </c>
      <c r="K239" t="n">
        <v>0</v>
      </c>
      <c r="L239" t="n">
        <v>0</v>
      </c>
      <c r="M239" t="n">
        <v>0</v>
      </c>
      <c r="N239" t="n">
        <v>0</v>
      </c>
      <c r="O239" t="n">
        <v>1</v>
      </c>
      <c r="P239" t="n">
        <v>0</v>
      </c>
      <c r="Q239" t="n">
        <v>1</v>
      </c>
      <c r="R239" s="2" t="inlineStr">
        <is>
          <t>Garnlav</t>
        </is>
      </c>
      <c r="S239">
        <f>HYPERLINK("https://klasma.github.io/Logging_1730/artfynd/A 57014-2019 artfynd.xlsx", "A 57014-2019")</f>
        <v/>
      </c>
      <c r="T239">
        <f>HYPERLINK("https://klasma.github.io/Logging_1730/kartor/A 57014-2019 karta.png", "A 57014-2019")</f>
        <v/>
      </c>
      <c r="V239">
        <f>HYPERLINK("https://klasma.github.io/Logging_1730/klagomål/A 57014-2019 FSC-klagomål.docx", "A 57014-2019")</f>
        <v/>
      </c>
      <c r="W239">
        <f>HYPERLINK("https://klasma.github.io/Logging_1730/klagomålsmail/A 57014-2019 FSC-klagomål mail.docx", "A 57014-2019")</f>
        <v/>
      </c>
      <c r="X239">
        <f>HYPERLINK("https://klasma.github.io/Logging_1730/tillsyn/A 57014-2019 tillsynsbegäran.docx", "A 57014-2019")</f>
        <v/>
      </c>
      <c r="Y239">
        <f>HYPERLINK("https://klasma.github.io/Logging_1730/tillsynsmail/A 57014-2019 tillsynsbegäran mail.docx", "A 57014-2019")</f>
        <v/>
      </c>
    </row>
    <row r="240" ht="15" customHeight="1">
      <c r="A240" t="inlineStr">
        <is>
          <t>A 63767-2019</t>
        </is>
      </c>
      <c r="B240" s="1" t="n">
        <v>43795</v>
      </c>
      <c r="C240" s="1" t="n">
        <v>45222</v>
      </c>
      <c r="D240" t="inlineStr">
        <is>
          <t>VÄRMLANDS LÄN</t>
        </is>
      </c>
      <c r="E240" t="inlineStr">
        <is>
          <t>TORSBY</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HYPERLINK("https://klasma.github.io/Logging_1737/artfynd/A 63767-2019 artfynd.xlsx", "A 63767-2019")</f>
        <v/>
      </c>
      <c r="T240">
        <f>HYPERLINK("https://klasma.github.io/Logging_1737/kartor/A 63767-2019 karta.png", "A 63767-2019")</f>
        <v/>
      </c>
      <c r="V240">
        <f>HYPERLINK("https://klasma.github.io/Logging_1737/klagomål/A 63767-2019 FSC-klagomål.docx", "A 63767-2019")</f>
        <v/>
      </c>
      <c r="W240">
        <f>HYPERLINK("https://klasma.github.io/Logging_1737/klagomålsmail/A 63767-2019 FSC-klagomål mail.docx", "A 63767-2019")</f>
        <v/>
      </c>
      <c r="X240">
        <f>HYPERLINK("https://klasma.github.io/Logging_1737/tillsyn/A 63767-2019 tillsynsbegäran.docx", "A 63767-2019")</f>
        <v/>
      </c>
      <c r="Y240">
        <f>HYPERLINK("https://klasma.github.io/Logging_1737/tillsynsmail/A 63767-2019 tillsynsbegäran mail.docx", "A 63767-2019")</f>
        <v/>
      </c>
    </row>
    <row r="241" ht="15" customHeight="1">
      <c r="A241" t="inlineStr">
        <is>
          <t>A 65129-2019</t>
        </is>
      </c>
      <c r="B241" s="1" t="n">
        <v>43802</v>
      </c>
      <c r="C241" s="1" t="n">
        <v>45222</v>
      </c>
      <c r="D241" t="inlineStr">
        <is>
          <t>VÄRMLANDS LÄN</t>
        </is>
      </c>
      <c r="E241" t="inlineStr">
        <is>
          <t>TORSBY</t>
        </is>
      </c>
      <c r="G241" t="n">
        <v>3.3</v>
      </c>
      <c r="H241" t="n">
        <v>0</v>
      </c>
      <c r="I241" t="n">
        <v>0</v>
      </c>
      <c r="J241" t="n">
        <v>1</v>
      </c>
      <c r="K241" t="n">
        <v>0</v>
      </c>
      <c r="L241" t="n">
        <v>0</v>
      </c>
      <c r="M241" t="n">
        <v>0</v>
      </c>
      <c r="N241" t="n">
        <v>0</v>
      </c>
      <c r="O241" t="n">
        <v>1</v>
      </c>
      <c r="P241" t="n">
        <v>0</v>
      </c>
      <c r="Q241" t="n">
        <v>1</v>
      </c>
      <c r="R241" s="2" t="inlineStr">
        <is>
          <t>Garnlav</t>
        </is>
      </c>
      <c r="S241">
        <f>HYPERLINK("https://klasma.github.io/Logging_1737/artfynd/A 65129-2019 artfynd.xlsx", "A 65129-2019")</f>
        <v/>
      </c>
      <c r="T241">
        <f>HYPERLINK("https://klasma.github.io/Logging_1737/kartor/A 65129-2019 karta.png", "A 65129-2019")</f>
        <v/>
      </c>
      <c r="V241">
        <f>HYPERLINK("https://klasma.github.io/Logging_1737/klagomål/A 65129-2019 FSC-klagomål.docx", "A 65129-2019")</f>
        <v/>
      </c>
      <c r="W241">
        <f>HYPERLINK("https://klasma.github.io/Logging_1737/klagomålsmail/A 65129-2019 FSC-klagomål mail.docx", "A 65129-2019")</f>
        <v/>
      </c>
      <c r="X241">
        <f>HYPERLINK("https://klasma.github.io/Logging_1737/tillsyn/A 65129-2019 tillsynsbegäran.docx", "A 65129-2019")</f>
        <v/>
      </c>
      <c r="Y241">
        <f>HYPERLINK("https://klasma.github.io/Logging_1737/tillsynsmail/A 65129-2019 tillsynsbegäran mail.docx", "A 65129-2019")</f>
        <v/>
      </c>
    </row>
    <row r="242" ht="15" customHeight="1">
      <c r="A242" t="inlineStr">
        <is>
          <t>A 65258-2019</t>
        </is>
      </c>
      <c r="B242" s="1" t="n">
        <v>43802</v>
      </c>
      <c r="C242" s="1" t="n">
        <v>45222</v>
      </c>
      <c r="D242" t="inlineStr">
        <is>
          <t>VÄRMLANDS LÄN</t>
        </is>
      </c>
      <c r="E242" t="inlineStr">
        <is>
          <t>FILIPSTAD</t>
        </is>
      </c>
      <c r="F242" t="inlineStr">
        <is>
          <t>Bergvik skog väst AB</t>
        </is>
      </c>
      <c r="G242" t="n">
        <v>35.3</v>
      </c>
      <c r="H242" t="n">
        <v>1</v>
      </c>
      <c r="I242" t="n">
        <v>0</v>
      </c>
      <c r="J242" t="n">
        <v>1</v>
      </c>
      <c r="K242" t="n">
        <v>0</v>
      </c>
      <c r="L242" t="n">
        <v>0</v>
      </c>
      <c r="M242" t="n">
        <v>0</v>
      </c>
      <c r="N242" t="n">
        <v>0</v>
      </c>
      <c r="O242" t="n">
        <v>1</v>
      </c>
      <c r="P242" t="n">
        <v>0</v>
      </c>
      <c r="Q242" t="n">
        <v>1</v>
      </c>
      <c r="R242" s="2" t="inlineStr">
        <is>
          <t>Strandlummer</t>
        </is>
      </c>
      <c r="S242">
        <f>HYPERLINK("https://klasma.github.io/Logging_1782/artfynd/A 65258-2019 artfynd.xlsx", "A 65258-2019")</f>
        <v/>
      </c>
      <c r="T242">
        <f>HYPERLINK("https://klasma.github.io/Logging_1782/kartor/A 65258-2019 karta.png", "A 65258-2019")</f>
        <v/>
      </c>
      <c r="V242">
        <f>HYPERLINK("https://klasma.github.io/Logging_1782/klagomål/A 65258-2019 FSC-klagomål.docx", "A 65258-2019")</f>
        <v/>
      </c>
      <c r="W242">
        <f>HYPERLINK("https://klasma.github.io/Logging_1782/klagomålsmail/A 65258-2019 FSC-klagomål mail.docx", "A 65258-2019")</f>
        <v/>
      </c>
      <c r="X242">
        <f>HYPERLINK("https://klasma.github.io/Logging_1782/tillsyn/A 65258-2019 tillsynsbegäran.docx", "A 65258-2019")</f>
        <v/>
      </c>
      <c r="Y242">
        <f>HYPERLINK("https://klasma.github.io/Logging_1782/tillsynsmail/A 65258-2019 tillsynsbegäran mail.docx", "A 65258-2019")</f>
        <v/>
      </c>
    </row>
    <row r="243" ht="15" customHeight="1">
      <c r="A243" t="inlineStr">
        <is>
          <t>A 66238-2019</t>
        </is>
      </c>
      <c r="B243" s="1" t="n">
        <v>43808</v>
      </c>
      <c r="C243" s="1" t="n">
        <v>45222</v>
      </c>
      <c r="D243" t="inlineStr">
        <is>
          <t>VÄRMLANDS LÄN</t>
        </is>
      </c>
      <c r="E243" t="inlineStr">
        <is>
          <t>SUNNE</t>
        </is>
      </c>
      <c r="G243" t="n">
        <v>7.3</v>
      </c>
      <c r="H243" t="n">
        <v>1</v>
      </c>
      <c r="I243" t="n">
        <v>0</v>
      </c>
      <c r="J243" t="n">
        <v>0</v>
      </c>
      <c r="K243" t="n">
        <v>1</v>
      </c>
      <c r="L243" t="n">
        <v>0</v>
      </c>
      <c r="M243" t="n">
        <v>0</v>
      </c>
      <c r="N243" t="n">
        <v>0</v>
      </c>
      <c r="O243" t="n">
        <v>1</v>
      </c>
      <c r="P243" t="n">
        <v>1</v>
      </c>
      <c r="Q243" t="n">
        <v>1</v>
      </c>
      <c r="R243" s="2" t="inlineStr">
        <is>
          <t>Knärot</t>
        </is>
      </c>
      <c r="S243">
        <f>HYPERLINK("https://klasma.github.io/Logging_1766/artfynd/A 66238-2019 artfynd.xlsx", "A 66238-2019")</f>
        <v/>
      </c>
      <c r="T243">
        <f>HYPERLINK("https://klasma.github.io/Logging_1766/kartor/A 66238-2019 karta.png", "A 66238-2019")</f>
        <v/>
      </c>
      <c r="U243">
        <f>HYPERLINK("https://klasma.github.io/Logging_1766/knärot/A 66238-2019 karta knärot.png", "A 66238-2019")</f>
        <v/>
      </c>
      <c r="V243">
        <f>HYPERLINK("https://klasma.github.io/Logging_1766/klagomål/A 66238-2019 FSC-klagomål.docx", "A 66238-2019")</f>
        <v/>
      </c>
      <c r="W243">
        <f>HYPERLINK("https://klasma.github.io/Logging_1766/klagomålsmail/A 66238-2019 FSC-klagomål mail.docx", "A 66238-2019")</f>
        <v/>
      </c>
      <c r="X243">
        <f>HYPERLINK("https://klasma.github.io/Logging_1766/tillsyn/A 66238-2019 tillsynsbegäran.docx", "A 66238-2019")</f>
        <v/>
      </c>
      <c r="Y243">
        <f>HYPERLINK("https://klasma.github.io/Logging_1766/tillsynsmail/A 66238-2019 tillsynsbegäran mail.docx", "A 66238-2019")</f>
        <v/>
      </c>
    </row>
    <row r="244" ht="15" customHeight="1">
      <c r="A244" t="inlineStr">
        <is>
          <t>A 1731-2020</t>
        </is>
      </c>
      <c r="B244" s="1" t="n">
        <v>43832</v>
      </c>
      <c r="C244" s="1" t="n">
        <v>45222</v>
      </c>
      <c r="D244" t="inlineStr">
        <is>
          <t>VÄRMLANDS LÄN</t>
        </is>
      </c>
      <c r="E244" t="inlineStr">
        <is>
          <t>ARVIKA</t>
        </is>
      </c>
      <c r="G244" t="n">
        <v>3.3</v>
      </c>
      <c r="H244" t="n">
        <v>0</v>
      </c>
      <c r="I244" t="n">
        <v>0</v>
      </c>
      <c r="J244" t="n">
        <v>1</v>
      </c>
      <c r="K244" t="n">
        <v>0</v>
      </c>
      <c r="L244" t="n">
        <v>0</v>
      </c>
      <c r="M244" t="n">
        <v>0</v>
      </c>
      <c r="N244" t="n">
        <v>0</v>
      </c>
      <c r="O244" t="n">
        <v>1</v>
      </c>
      <c r="P244" t="n">
        <v>0</v>
      </c>
      <c r="Q244" t="n">
        <v>1</v>
      </c>
      <c r="R244" s="2" t="inlineStr">
        <is>
          <t>Lunglav</t>
        </is>
      </c>
      <c r="S244">
        <f>HYPERLINK("https://klasma.github.io/Logging_1784/artfynd/A 1731-2020 artfynd.xlsx", "A 1731-2020")</f>
        <v/>
      </c>
      <c r="T244">
        <f>HYPERLINK("https://klasma.github.io/Logging_1784/kartor/A 1731-2020 karta.png", "A 1731-2020")</f>
        <v/>
      </c>
      <c r="V244">
        <f>HYPERLINK("https://klasma.github.io/Logging_1784/klagomål/A 1731-2020 FSC-klagomål.docx", "A 1731-2020")</f>
        <v/>
      </c>
      <c r="W244">
        <f>HYPERLINK("https://klasma.github.io/Logging_1784/klagomålsmail/A 1731-2020 FSC-klagomål mail.docx", "A 1731-2020")</f>
        <v/>
      </c>
      <c r="X244">
        <f>HYPERLINK("https://klasma.github.io/Logging_1784/tillsyn/A 1731-2020 tillsynsbegäran.docx", "A 1731-2020")</f>
        <v/>
      </c>
      <c r="Y244">
        <f>HYPERLINK("https://klasma.github.io/Logging_1784/tillsynsmail/A 1731-2020 tillsynsbegäran mail.docx", "A 1731-2020")</f>
        <v/>
      </c>
    </row>
    <row r="245" ht="15" customHeight="1">
      <c r="A245" t="inlineStr">
        <is>
          <t>A 238-2020</t>
        </is>
      </c>
      <c r="B245" s="1" t="n">
        <v>43835</v>
      </c>
      <c r="C245" s="1" t="n">
        <v>45222</v>
      </c>
      <c r="D245" t="inlineStr">
        <is>
          <t>VÄRMLANDS LÄN</t>
        </is>
      </c>
      <c r="E245" t="inlineStr">
        <is>
          <t>ARVIKA</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HYPERLINK("https://klasma.github.io/Logging_1784/artfynd/A 238-2020 artfynd.xlsx", "A 238-2020")</f>
        <v/>
      </c>
      <c r="T245">
        <f>HYPERLINK("https://klasma.github.io/Logging_1784/kartor/A 238-2020 karta.png", "A 238-2020")</f>
        <v/>
      </c>
      <c r="U245">
        <f>HYPERLINK("https://klasma.github.io/Logging_1784/knärot/A 238-2020 karta knärot.png", "A 238-2020")</f>
        <v/>
      </c>
      <c r="V245">
        <f>HYPERLINK("https://klasma.github.io/Logging_1784/klagomål/A 238-2020 FSC-klagomål.docx", "A 238-2020")</f>
        <v/>
      </c>
      <c r="W245">
        <f>HYPERLINK("https://klasma.github.io/Logging_1784/klagomålsmail/A 238-2020 FSC-klagomål mail.docx", "A 238-2020")</f>
        <v/>
      </c>
      <c r="X245">
        <f>HYPERLINK("https://klasma.github.io/Logging_1784/tillsyn/A 238-2020 tillsynsbegäran.docx", "A 238-2020")</f>
        <v/>
      </c>
      <c r="Y245">
        <f>HYPERLINK("https://klasma.github.io/Logging_1784/tillsynsmail/A 238-2020 tillsynsbegäran mail.docx", "A 238-2020")</f>
        <v/>
      </c>
    </row>
    <row r="246" ht="15" customHeight="1">
      <c r="A246" t="inlineStr">
        <is>
          <t>A 2116-2020</t>
        </is>
      </c>
      <c r="B246" s="1" t="n">
        <v>43839</v>
      </c>
      <c r="C246" s="1" t="n">
        <v>45222</v>
      </c>
      <c r="D246" t="inlineStr">
        <is>
          <t>VÄRMLANDS LÄN</t>
        </is>
      </c>
      <c r="E246" t="inlineStr">
        <is>
          <t>ÅRJÄNG</t>
        </is>
      </c>
      <c r="G246" t="n">
        <v>3</v>
      </c>
      <c r="H246" t="n">
        <v>0</v>
      </c>
      <c r="I246" t="n">
        <v>0</v>
      </c>
      <c r="J246" t="n">
        <v>0</v>
      </c>
      <c r="K246" t="n">
        <v>0</v>
      </c>
      <c r="L246" t="n">
        <v>1</v>
      </c>
      <c r="M246" t="n">
        <v>0</v>
      </c>
      <c r="N246" t="n">
        <v>0</v>
      </c>
      <c r="O246" t="n">
        <v>1</v>
      </c>
      <c r="P246" t="n">
        <v>1</v>
      </c>
      <c r="Q246" t="n">
        <v>1</v>
      </c>
      <c r="R246" s="2" t="inlineStr">
        <is>
          <t>Ask</t>
        </is>
      </c>
      <c r="S246">
        <f>HYPERLINK("https://klasma.github.io/Logging_1765/artfynd/A 2116-2020 artfynd.xlsx", "A 2116-2020")</f>
        <v/>
      </c>
      <c r="T246">
        <f>HYPERLINK("https://klasma.github.io/Logging_1765/kartor/A 2116-2020 karta.png", "A 2116-2020")</f>
        <v/>
      </c>
      <c r="V246">
        <f>HYPERLINK("https://klasma.github.io/Logging_1765/klagomål/A 2116-2020 FSC-klagomål.docx", "A 2116-2020")</f>
        <v/>
      </c>
      <c r="W246">
        <f>HYPERLINK("https://klasma.github.io/Logging_1765/klagomålsmail/A 2116-2020 FSC-klagomål mail.docx", "A 2116-2020")</f>
        <v/>
      </c>
      <c r="X246">
        <f>HYPERLINK("https://klasma.github.io/Logging_1765/tillsyn/A 2116-2020 tillsynsbegäran.docx", "A 2116-2020")</f>
        <v/>
      </c>
      <c r="Y246">
        <f>HYPERLINK("https://klasma.github.io/Logging_1765/tillsynsmail/A 2116-2020 tillsynsbegäran mail.docx", "A 2116-2020")</f>
        <v/>
      </c>
    </row>
    <row r="247" ht="15" customHeight="1">
      <c r="A247" t="inlineStr">
        <is>
          <t>A 6299-2020</t>
        </is>
      </c>
      <c r="B247" s="1" t="n">
        <v>43866</v>
      </c>
      <c r="C247" s="1" t="n">
        <v>45222</v>
      </c>
      <c r="D247" t="inlineStr">
        <is>
          <t>VÄRMLANDS LÄN</t>
        </is>
      </c>
      <c r="E247" t="inlineStr">
        <is>
          <t>KARLSTAD</t>
        </is>
      </c>
      <c r="F247" t="inlineStr">
        <is>
          <t>Kommuner</t>
        </is>
      </c>
      <c r="G247" t="n">
        <v>0.6</v>
      </c>
      <c r="H247" t="n">
        <v>1</v>
      </c>
      <c r="I247" t="n">
        <v>0</v>
      </c>
      <c r="J247" t="n">
        <v>0</v>
      </c>
      <c r="K247" t="n">
        <v>0</v>
      </c>
      <c r="L247" t="n">
        <v>0</v>
      </c>
      <c r="M247" t="n">
        <v>0</v>
      </c>
      <c r="N247" t="n">
        <v>0</v>
      </c>
      <c r="O247" t="n">
        <v>0</v>
      </c>
      <c r="P247" t="n">
        <v>0</v>
      </c>
      <c r="Q247" t="n">
        <v>1</v>
      </c>
      <c r="R247" s="2" t="inlineStr">
        <is>
          <t>Vanlig groda</t>
        </is>
      </c>
      <c r="S247">
        <f>HYPERLINK("https://klasma.github.io/Logging_1780/artfynd/A 6299-2020 artfynd.xlsx", "A 6299-2020")</f>
        <v/>
      </c>
      <c r="T247">
        <f>HYPERLINK("https://klasma.github.io/Logging_1780/kartor/A 6299-2020 karta.png", "A 6299-2020")</f>
        <v/>
      </c>
      <c r="V247">
        <f>HYPERLINK("https://klasma.github.io/Logging_1780/klagomål/A 6299-2020 FSC-klagomål.docx", "A 6299-2020")</f>
        <v/>
      </c>
      <c r="W247">
        <f>HYPERLINK("https://klasma.github.io/Logging_1780/klagomålsmail/A 6299-2020 FSC-klagomål mail.docx", "A 6299-2020")</f>
        <v/>
      </c>
      <c r="X247">
        <f>HYPERLINK("https://klasma.github.io/Logging_1780/tillsyn/A 6299-2020 tillsynsbegäran.docx", "A 6299-2020")</f>
        <v/>
      </c>
      <c r="Y247">
        <f>HYPERLINK("https://klasma.github.io/Logging_1780/tillsynsmail/A 6299-2020 tillsynsbegäran mail.docx", "A 6299-2020")</f>
        <v/>
      </c>
    </row>
    <row r="248" ht="15" customHeight="1">
      <c r="A248" t="inlineStr">
        <is>
          <t>A 9585-2020</t>
        </is>
      </c>
      <c r="B248" s="1" t="n">
        <v>43878</v>
      </c>
      <c r="C248" s="1" t="n">
        <v>45222</v>
      </c>
      <c r="D248" t="inlineStr">
        <is>
          <t>VÄRMLANDS LÄN</t>
        </is>
      </c>
      <c r="E248" t="inlineStr">
        <is>
          <t>SUNNE</t>
        </is>
      </c>
      <c r="G248" t="n">
        <v>22.3</v>
      </c>
      <c r="H248" t="n">
        <v>0</v>
      </c>
      <c r="I248" t="n">
        <v>1</v>
      </c>
      <c r="J248" t="n">
        <v>0</v>
      </c>
      <c r="K248" t="n">
        <v>0</v>
      </c>
      <c r="L248" t="n">
        <v>0</v>
      </c>
      <c r="M248" t="n">
        <v>0</v>
      </c>
      <c r="N248" t="n">
        <v>0</v>
      </c>
      <c r="O248" t="n">
        <v>0</v>
      </c>
      <c r="P248" t="n">
        <v>0</v>
      </c>
      <c r="Q248" t="n">
        <v>1</v>
      </c>
      <c r="R248" s="2" t="inlineStr">
        <is>
          <t>Blåmossa</t>
        </is>
      </c>
      <c r="S248">
        <f>HYPERLINK("https://klasma.github.io/Logging_1766/artfynd/A 9585-2020 artfynd.xlsx", "A 9585-2020")</f>
        <v/>
      </c>
      <c r="T248">
        <f>HYPERLINK("https://klasma.github.io/Logging_1766/kartor/A 9585-2020 karta.png", "A 9585-2020")</f>
        <v/>
      </c>
      <c r="V248">
        <f>HYPERLINK("https://klasma.github.io/Logging_1766/klagomål/A 9585-2020 FSC-klagomål.docx", "A 9585-2020")</f>
        <v/>
      </c>
      <c r="W248">
        <f>HYPERLINK("https://klasma.github.io/Logging_1766/klagomålsmail/A 9585-2020 FSC-klagomål mail.docx", "A 9585-2020")</f>
        <v/>
      </c>
      <c r="X248">
        <f>HYPERLINK("https://klasma.github.io/Logging_1766/tillsyn/A 9585-2020 tillsynsbegäran.docx", "A 9585-2020")</f>
        <v/>
      </c>
      <c r="Y248">
        <f>HYPERLINK("https://klasma.github.io/Logging_1766/tillsynsmail/A 9585-2020 tillsynsbegäran mail.docx", "A 9585-2020")</f>
        <v/>
      </c>
    </row>
    <row r="249" ht="15" customHeight="1">
      <c r="A249" t="inlineStr">
        <is>
          <t>A 9988-2020</t>
        </is>
      </c>
      <c r="B249" s="1" t="n">
        <v>43882</v>
      </c>
      <c r="C249" s="1" t="n">
        <v>45222</v>
      </c>
      <c r="D249" t="inlineStr">
        <is>
          <t>VÄRMLANDS LÄN</t>
        </is>
      </c>
      <c r="E249" t="inlineStr">
        <is>
          <t>SUNNE</t>
        </is>
      </c>
      <c r="G249" t="n">
        <v>4.9</v>
      </c>
      <c r="H249" t="n">
        <v>1</v>
      </c>
      <c r="I249" t="n">
        <v>0</v>
      </c>
      <c r="J249" t="n">
        <v>0</v>
      </c>
      <c r="K249" t="n">
        <v>0</v>
      </c>
      <c r="L249" t="n">
        <v>1</v>
      </c>
      <c r="M249" t="n">
        <v>0</v>
      </c>
      <c r="N249" t="n">
        <v>0</v>
      </c>
      <c r="O249" t="n">
        <v>1</v>
      </c>
      <c r="P249" t="n">
        <v>1</v>
      </c>
      <c r="Q249" t="n">
        <v>1</v>
      </c>
      <c r="R249" s="2" t="inlineStr">
        <is>
          <t>Storspov</t>
        </is>
      </c>
      <c r="S249">
        <f>HYPERLINK("https://klasma.github.io/Logging_1766/artfynd/A 9988-2020 artfynd.xlsx", "A 9988-2020")</f>
        <v/>
      </c>
      <c r="T249">
        <f>HYPERLINK("https://klasma.github.io/Logging_1766/kartor/A 9988-2020 karta.png", "A 9988-2020")</f>
        <v/>
      </c>
      <c r="V249">
        <f>HYPERLINK("https://klasma.github.io/Logging_1766/klagomål/A 9988-2020 FSC-klagomål.docx", "A 9988-2020")</f>
        <v/>
      </c>
      <c r="W249">
        <f>HYPERLINK("https://klasma.github.io/Logging_1766/klagomålsmail/A 9988-2020 FSC-klagomål mail.docx", "A 9988-2020")</f>
        <v/>
      </c>
      <c r="X249">
        <f>HYPERLINK("https://klasma.github.io/Logging_1766/tillsyn/A 9988-2020 tillsynsbegäran.docx", "A 9988-2020")</f>
        <v/>
      </c>
      <c r="Y249">
        <f>HYPERLINK("https://klasma.github.io/Logging_1766/tillsynsmail/A 9988-2020 tillsynsbegäran mail.docx", "A 9988-2020")</f>
        <v/>
      </c>
    </row>
    <row r="250" ht="15" customHeight="1">
      <c r="A250" t="inlineStr">
        <is>
          <t>A 10040-2020</t>
        </is>
      </c>
      <c r="B250" s="1" t="n">
        <v>43882</v>
      </c>
      <c r="C250" s="1" t="n">
        <v>45222</v>
      </c>
      <c r="D250" t="inlineStr">
        <is>
          <t>VÄRMLANDS LÄN</t>
        </is>
      </c>
      <c r="E250" t="inlineStr">
        <is>
          <t>SÄFFLE</t>
        </is>
      </c>
      <c r="G250" t="n">
        <v>1.7</v>
      </c>
      <c r="H250" t="n">
        <v>1</v>
      </c>
      <c r="I250" t="n">
        <v>0</v>
      </c>
      <c r="J250" t="n">
        <v>0</v>
      </c>
      <c r="K250" t="n">
        <v>0</v>
      </c>
      <c r="L250" t="n">
        <v>0</v>
      </c>
      <c r="M250" t="n">
        <v>0</v>
      </c>
      <c r="N250" t="n">
        <v>0</v>
      </c>
      <c r="O250" t="n">
        <v>0</v>
      </c>
      <c r="P250" t="n">
        <v>0</v>
      </c>
      <c r="Q250" t="n">
        <v>1</v>
      </c>
      <c r="R250" s="2" t="inlineStr">
        <is>
          <t>Vanlig groda</t>
        </is>
      </c>
      <c r="S250">
        <f>HYPERLINK("https://klasma.github.io/Logging_1785/artfynd/A 10040-2020 artfynd.xlsx", "A 10040-2020")</f>
        <v/>
      </c>
      <c r="T250">
        <f>HYPERLINK("https://klasma.github.io/Logging_1785/kartor/A 10040-2020 karta.png", "A 10040-2020")</f>
        <v/>
      </c>
      <c r="V250">
        <f>HYPERLINK("https://klasma.github.io/Logging_1785/klagomål/A 10040-2020 FSC-klagomål.docx", "A 10040-2020")</f>
        <v/>
      </c>
      <c r="W250">
        <f>HYPERLINK("https://klasma.github.io/Logging_1785/klagomålsmail/A 10040-2020 FSC-klagomål mail.docx", "A 10040-2020")</f>
        <v/>
      </c>
      <c r="X250">
        <f>HYPERLINK("https://klasma.github.io/Logging_1785/tillsyn/A 10040-2020 tillsynsbegäran.docx", "A 10040-2020")</f>
        <v/>
      </c>
      <c r="Y250">
        <f>HYPERLINK("https://klasma.github.io/Logging_1785/tillsynsmail/A 10040-2020 tillsynsbegäran mail.docx", "A 10040-2020")</f>
        <v/>
      </c>
    </row>
    <row r="251" ht="15" customHeight="1">
      <c r="A251" t="inlineStr">
        <is>
          <t>A 10858-2020</t>
        </is>
      </c>
      <c r="B251" s="1" t="n">
        <v>43889</v>
      </c>
      <c r="C251" s="1" t="n">
        <v>45222</v>
      </c>
      <c r="D251" t="inlineStr">
        <is>
          <t>VÄRMLANDS LÄN</t>
        </is>
      </c>
      <c r="E251" t="inlineStr">
        <is>
          <t>ARVIKA</t>
        </is>
      </c>
      <c r="G251" t="n">
        <v>2.8</v>
      </c>
      <c r="H251" t="n">
        <v>0</v>
      </c>
      <c r="I251" t="n">
        <v>0</v>
      </c>
      <c r="J251" t="n">
        <v>1</v>
      </c>
      <c r="K251" t="n">
        <v>0</v>
      </c>
      <c r="L251" t="n">
        <v>0</v>
      </c>
      <c r="M251" t="n">
        <v>0</v>
      </c>
      <c r="N251" t="n">
        <v>0</v>
      </c>
      <c r="O251" t="n">
        <v>1</v>
      </c>
      <c r="P251" t="n">
        <v>0</v>
      </c>
      <c r="Q251" t="n">
        <v>1</v>
      </c>
      <c r="R251" s="2" t="inlineStr">
        <is>
          <t>Lunglav</t>
        </is>
      </c>
      <c r="S251">
        <f>HYPERLINK("https://klasma.github.io/Logging_1784/artfynd/A 10858-2020 artfynd.xlsx", "A 10858-2020")</f>
        <v/>
      </c>
      <c r="T251">
        <f>HYPERLINK("https://klasma.github.io/Logging_1784/kartor/A 10858-2020 karta.png", "A 10858-2020")</f>
        <v/>
      </c>
      <c r="V251">
        <f>HYPERLINK("https://klasma.github.io/Logging_1784/klagomål/A 10858-2020 FSC-klagomål.docx", "A 10858-2020")</f>
        <v/>
      </c>
      <c r="W251">
        <f>HYPERLINK("https://klasma.github.io/Logging_1784/klagomålsmail/A 10858-2020 FSC-klagomål mail.docx", "A 10858-2020")</f>
        <v/>
      </c>
      <c r="X251">
        <f>HYPERLINK("https://klasma.github.io/Logging_1784/tillsyn/A 10858-2020 tillsynsbegäran.docx", "A 10858-2020")</f>
        <v/>
      </c>
      <c r="Y251">
        <f>HYPERLINK("https://klasma.github.io/Logging_1784/tillsynsmail/A 10858-2020 tillsynsbegäran mail.docx", "A 10858-2020")</f>
        <v/>
      </c>
    </row>
    <row r="252" ht="15" customHeight="1">
      <c r="A252" t="inlineStr">
        <is>
          <t>A 13461-2020</t>
        </is>
      </c>
      <c r="B252" s="1" t="n">
        <v>43902</v>
      </c>
      <c r="C252" s="1" t="n">
        <v>45222</v>
      </c>
      <c r="D252" t="inlineStr">
        <is>
          <t>VÄRMLANDS LÄN</t>
        </is>
      </c>
      <c r="E252" t="inlineStr">
        <is>
          <t>ARVIKA</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HYPERLINK("https://klasma.github.io/Logging_1784/artfynd/A 13461-2020 artfynd.xlsx", "A 13461-2020")</f>
        <v/>
      </c>
      <c r="T252">
        <f>HYPERLINK("https://klasma.github.io/Logging_1784/kartor/A 13461-2020 karta.png", "A 13461-2020")</f>
        <v/>
      </c>
      <c r="U252">
        <f>HYPERLINK("https://klasma.github.io/Logging_1784/knärot/A 13461-2020 karta knärot.png", "A 13461-2020")</f>
        <v/>
      </c>
      <c r="V252">
        <f>HYPERLINK("https://klasma.github.io/Logging_1784/klagomål/A 13461-2020 FSC-klagomål.docx", "A 13461-2020")</f>
        <v/>
      </c>
      <c r="W252">
        <f>HYPERLINK("https://klasma.github.io/Logging_1784/klagomålsmail/A 13461-2020 FSC-klagomål mail.docx", "A 13461-2020")</f>
        <v/>
      </c>
      <c r="X252">
        <f>HYPERLINK("https://klasma.github.io/Logging_1784/tillsyn/A 13461-2020 tillsynsbegäran.docx", "A 13461-2020")</f>
        <v/>
      </c>
      <c r="Y252">
        <f>HYPERLINK("https://klasma.github.io/Logging_1784/tillsynsmail/A 13461-2020 tillsynsbegäran mail.docx", "A 13461-2020")</f>
        <v/>
      </c>
    </row>
    <row r="253" ht="15" customHeight="1">
      <c r="A253" t="inlineStr">
        <is>
          <t>A 16031-2020</t>
        </is>
      </c>
      <c r="B253" s="1" t="n">
        <v>43915</v>
      </c>
      <c r="C253" s="1" t="n">
        <v>45222</v>
      </c>
      <c r="D253" t="inlineStr">
        <is>
          <t>VÄRMLANDS LÄN</t>
        </is>
      </c>
      <c r="E253" t="inlineStr">
        <is>
          <t>KRISTINEHAMN</t>
        </is>
      </c>
      <c r="G253" t="n">
        <v>9.199999999999999</v>
      </c>
      <c r="H253" t="n">
        <v>1</v>
      </c>
      <c r="I253" t="n">
        <v>0</v>
      </c>
      <c r="J253" t="n">
        <v>0</v>
      </c>
      <c r="K253" t="n">
        <v>1</v>
      </c>
      <c r="L253" t="n">
        <v>0</v>
      </c>
      <c r="M253" t="n">
        <v>0</v>
      </c>
      <c r="N253" t="n">
        <v>0</v>
      </c>
      <c r="O253" t="n">
        <v>1</v>
      </c>
      <c r="P253" t="n">
        <v>1</v>
      </c>
      <c r="Q253" t="n">
        <v>1</v>
      </c>
      <c r="R253" s="2" t="inlineStr">
        <is>
          <t>Bombmurkla</t>
        </is>
      </c>
      <c r="S253">
        <f>HYPERLINK("https://klasma.github.io/Logging_1781/artfynd/A 16031-2020 artfynd.xlsx", "A 16031-2020")</f>
        <v/>
      </c>
      <c r="T253">
        <f>HYPERLINK("https://klasma.github.io/Logging_1781/kartor/A 16031-2020 karta.png", "A 16031-2020")</f>
        <v/>
      </c>
      <c r="V253">
        <f>HYPERLINK("https://klasma.github.io/Logging_1781/klagomål/A 16031-2020 FSC-klagomål.docx", "A 16031-2020")</f>
        <v/>
      </c>
      <c r="W253">
        <f>HYPERLINK("https://klasma.github.io/Logging_1781/klagomålsmail/A 16031-2020 FSC-klagomål mail.docx", "A 16031-2020")</f>
        <v/>
      </c>
      <c r="X253">
        <f>HYPERLINK("https://klasma.github.io/Logging_1781/tillsyn/A 16031-2020 tillsynsbegäran.docx", "A 16031-2020")</f>
        <v/>
      </c>
      <c r="Y253">
        <f>HYPERLINK("https://klasma.github.io/Logging_1781/tillsynsmail/A 16031-2020 tillsynsbegäran mail.docx", "A 16031-2020")</f>
        <v/>
      </c>
    </row>
    <row r="254" ht="15" customHeight="1">
      <c r="A254" t="inlineStr">
        <is>
          <t>A 18075-2020</t>
        </is>
      </c>
      <c r="B254" s="1" t="n">
        <v>43927</v>
      </c>
      <c r="C254" s="1" t="n">
        <v>45222</v>
      </c>
      <c r="D254" t="inlineStr">
        <is>
          <t>VÄRMLANDS LÄN</t>
        </is>
      </c>
      <c r="E254" t="inlineStr">
        <is>
          <t>KARLSTAD</t>
        </is>
      </c>
      <c r="G254" t="n">
        <v>1.3</v>
      </c>
      <c r="H254" t="n">
        <v>0</v>
      </c>
      <c r="I254" t="n">
        <v>1</v>
      </c>
      <c r="J254" t="n">
        <v>0</v>
      </c>
      <c r="K254" t="n">
        <v>0</v>
      </c>
      <c r="L254" t="n">
        <v>0</v>
      </c>
      <c r="M254" t="n">
        <v>0</v>
      </c>
      <c r="N254" t="n">
        <v>0</v>
      </c>
      <c r="O254" t="n">
        <v>0</v>
      </c>
      <c r="P254" t="n">
        <v>0</v>
      </c>
      <c r="Q254" t="n">
        <v>1</v>
      </c>
      <c r="R254" s="2" t="inlineStr">
        <is>
          <t>Vedticka</t>
        </is>
      </c>
      <c r="S254">
        <f>HYPERLINK("https://klasma.github.io/Logging_1780/artfynd/A 18075-2020 artfynd.xlsx", "A 18075-2020")</f>
        <v/>
      </c>
      <c r="T254">
        <f>HYPERLINK("https://klasma.github.io/Logging_1780/kartor/A 18075-2020 karta.png", "A 18075-2020")</f>
        <v/>
      </c>
      <c r="V254">
        <f>HYPERLINK("https://klasma.github.io/Logging_1780/klagomål/A 18075-2020 FSC-klagomål.docx", "A 18075-2020")</f>
        <v/>
      </c>
      <c r="W254">
        <f>HYPERLINK("https://klasma.github.io/Logging_1780/klagomålsmail/A 18075-2020 FSC-klagomål mail.docx", "A 18075-2020")</f>
        <v/>
      </c>
      <c r="X254">
        <f>HYPERLINK("https://klasma.github.io/Logging_1780/tillsyn/A 18075-2020 tillsynsbegäran.docx", "A 18075-2020")</f>
        <v/>
      </c>
      <c r="Y254">
        <f>HYPERLINK("https://klasma.github.io/Logging_1780/tillsynsmail/A 18075-2020 tillsynsbegäran mail.docx", "A 18075-2020")</f>
        <v/>
      </c>
    </row>
    <row r="255" ht="15" customHeight="1">
      <c r="A255" t="inlineStr">
        <is>
          <t>A 22217-2020</t>
        </is>
      </c>
      <c r="B255" s="1" t="n">
        <v>43955</v>
      </c>
      <c r="C255" s="1" t="n">
        <v>45222</v>
      </c>
      <c r="D255" t="inlineStr">
        <is>
          <t>VÄRMLANDS LÄN</t>
        </is>
      </c>
      <c r="E255" t="inlineStr">
        <is>
          <t>KRISTINEHAMN</t>
        </is>
      </c>
      <c r="G255" t="n">
        <v>7.3</v>
      </c>
      <c r="H255" t="n">
        <v>0</v>
      </c>
      <c r="I255" t="n">
        <v>0</v>
      </c>
      <c r="J255" t="n">
        <v>1</v>
      </c>
      <c r="K255" t="n">
        <v>0</v>
      </c>
      <c r="L255" t="n">
        <v>0</v>
      </c>
      <c r="M255" t="n">
        <v>0</v>
      </c>
      <c r="N255" t="n">
        <v>0</v>
      </c>
      <c r="O255" t="n">
        <v>1</v>
      </c>
      <c r="P255" t="n">
        <v>0</v>
      </c>
      <c r="Q255" t="n">
        <v>1</v>
      </c>
      <c r="R255" s="2" t="inlineStr">
        <is>
          <t>Klofibbla</t>
        </is>
      </c>
      <c r="S255">
        <f>HYPERLINK("https://klasma.github.io/Logging_1781/artfynd/A 22217-2020 artfynd.xlsx", "A 22217-2020")</f>
        <v/>
      </c>
      <c r="T255">
        <f>HYPERLINK("https://klasma.github.io/Logging_1781/kartor/A 22217-2020 karta.png", "A 22217-2020")</f>
        <v/>
      </c>
      <c r="V255">
        <f>HYPERLINK("https://klasma.github.io/Logging_1781/klagomål/A 22217-2020 FSC-klagomål.docx", "A 22217-2020")</f>
        <v/>
      </c>
      <c r="W255">
        <f>HYPERLINK("https://klasma.github.io/Logging_1781/klagomålsmail/A 22217-2020 FSC-klagomål mail.docx", "A 22217-2020")</f>
        <v/>
      </c>
      <c r="X255">
        <f>HYPERLINK("https://klasma.github.io/Logging_1781/tillsyn/A 22217-2020 tillsynsbegäran.docx", "A 22217-2020")</f>
        <v/>
      </c>
      <c r="Y255">
        <f>HYPERLINK("https://klasma.github.io/Logging_1781/tillsynsmail/A 22217-2020 tillsynsbegäran mail.docx", "A 22217-2020")</f>
        <v/>
      </c>
    </row>
    <row r="256" ht="15" customHeight="1">
      <c r="A256" t="inlineStr">
        <is>
          <t>A 28368-2020</t>
        </is>
      </c>
      <c r="B256" s="1" t="n">
        <v>43998</v>
      </c>
      <c r="C256" s="1" t="n">
        <v>45222</v>
      </c>
      <c r="D256" t="inlineStr">
        <is>
          <t>VÄRMLANDS LÄN</t>
        </is>
      </c>
      <c r="E256" t="inlineStr">
        <is>
          <t>KARLSTAD</t>
        </is>
      </c>
      <c r="G256" t="n">
        <v>1.7</v>
      </c>
      <c r="H256" t="n">
        <v>0</v>
      </c>
      <c r="I256" t="n">
        <v>1</v>
      </c>
      <c r="J256" t="n">
        <v>0</v>
      </c>
      <c r="K256" t="n">
        <v>0</v>
      </c>
      <c r="L256" t="n">
        <v>0</v>
      </c>
      <c r="M256" t="n">
        <v>0</v>
      </c>
      <c r="N256" t="n">
        <v>0</v>
      </c>
      <c r="O256" t="n">
        <v>0</v>
      </c>
      <c r="P256" t="n">
        <v>0</v>
      </c>
      <c r="Q256" t="n">
        <v>1</v>
      </c>
      <c r="R256" s="2" t="inlineStr">
        <is>
          <t>Svart trolldruva</t>
        </is>
      </c>
      <c r="S256">
        <f>HYPERLINK("https://klasma.github.io/Logging_1780/artfynd/A 28368-2020 artfynd.xlsx", "A 28368-2020")</f>
        <v/>
      </c>
      <c r="T256">
        <f>HYPERLINK("https://klasma.github.io/Logging_1780/kartor/A 28368-2020 karta.png", "A 28368-2020")</f>
        <v/>
      </c>
      <c r="V256">
        <f>HYPERLINK("https://klasma.github.io/Logging_1780/klagomål/A 28368-2020 FSC-klagomål.docx", "A 28368-2020")</f>
        <v/>
      </c>
      <c r="W256">
        <f>HYPERLINK("https://klasma.github.io/Logging_1780/klagomålsmail/A 28368-2020 FSC-klagomål mail.docx", "A 28368-2020")</f>
        <v/>
      </c>
      <c r="X256">
        <f>HYPERLINK("https://klasma.github.io/Logging_1780/tillsyn/A 28368-2020 tillsynsbegäran.docx", "A 28368-2020")</f>
        <v/>
      </c>
      <c r="Y256">
        <f>HYPERLINK("https://klasma.github.io/Logging_1780/tillsynsmail/A 28368-2020 tillsynsbegäran mail.docx", "A 28368-2020")</f>
        <v/>
      </c>
    </row>
    <row r="257" ht="15" customHeight="1">
      <c r="A257" t="inlineStr">
        <is>
          <t>A 30729-2020</t>
        </is>
      </c>
      <c r="B257" s="1" t="n">
        <v>44008</v>
      </c>
      <c r="C257" s="1" t="n">
        <v>45222</v>
      </c>
      <c r="D257" t="inlineStr">
        <is>
          <t>VÄRMLANDS LÄN</t>
        </is>
      </c>
      <c r="E257" t="inlineStr">
        <is>
          <t>ARVIKA</t>
        </is>
      </c>
      <c r="G257" t="n">
        <v>4.2</v>
      </c>
      <c r="H257" t="n">
        <v>1</v>
      </c>
      <c r="I257" t="n">
        <v>0</v>
      </c>
      <c r="J257" t="n">
        <v>0</v>
      </c>
      <c r="K257" t="n">
        <v>1</v>
      </c>
      <c r="L257" t="n">
        <v>0</v>
      </c>
      <c r="M257" t="n">
        <v>0</v>
      </c>
      <c r="N257" t="n">
        <v>0</v>
      </c>
      <c r="O257" t="n">
        <v>1</v>
      </c>
      <c r="P257" t="n">
        <v>1</v>
      </c>
      <c r="Q257" t="n">
        <v>1</v>
      </c>
      <c r="R257" s="2" t="inlineStr">
        <is>
          <t>Knärot</t>
        </is>
      </c>
      <c r="S257">
        <f>HYPERLINK("https://klasma.github.io/Logging_1784/artfynd/A 30729-2020 artfynd.xlsx", "A 30729-2020")</f>
        <v/>
      </c>
      <c r="T257">
        <f>HYPERLINK("https://klasma.github.io/Logging_1784/kartor/A 30729-2020 karta.png", "A 30729-2020")</f>
        <v/>
      </c>
      <c r="U257">
        <f>HYPERLINK("https://klasma.github.io/Logging_1784/knärot/A 30729-2020 karta knärot.png", "A 30729-2020")</f>
        <v/>
      </c>
      <c r="V257">
        <f>HYPERLINK("https://klasma.github.io/Logging_1784/klagomål/A 30729-2020 FSC-klagomål.docx", "A 30729-2020")</f>
        <v/>
      </c>
      <c r="W257">
        <f>HYPERLINK("https://klasma.github.io/Logging_1784/klagomålsmail/A 30729-2020 FSC-klagomål mail.docx", "A 30729-2020")</f>
        <v/>
      </c>
      <c r="X257">
        <f>HYPERLINK("https://klasma.github.io/Logging_1784/tillsyn/A 30729-2020 tillsynsbegäran.docx", "A 30729-2020")</f>
        <v/>
      </c>
      <c r="Y257">
        <f>HYPERLINK("https://klasma.github.io/Logging_1784/tillsynsmail/A 30729-2020 tillsynsbegäran mail.docx", "A 30729-2020")</f>
        <v/>
      </c>
    </row>
    <row r="258" ht="15" customHeight="1">
      <c r="A258" t="inlineStr">
        <is>
          <t>A 34409-2020</t>
        </is>
      </c>
      <c r="B258" s="1" t="n">
        <v>44029</v>
      </c>
      <c r="C258" s="1" t="n">
        <v>45222</v>
      </c>
      <c r="D258" t="inlineStr">
        <is>
          <t>VÄRMLANDS LÄN</t>
        </is>
      </c>
      <c r="E258" t="inlineStr">
        <is>
          <t>STORFORS</t>
        </is>
      </c>
      <c r="G258" t="n">
        <v>1.2</v>
      </c>
      <c r="H258" t="n">
        <v>0</v>
      </c>
      <c r="I258" t="n">
        <v>1</v>
      </c>
      <c r="J258" t="n">
        <v>0</v>
      </c>
      <c r="K258" t="n">
        <v>0</v>
      </c>
      <c r="L258" t="n">
        <v>0</v>
      </c>
      <c r="M258" t="n">
        <v>0</v>
      </c>
      <c r="N258" t="n">
        <v>0</v>
      </c>
      <c r="O258" t="n">
        <v>0</v>
      </c>
      <c r="P258" t="n">
        <v>0</v>
      </c>
      <c r="Q258" t="n">
        <v>1</v>
      </c>
      <c r="R258" s="2" t="inlineStr">
        <is>
          <t>Korallblylav</t>
        </is>
      </c>
      <c r="S258">
        <f>HYPERLINK("https://klasma.github.io/Logging_1760/artfynd/A 34409-2020 artfynd.xlsx", "A 34409-2020")</f>
        <v/>
      </c>
      <c r="T258">
        <f>HYPERLINK("https://klasma.github.io/Logging_1760/kartor/A 34409-2020 karta.png", "A 34409-2020")</f>
        <v/>
      </c>
      <c r="V258">
        <f>HYPERLINK("https://klasma.github.io/Logging_1760/klagomål/A 34409-2020 FSC-klagomål.docx", "A 34409-2020")</f>
        <v/>
      </c>
      <c r="W258">
        <f>HYPERLINK("https://klasma.github.io/Logging_1760/klagomålsmail/A 34409-2020 FSC-klagomål mail.docx", "A 34409-2020")</f>
        <v/>
      </c>
      <c r="X258">
        <f>HYPERLINK("https://klasma.github.io/Logging_1760/tillsyn/A 34409-2020 tillsynsbegäran.docx", "A 34409-2020")</f>
        <v/>
      </c>
      <c r="Y258">
        <f>HYPERLINK("https://klasma.github.io/Logging_1760/tillsynsmail/A 34409-2020 tillsynsbegäran mail.docx", "A 34409-2020")</f>
        <v/>
      </c>
    </row>
    <row r="259" ht="15" customHeight="1">
      <c r="A259" t="inlineStr">
        <is>
          <t>A 34769-2020</t>
        </is>
      </c>
      <c r="B259" s="1" t="n">
        <v>44035</v>
      </c>
      <c r="C259" s="1" t="n">
        <v>45222</v>
      </c>
      <c r="D259" t="inlineStr">
        <is>
          <t>VÄRMLANDS LÄN</t>
        </is>
      </c>
      <c r="E259" t="inlineStr">
        <is>
          <t>ARVIKA</t>
        </is>
      </c>
      <c r="G259" t="n">
        <v>1.1</v>
      </c>
      <c r="H259" t="n">
        <v>1</v>
      </c>
      <c r="I259" t="n">
        <v>0</v>
      </c>
      <c r="J259" t="n">
        <v>0</v>
      </c>
      <c r="K259" t="n">
        <v>1</v>
      </c>
      <c r="L259" t="n">
        <v>0</v>
      </c>
      <c r="M259" t="n">
        <v>0</v>
      </c>
      <c r="N259" t="n">
        <v>0</v>
      </c>
      <c r="O259" t="n">
        <v>1</v>
      </c>
      <c r="P259" t="n">
        <v>1</v>
      </c>
      <c r="Q259" t="n">
        <v>1</v>
      </c>
      <c r="R259" s="2" t="inlineStr">
        <is>
          <t>Knärot</t>
        </is>
      </c>
      <c r="S259">
        <f>HYPERLINK("https://klasma.github.io/Logging_1784/artfynd/A 34769-2020 artfynd.xlsx", "A 34769-2020")</f>
        <v/>
      </c>
      <c r="T259">
        <f>HYPERLINK("https://klasma.github.io/Logging_1784/kartor/A 34769-2020 karta.png", "A 34769-2020")</f>
        <v/>
      </c>
      <c r="U259">
        <f>HYPERLINK("https://klasma.github.io/Logging_1784/knärot/A 34769-2020 karta knärot.png", "A 34769-2020")</f>
        <v/>
      </c>
      <c r="V259">
        <f>HYPERLINK("https://klasma.github.io/Logging_1784/klagomål/A 34769-2020 FSC-klagomål.docx", "A 34769-2020")</f>
        <v/>
      </c>
      <c r="W259">
        <f>HYPERLINK("https://klasma.github.io/Logging_1784/klagomålsmail/A 34769-2020 FSC-klagomål mail.docx", "A 34769-2020")</f>
        <v/>
      </c>
      <c r="X259">
        <f>HYPERLINK("https://klasma.github.io/Logging_1784/tillsyn/A 34769-2020 tillsynsbegäran.docx", "A 34769-2020")</f>
        <v/>
      </c>
      <c r="Y259">
        <f>HYPERLINK("https://klasma.github.io/Logging_1784/tillsynsmail/A 34769-2020 tillsynsbegäran mail.docx", "A 34769-2020")</f>
        <v/>
      </c>
    </row>
    <row r="260" ht="15" customHeight="1">
      <c r="A260" t="inlineStr">
        <is>
          <t>A 35546-2020</t>
        </is>
      </c>
      <c r="B260" s="1" t="n">
        <v>44043</v>
      </c>
      <c r="C260" s="1" t="n">
        <v>45222</v>
      </c>
      <c r="D260" t="inlineStr">
        <is>
          <t>VÄRMLANDS LÄN</t>
        </is>
      </c>
      <c r="E260" t="inlineStr">
        <is>
          <t>SÄFFLE</t>
        </is>
      </c>
      <c r="G260" t="n">
        <v>10</v>
      </c>
      <c r="H260" t="n">
        <v>0</v>
      </c>
      <c r="I260" t="n">
        <v>0</v>
      </c>
      <c r="J260" t="n">
        <v>0</v>
      </c>
      <c r="K260" t="n">
        <v>0</v>
      </c>
      <c r="L260" t="n">
        <v>1</v>
      </c>
      <c r="M260" t="n">
        <v>0</v>
      </c>
      <c r="N260" t="n">
        <v>0</v>
      </c>
      <c r="O260" t="n">
        <v>1</v>
      </c>
      <c r="P260" t="n">
        <v>1</v>
      </c>
      <c r="Q260" t="n">
        <v>1</v>
      </c>
      <c r="R260" s="2" t="inlineStr">
        <is>
          <t>Ask</t>
        </is>
      </c>
      <c r="S260">
        <f>HYPERLINK("https://klasma.github.io/Logging_1785/artfynd/A 35546-2020 artfynd.xlsx", "A 35546-2020")</f>
        <v/>
      </c>
      <c r="T260">
        <f>HYPERLINK("https://klasma.github.io/Logging_1785/kartor/A 35546-2020 karta.png", "A 35546-2020")</f>
        <v/>
      </c>
      <c r="V260">
        <f>HYPERLINK("https://klasma.github.io/Logging_1785/klagomål/A 35546-2020 FSC-klagomål.docx", "A 35546-2020")</f>
        <v/>
      </c>
      <c r="W260">
        <f>HYPERLINK("https://klasma.github.io/Logging_1785/klagomålsmail/A 35546-2020 FSC-klagomål mail.docx", "A 35546-2020")</f>
        <v/>
      </c>
      <c r="X260">
        <f>HYPERLINK("https://klasma.github.io/Logging_1785/tillsyn/A 35546-2020 tillsynsbegäran.docx", "A 35546-2020")</f>
        <v/>
      </c>
      <c r="Y260">
        <f>HYPERLINK("https://klasma.github.io/Logging_1785/tillsynsmail/A 35546-2020 tillsynsbegäran mail.docx", "A 35546-2020")</f>
        <v/>
      </c>
    </row>
    <row r="261" ht="15" customHeight="1">
      <c r="A261" t="inlineStr">
        <is>
          <t>A 36585-2020</t>
        </is>
      </c>
      <c r="B261" s="1" t="n">
        <v>44050</v>
      </c>
      <c r="C261" s="1" t="n">
        <v>45222</v>
      </c>
      <c r="D261" t="inlineStr">
        <is>
          <t>VÄRMLANDS LÄN</t>
        </is>
      </c>
      <c r="E261" t="inlineStr">
        <is>
          <t>ÅRJÄNG</t>
        </is>
      </c>
      <c r="G261" t="n">
        <v>2</v>
      </c>
      <c r="H261" t="n">
        <v>0</v>
      </c>
      <c r="I261" t="n">
        <v>0</v>
      </c>
      <c r="J261" t="n">
        <v>1</v>
      </c>
      <c r="K261" t="n">
        <v>0</v>
      </c>
      <c r="L261" t="n">
        <v>0</v>
      </c>
      <c r="M261" t="n">
        <v>0</v>
      </c>
      <c r="N261" t="n">
        <v>0</v>
      </c>
      <c r="O261" t="n">
        <v>1</v>
      </c>
      <c r="P261" t="n">
        <v>0</v>
      </c>
      <c r="Q261" t="n">
        <v>1</v>
      </c>
      <c r="R261" s="2" t="inlineStr">
        <is>
          <t>Garnlav</t>
        </is>
      </c>
      <c r="S261">
        <f>HYPERLINK("https://klasma.github.io/Logging_1765/artfynd/A 36585-2020 artfynd.xlsx", "A 36585-2020")</f>
        <v/>
      </c>
      <c r="T261">
        <f>HYPERLINK("https://klasma.github.io/Logging_1765/kartor/A 36585-2020 karta.png", "A 36585-2020")</f>
        <v/>
      </c>
      <c r="V261">
        <f>HYPERLINK("https://klasma.github.io/Logging_1765/klagomål/A 36585-2020 FSC-klagomål.docx", "A 36585-2020")</f>
        <v/>
      </c>
      <c r="W261">
        <f>HYPERLINK("https://klasma.github.io/Logging_1765/klagomålsmail/A 36585-2020 FSC-klagomål mail.docx", "A 36585-2020")</f>
        <v/>
      </c>
      <c r="X261">
        <f>HYPERLINK("https://klasma.github.io/Logging_1765/tillsyn/A 36585-2020 tillsynsbegäran.docx", "A 36585-2020")</f>
        <v/>
      </c>
      <c r="Y261">
        <f>HYPERLINK("https://klasma.github.io/Logging_1765/tillsynsmail/A 36585-2020 tillsynsbegäran mail.docx", "A 36585-2020")</f>
        <v/>
      </c>
    </row>
    <row r="262" ht="15" customHeight="1">
      <c r="A262" t="inlineStr">
        <is>
          <t>A 36688-2020</t>
        </is>
      </c>
      <c r="B262" s="1" t="n">
        <v>44052</v>
      </c>
      <c r="C262" s="1" t="n">
        <v>45222</v>
      </c>
      <c r="D262" t="inlineStr">
        <is>
          <t>VÄRMLANDS LÄN</t>
        </is>
      </c>
      <c r="E262" t="inlineStr">
        <is>
          <t>ARVIKA</t>
        </is>
      </c>
      <c r="G262" t="n">
        <v>6.5</v>
      </c>
      <c r="H262" t="n">
        <v>1</v>
      </c>
      <c r="I262" t="n">
        <v>0</v>
      </c>
      <c r="J262" t="n">
        <v>0</v>
      </c>
      <c r="K262" t="n">
        <v>1</v>
      </c>
      <c r="L262" t="n">
        <v>0</v>
      </c>
      <c r="M262" t="n">
        <v>0</v>
      </c>
      <c r="N262" t="n">
        <v>0</v>
      </c>
      <c r="O262" t="n">
        <v>1</v>
      </c>
      <c r="P262" t="n">
        <v>1</v>
      </c>
      <c r="Q262" t="n">
        <v>1</v>
      </c>
      <c r="R262" s="2" t="inlineStr">
        <is>
          <t>Knärot</t>
        </is>
      </c>
      <c r="S262">
        <f>HYPERLINK("https://klasma.github.io/Logging_1784/artfynd/A 36688-2020 artfynd.xlsx", "A 36688-2020")</f>
        <v/>
      </c>
      <c r="T262">
        <f>HYPERLINK("https://klasma.github.io/Logging_1784/kartor/A 36688-2020 karta.png", "A 36688-2020")</f>
        <v/>
      </c>
      <c r="U262">
        <f>HYPERLINK("https://klasma.github.io/Logging_1784/knärot/A 36688-2020 karta knärot.png", "A 36688-2020")</f>
        <v/>
      </c>
      <c r="V262">
        <f>HYPERLINK("https://klasma.github.io/Logging_1784/klagomål/A 36688-2020 FSC-klagomål.docx", "A 36688-2020")</f>
        <v/>
      </c>
      <c r="W262">
        <f>HYPERLINK("https://klasma.github.io/Logging_1784/klagomålsmail/A 36688-2020 FSC-klagomål mail.docx", "A 36688-2020")</f>
        <v/>
      </c>
      <c r="X262">
        <f>HYPERLINK("https://klasma.github.io/Logging_1784/tillsyn/A 36688-2020 tillsynsbegäran.docx", "A 36688-2020")</f>
        <v/>
      </c>
      <c r="Y262">
        <f>HYPERLINK("https://klasma.github.io/Logging_1784/tillsynsmail/A 36688-2020 tillsynsbegäran mail.docx", "A 36688-2020")</f>
        <v/>
      </c>
    </row>
    <row r="263" ht="15" customHeight="1">
      <c r="A263" t="inlineStr">
        <is>
          <t>A 37035-2020</t>
        </is>
      </c>
      <c r="B263" s="1" t="n">
        <v>44054</v>
      </c>
      <c r="C263" s="1" t="n">
        <v>45222</v>
      </c>
      <c r="D263" t="inlineStr">
        <is>
          <t>VÄRMLANDS LÄN</t>
        </is>
      </c>
      <c r="E263" t="inlineStr">
        <is>
          <t>TORSBY</t>
        </is>
      </c>
      <c r="G263" t="n">
        <v>2.7</v>
      </c>
      <c r="H263" t="n">
        <v>0</v>
      </c>
      <c r="I263" t="n">
        <v>0</v>
      </c>
      <c r="J263" t="n">
        <v>0</v>
      </c>
      <c r="K263" t="n">
        <v>1</v>
      </c>
      <c r="L263" t="n">
        <v>0</v>
      </c>
      <c r="M263" t="n">
        <v>0</v>
      </c>
      <c r="N263" t="n">
        <v>0</v>
      </c>
      <c r="O263" t="n">
        <v>1</v>
      </c>
      <c r="P263" t="n">
        <v>1</v>
      </c>
      <c r="Q263" t="n">
        <v>1</v>
      </c>
      <c r="R263" s="2" t="inlineStr">
        <is>
          <t>Raggbock</t>
        </is>
      </c>
      <c r="S263">
        <f>HYPERLINK("https://klasma.github.io/Logging_1737/artfynd/A 37035-2020 artfynd.xlsx", "A 37035-2020")</f>
        <v/>
      </c>
      <c r="T263">
        <f>HYPERLINK("https://klasma.github.io/Logging_1737/kartor/A 37035-2020 karta.png", "A 37035-2020")</f>
        <v/>
      </c>
      <c r="V263">
        <f>HYPERLINK("https://klasma.github.io/Logging_1737/klagomål/A 37035-2020 FSC-klagomål.docx", "A 37035-2020")</f>
        <v/>
      </c>
      <c r="W263">
        <f>HYPERLINK("https://klasma.github.io/Logging_1737/klagomålsmail/A 37035-2020 FSC-klagomål mail.docx", "A 37035-2020")</f>
        <v/>
      </c>
      <c r="X263">
        <f>HYPERLINK("https://klasma.github.io/Logging_1737/tillsyn/A 37035-2020 tillsynsbegäran.docx", "A 37035-2020")</f>
        <v/>
      </c>
      <c r="Y263">
        <f>HYPERLINK("https://klasma.github.io/Logging_1737/tillsynsmail/A 37035-2020 tillsynsbegäran mail.docx", "A 37035-2020")</f>
        <v/>
      </c>
    </row>
    <row r="264" ht="15" customHeight="1">
      <c r="A264" t="inlineStr">
        <is>
          <t>A 38701-2020</t>
        </is>
      </c>
      <c r="B264" s="1" t="n">
        <v>44061</v>
      </c>
      <c r="C264" s="1" t="n">
        <v>45222</v>
      </c>
      <c r="D264" t="inlineStr">
        <is>
          <t>VÄRMLANDS LÄN</t>
        </is>
      </c>
      <c r="E264" t="inlineStr">
        <is>
          <t>ÅRJÄNG</t>
        </is>
      </c>
      <c r="G264" t="n">
        <v>2.9</v>
      </c>
      <c r="H264" t="n">
        <v>1</v>
      </c>
      <c r="I264" t="n">
        <v>0</v>
      </c>
      <c r="J264" t="n">
        <v>1</v>
      </c>
      <c r="K264" t="n">
        <v>0</v>
      </c>
      <c r="L264" t="n">
        <v>0</v>
      </c>
      <c r="M264" t="n">
        <v>0</v>
      </c>
      <c r="N264" t="n">
        <v>0</v>
      </c>
      <c r="O264" t="n">
        <v>1</v>
      </c>
      <c r="P264" t="n">
        <v>0</v>
      </c>
      <c r="Q264" t="n">
        <v>1</v>
      </c>
      <c r="R264" s="2" t="inlineStr">
        <is>
          <t>Spillkråka</t>
        </is>
      </c>
      <c r="S264">
        <f>HYPERLINK("https://klasma.github.io/Logging_1765/artfynd/A 38701-2020 artfynd.xlsx", "A 38701-2020")</f>
        <v/>
      </c>
      <c r="T264">
        <f>HYPERLINK("https://klasma.github.io/Logging_1765/kartor/A 38701-2020 karta.png", "A 38701-2020")</f>
        <v/>
      </c>
      <c r="V264">
        <f>HYPERLINK("https://klasma.github.io/Logging_1765/klagomål/A 38701-2020 FSC-klagomål.docx", "A 38701-2020")</f>
        <v/>
      </c>
      <c r="W264">
        <f>HYPERLINK("https://klasma.github.io/Logging_1765/klagomålsmail/A 38701-2020 FSC-klagomål mail.docx", "A 38701-2020")</f>
        <v/>
      </c>
      <c r="X264">
        <f>HYPERLINK("https://klasma.github.io/Logging_1765/tillsyn/A 38701-2020 tillsynsbegäran.docx", "A 38701-2020")</f>
        <v/>
      </c>
      <c r="Y264">
        <f>HYPERLINK("https://klasma.github.io/Logging_1765/tillsynsmail/A 38701-2020 tillsynsbegäran mail.docx", "A 38701-2020")</f>
        <v/>
      </c>
    </row>
    <row r="265" ht="15" customHeight="1">
      <c r="A265" t="inlineStr">
        <is>
          <t>A 42542-2020</t>
        </is>
      </c>
      <c r="B265" s="1" t="n">
        <v>44077</v>
      </c>
      <c r="C265" s="1" t="n">
        <v>45222</v>
      </c>
      <c r="D265" t="inlineStr">
        <is>
          <t>VÄRMLANDS LÄN</t>
        </is>
      </c>
      <c r="E265" t="inlineStr">
        <is>
          <t>FILIPSTAD</t>
        </is>
      </c>
      <c r="F265" t="inlineStr">
        <is>
          <t>Bergvik skog väst AB</t>
        </is>
      </c>
      <c r="G265" t="n">
        <v>1.3</v>
      </c>
      <c r="H265" t="n">
        <v>0</v>
      </c>
      <c r="I265" t="n">
        <v>0</v>
      </c>
      <c r="J265" t="n">
        <v>1</v>
      </c>
      <c r="K265" t="n">
        <v>0</v>
      </c>
      <c r="L265" t="n">
        <v>0</v>
      </c>
      <c r="M265" t="n">
        <v>0</v>
      </c>
      <c r="N265" t="n">
        <v>0</v>
      </c>
      <c r="O265" t="n">
        <v>1</v>
      </c>
      <c r="P265" t="n">
        <v>0</v>
      </c>
      <c r="Q265" t="n">
        <v>1</v>
      </c>
      <c r="R265" s="2" t="inlineStr">
        <is>
          <t>Brunpudrad nållav</t>
        </is>
      </c>
      <c r="S265">
        <f>HYPERLINK("https://klasma.github.io/Logging_1782/artfynd/A 42542-2020 artfynd.xlsx", "A 42542-2020")</f>
        <v/>
      </c>
      <c r="T265">
        <f>HYPERLINK("https://klasma.github.io/Logging_1782/kartor/A 42542-2020 karta.png", "A 42542-2020")</f>
        <v/>
      </c>
      <c r="V265">
        <f>HYPERLINK("https://klasma.github.io/Logging_1782/klagomål/A 42542-2020 FSC-klagomål.docx", "A 42542-2020")</f>
        <v/>
      </c>
      <c r="W265">
        <f>HYPERLINK("https://klasma.github.io/Logging_1782/klagomålsmail/A 42542-2020 FSC-klagomål mail.docx", "A 42542-2020")</f>
        <v/>
      </c>
      <c r="X265">
        <f>HYPERLINK("https://klasma.github.io/Logging_1782/tillsyn/A 42542-2020 tillsynsbegäran.docx", "A 42542-2020")</f>
        <v/>
      </c>
      <c r="Y265">
        <f>HYPERLINK("https://klasma.github.io/Logging_1782/tillsynsmail/A 42542-2020 tillsynsbegäran mail.docx", "A 42542-2020")</f>
        <v/>
      </c>
    </row>
    <row r="266" ht="15" customHeight="1">
      <c r="A266" t="inlineStr">
        <is>
          <t>A 47721-2020</t>
        </is>
      </c>
      <c r="B266" s="1" t="n">
        <v>44096</v>
      </c>
      <c r="C266" s="1" t="n">
        <v>45222</v>
      </c>
      <c r="D266" t="inlineStr">
        <is>
          <t>VÄRMLANDS LÄN</t>
        </is>
      </c>
      <c r="E266" t="inlineStr">
        <is>
          <t>HAGFORS</t>
        </is>
      </c>
      <c r="F266" t="inlineStr">
        <is>
          <t>Kyrkan</t>
        </is>
      </c>
      <c r="G266" t="n">
        <v>1.9</v>
      </c>
      <c r="H266" t="n">
        <v>0</v>
      </c>
      <c r="I266" t="n">
        <v>0</v>
      </c>
      <c r="J266" t="n">
        <v>1</v>
      </c>
      <c r="K266" t="n">
        <v>0</v>
      </c>
      <c r="L266" t="n">
        <v>0</v>
      </c>
      <c r="M266" t="n">
        <v>0</v>
      </c>
      <c r="N266" t="n">
        <v>0</v>
      </c>
      <c r="O266" t="n">
        <v>1</v>
      </c>
      <c r="P266" t="n">
        <v>0</v>
      </c>
      <c r="Q266" t="n">
        <v>1</v>
      </c>
      <c r="R266" s="2" t="inlineStr">
        <is>
          <t>Garnlav</t>
        </is>
      </c>
      <c r="S266">
        <f>HYPERLINK("https://klasma.github.io/Logging_1783/artfynd/A 47721-2020 artfynd.xlsx", "A 47721-2020")</f>
        <v/>
      </c>
      <c r="T266">
        <f>HYPERLINK("https://klasma.github.io/Logging_1783/kartor/A 47721-2020 karta.png", "A 47721-2020")</f>
        <v/>
      </c>
      <c r="V266">
        <f>HYPERLINK("https://klasma.github.io/Logging_1783/klagomål/A 47721-2020 FSC-klagomål.docx", "A 47721-2020")</f>
        <v/>
      </c>
      <c r="W266">
        <f>HYPERLINK("https://klasma.github.io/Logging_1783/klagomålsmail/A 47721-2020 FSC-klagomål mail.docx", "A 47721-2020")</f>
        <v/>
      </c>
      <c r="X266">
        <f>HYPERLINK("https://klasma.github.io/Logging_1783/tillsyn/A 47721-2020 tillsynsbegäran.docx", "A 47721-2020")</f>
        <v/>
      </c>
      <c r="Y266">
        <f>HYPERLINK("https://klasma.github.io/Logging_1783/tillsynsmail/A 47721-2020 tillsynsbegäran mail.docx", "A 47721-2020")</f>
        <v/>
      </c>
    </row>
    <row r="267" ht="15" customHeight="1">
      <c r="A267" t="inlineStr">
        <is>
          <t>A 49591-2020</t>
        </is>
      </c>
      <c r="B267" s="1" t="n">
        <v>44105</v>
      </c>
      <c r="C267" s="1" t="n">
        <v>45222</v>
      </c>
      <c r="D267" t="inlineStr">
        <is>
          <t>VÄRMLANDS LÄN</t>
        </is>
      </c>
      <c r="E267" t="inlineStr">
        <is>
          <t>KRISTINEHAMN</t>
        </is>
      </c>
      <c r="G267" t="n">
        <v>2.2</v>
      </c>
      <c r="H267" t="n">
        <v>0</v>
      </c>
      <c r="I267" t="n">
        <v>1</v>
      </c>
      <c r="J267" t="n">
        <v>0</v>
      </c>
      <c r="K267" t="n">
        <v>0</v>
      </c>
      <c r="L267" t="n">
        <v>0</v>
      </c>
      <c r="M267" t="n">
        <v>0</v>
      </c>
      <c r="N267" t="n">
        <v>0</v>
      </c>
      <c r="O267" t="n">
        <v>0</v>
      </c>
      <c r="P267" t="n">
        <v>0</v>
      </c>
      <c r="Q267" t="n">
        <v>1</v>
      </c>
      <c r="R267" s="2" t="inlineStr">
        <is>
          <t>Svart trolldruva</t>
        </is>
      </c>
      <c r="S267">
        <f>HYPERLINK("https://klasma.github.io/Logging_1781/artfynd/A 49591-2020 artfynd.xlsx", "A 49591-2020")</f>
        <v/>
      </c>
      <c r="T267">
        <f>HYPERLINK("https://klasma.github.io/Logging_1781/kartor/A 49591-2020 karta.png", "A 49591-2020")</f>
        <v/>
      </c>
      <c r="V267">
        <f>HYPERLINK("https://klasma.github.io/Logging_1781/klagomål/A 49591-2020 FSC-klagomål.docx", "A 49591-2020")</f>
        <v/>
      </c>
      <c r="W267">
        <f>HYPERLINK("https://klasma.github.io/Logging_1781/klagomålsmail/A 49591-2020 FSC-klagomål mail.docx", "A 49591-2020")</f>
        <v/>
      </c>
      <c r="X267">
        <f>HYPERLINK("https://klasma.github.io/Logging_1781/tillsyn/A 49591-2020 tillsynsbegäran.docx", "A 49591-2020")</f>
        <v/>
      </c>
      <c r="Y267">
        <f>HYPERLINK("https://klasma.github.io/Logging_1781/tillsynsmail/A 49591-2020 tillsynsbegäran mail.docx", "A 49591-2020")</f>
        <v/>
      </c>
    </row>
    <row r="268" ht="15" customHeight="1">
      <c r="A268" t="inlineStr">
        <is>
          <t>A 50854-2020</t>
        </is>
      </c>
      <c r="B268" s="1" t="n">
        <v>44105</v>
      </c>
      <c r="C268" s="1" t="n">
        <v>45222</v>
      </c>
      <c r="D268" t="inlineStr">
        <is>
          <t>VÄRMLANDS LÄN</t>
        </is>
      </c>
      <c r="E268" t="inlineStr">
        <is>
          <t>TORSBY</t>
        </is>
      </c>
      <c r="G268" t="n">
        <v>6.5</v>
      </c>
      <c r="H268" t="n">
        <v>1</v>
      </c>
      <c r="I268" t="n">
        <v>0</v>
      </c>
      <c r="J268" t="n">
        <v>0</v>
      </c>
      <c r="K268" t="n">
        <v>1</v>
      </c>
      <c r="L268" t="n">
        <v>0</v>
      </c>
      <c r="M268" t="n">
        <v>0</v>
      </c>
      <c r="N268" t="n">
        <v>0</v>
      </c>
      <c r="O268" t="n">
        <v>1</v>
      </c>
      <c r="P268" t="n">
        <v>1</v>
      </c>
      <c r="Q268" t="n">
        <v>1</v>
      </c>
      <c r="R268" s="2" t="inlineStr">
        <is>
          <t>Knärot</t>
        </is>
      </c>
      <c r="S268">
        <f>HYPERLINK("https://klasma.github.io/Logging_1737/artfynd/A 50854-2020 artfynd.xlsx", "A 50854-2020")</f>
        <v/>
      </c>
      <c r="T268">
        <f>HYPERLINK("https://klasma.github.io/Logging_1737/kartor/A 50854-2020 karta.png", "A 50854-2020")</f>
        <v/>
      </c>
      <c r="U268">
        <f>HYPERLINK("https://klasma.github.io/Logging_1737/knärot/A 50854-2020 karta knärot.png", "A 50854-2020")</f>
        <v/>
      </c>
      <c r="V268">
        <f>HYPERLINK("https://klasma.github.io/Logging_1737/klagomål/A 50854-2020 FSC-klagomål.docx", "A 50854-2020")</f>
        <v/>
      </c>
      <c r="W268">
        <f>HYPERLINK("https://klasma.github.io/Logging_1737/klagomålsmail/A 50854-2020 FSC-klagomål mail.docx", "A 50854-2020")</f>
        <v/>
      </c>
      <c r="X268">
        <f>HYPERLINK("https://klasma.github.io/Logging_1737/tillsyn/A 50854-2020 tillsynsbegäran.docx", "A 50854-2020")</f>
        <v/>
      </c>
      <c r="Y268">
        <f>HYPERLINK("https://klasma.github.io/Logging_1737/tillsynsmail/A 50854-2020 tillsynsbegäran mail.docx", "A 50854-2020")</f>
        <v/>
      </c>
    </row>
    <row r="269" ht="15" customHeight="1">
      <c r="A269" t="inlineStr">
        <is>
          <t>A 50089-2020</t>
        </is>
      </c>
      <c r="B269" s="1" t="n">
        <v>44109</v>
      </c>
      <c r="C269" s="1" t="n">
        <v>45222</v>
      </c>
      <c r="D269" t="inlineStr">
        <is>
          <t>VÄRMLANDS LÄN</t>
        </is>
      </c>
      <c r="E269" t="inlineStr">
        <is>
          <t>TORSBY</t>
        </is>
      </c>
      <c r="G269" t="n">
        <v>0.9</v>
      </c>
      <c r="H269" t="n">
        <v>1</v>
      </c>
      <c r="I269" t="n">
        <v>0</v>
      </c>
      <c r="J269" t="n">
        <v>1</v>
      </c>
      <c r="K269" t="n">
        <v>0</v>
      </c>
      <c r="L269" t="n">
        <v>0</v>
      </c>
      <c r="M269" t="n">
        <v>0</v>
      </c>
      <c r="N269" t="n">
        <v>0</v>
      </c>
      <c r="O269" t="n">
        <v>1</v>
      </c>
      <c r="P269" t="n">
        <v>0</v>
      </c>
      <c r="Q269" t="n">
        <v>1</v>
      </c>
      <c r="R269" s="2" t="inlineStr">
        <is>
          <t>Spillkråka</t>
        </is>
      </c>
      <c r="S269">
        <f>HYPERLINK("https://klasma.github.io/Logging_1737/artfynd/A 50089-2020 artfynd.xlsx", "A 50089-2020")</f>
        <v/>
      </c>
      <c r="T269">
        <f>HYPERLINK("https://klasma.github.io/Logging_1737/kartor/A 50089-2020 karta.png", "A 50089-2020")</f>
        <v/>
      </c>
      <c r="V269">
        <f>HYPERLINK("https://klasma.github.io/Logging_1737/klagomål/A 50089-2020 FSC-klagomål.docx", "A 50089-2020")</f>
        <v/>
      </c>
      <c r="W269">
        <f>HYPERLINK("https://klasma.github.io/Logging_1737/klagomålsmail/A 50089-2020 FSC-klagomål mail.docx", "A 50089-2020")</f>
        <v/>
      </c>
      <c r="X269">
        <f>HYPERLINK("https://klasma.github.io/Logging_1737/tillsyn/A 50089-2020 tillsynsbegäran.docx", "A 50089-2020")</f>
        <v/>
      </c>
      <c r="Y269">
        <f>HYPERLINK("https://klasma.github.io/Logging_1737/tillsynsmail/A 50089-2020 tillsynsbegäran mail.docx", "A 50089-2020")</f>
        <v/>
      </c>
    </row>
    <row r="270" ht="15" customHeight="1">
      <c r="A270" t="inlineStr">
        <is>
          <t>A 53491-2020</t>
        </is>
      </c>
      <c r="B270" s="1" t="n">
        <v>44123</v>
      </c>
      <c r="C270" s="1" t="n">
        <v>45222</v>
      </c>
      <c r="D270" t="inlineStr">
        <is>
          <t>VÄRMLANDS LÄN</t>
        </is>
      </c>
      <c r="E270" t="inlineStr">
        <is>
          <t>TORSBY</t>
        </is>
      </c>
      <c r="G270" t="n">
        <v>1.5</v>
      </c>
      <c r="H270" t="n">
        <v>0</v>
      </c>
      <c r="I270" t="n">
        <v>0</v>
      </c>
      <c r="J270" t="n">
        <v>1</v>
      </c>
      <c r="K270" t="n">
        <v>0</v>
      </c>
      <c r="L270" t="n">
        <v>0</v>
      </c>
      <c r="M270" t="n">
        <v>0</v>
      </c>
      <c r="N270" t="n">
        <v>0</v>
      </c>
      <c r="O270" t="n">
        <v>1</v>
      </c>
      <c r="P270" t="n">
        <v>0</v>
      </c>
      <c r="Q270" t="n">
        <v>1</v>
      </c>
      <c r="R270" s="2" t="inlineStr">
        <is>
          <t>Garnlav</t>
        </is>
      </c>
      <c r="S270">
        <f>HYPERLINK("https://klasma.github.io/Logging_1737/artfynd/A 53491-2020 artfynd.xlsx", "A 53491-2020")</f>
        <v/>
      </c>
      <c r="T270">
        <f>HYPERLINK("https://klasma.github.io/Logging_1737/kartor/A 53491-2020 karta.png", "A 53491-2020")</f>
        <v/>
      </c>
      <c r="V270">
        <f>HYPERLINK("https://klasma.github.io/Logging_1737/klagomål/A 53491-2020 FSC-klagomål.docx", "A 53491-2020")</f>
        <v/>
      </c>
      <c r="W270">
        <f>HYPERLINK("https://klasma.github.io/Logging_1737/klagomålsmail/A 53491-2020 FSC-klagomål mail.docx", "A 53491-2020")</f>
        <v/>
      </c>
      <c r="X270">
        <f>HYPERLINK("https://klasma.github.io/Logging_1737/tillsyn/A 53491-2020 tillsynsbegäran.docx", "A 53491-2020")</f>
        <v/>
      </c>
      <c r="Y270">
        <f>HYPERLINK("https://klasma.github.io/Logging_1737/tillsynsmail/A 53491-2020 tillsynsbegäran mail.docx", "A 53491-2020")</f>
        <v/>
      </c>
    </row>
    <row r="271" ht="15" customHeight="1">
      <c r="A271" t="inlineStr">
        <is>
          <t>A 55736-2020</t>
        </is>
      </c>
      <c r="B271" s="1" t="n">
        <v>44132</v>
      </c>
      <c r="C271" s="1" t="n">
        <v>45222</v>
      </c>
      <c r="D271" t="inlineStr">
        <is>
          <t>VÄRMLANDS LÄN</t>
        </is>
      </c>
      <c r="E271" t="inlineStr">
        <is>
          <t>ARVIKA</t>
        </is>
      </c>
      <c r="G271" t="n">
        <v>7.5</v>
      </c>
      <c r="H271" t="n">
        <v>0</v>
      </c>
      <c r="I271" t="n">
        <v>1</v>
      </c>
      <c r="J271" t="n">
        <v>0</v>
      </c>
      <c r="K271" t="n">
        <v>0</v>
      </c>
      <c r="L271" t="n">
        <v>0</v>
      </c>
      <c r="M271" t="n">
        <v>0</v>
      </c>
      <c r="N271" t="n">
        <v>0</v>
      </c>
      <c r="O271" t="n">
        <v>0</v>
      </c>
      <c r="P271" t="n">
        <v>0</v>
      </c>
      <c r="Q271" t="n">
        <v>1</v>
      </c>
      <c r="R271" s="2" t="inlineStr">
        <is>
          <t>Tibast</t>
        </is>
      </c>
      <c r="S271">
        <f>HYPERLINK("https://klasma.github.io/Logging_1784/artfynd/A 55736-2020 artfynd.xlsx", "A 55736-2020")</f>
        <v/>
      </c>
      <c r="T271">
        <f>HYPERLINK("https://klasma.github.io/Logging_1784/kartor/A 55736-2020 karta.png", "A 55736-2020")</f>
        <v/>
      </c>
      <c r="V271">
        <f>HYPERLINK("https://klasma.github.io/Logging_1784/klagomål/A 55736-2020 FSC-klagomål.docx", "A 55736-2020")</f>
        <v/>
      </c>
      <c r="W271">
        <f>HYPERLINK("https://klasma.github.io/Logging_1784/klagomålsmail/A 55736-2020 FSC-klagomål mail.docx", "A 55736-2020")</f>
        <v/>
      </c>
      <c r="X271">
        <f>HYPERLINK("https://klasma.github.io/Logging_1784/tillsyn/A 55736-2020 tillsynsbegäran.docx", "A 55736-2020")</f>
        <v/>
      </c>
      <c r="Y271">
        <f>HYPERLINK("https://klasma.github.io/Logging_1784/tillsynsmail/A 55736-2020 tillsynsbegäran mail.docx", "A 55736-2020")</f>
        <v/>
      </c>
    </row>
    <row r="272" ht="15" customHeight="1">
      <c r="A272" t="inlineStr">
        <is>
          <t>A 56253-2020</t>
        </is>
      </c>
      <c r="B272" s="1" t="n">
        <v>44134</v>
      </c>
      <c r="C272" s="1" t="n">
        <v>45222</v>
      </c>
      <c r="D272" t="inlineStr">
        <is>
          <t>VÄRMLANDS LÄN</t>
        </is>
      </c>
      <c r="E272" t="inlineStr">
        <is>
          <t>ARVIKA</t>
        </is>
      </c>
      <c r="G272" t="n">
        <v>2.2</v>
      </c>
      <c r="H272" t="n">
        <v>1</v>
      </c>
      <c r="I272" t="n">
        <v>0</v>
      </c>
      <c r="J272" t="n">
        <v>1</v>
      </c>
      <c r="K272" t="n">
        <v>0</v>
      </c>
      <c r="L272" t="n">
        <v>0</v>
      </c>
      <c r="M272" t="n">
        <v>0</v>
      </c>
      <c r="N272" t="n">
        <v>0</v>
      </c>
      <c r="O272" t="n">
        <v>1</v>
      </c>
      <c r="P272" t="n">
        <v>0</v>
      </c>
      <c r="Q272" t="n">
        <v>1</v>
      </c>
      <c r="R272" s="2" t="inlineStr">
        <is>
          <t>Spillkråka</t>
        </is>
      </c>
      <c r="S272">
        <f>HYPERLINK("https://klasma.github.io/Logging_1784/artfynd/A 56253-2020 artfynd.xlsx", "A 56253-2020")</f>
        <v/>
      </c>
      <c r="T272">
        <f>HYPERLINK("https://klasma.github.io/Logging_1784/kartor/A 56253-2020 karta.png", "A 56253-2020")</f>
        <v/>
      </c>
      <c r="V272">
        <f>HYPERLINK("https://klasma.github.io/Logging_1784/klagomål/A 56253-2020 FSC-klagomål.docx", "A 56253-2020")</f>
        <v/>
      </c>
      <c r="W272">
        <f>HYPERLINK("https://klasma.github.io/Logging_1784/klagomålsmail/A 56253-2020 FSC-klagomål mail.docx", "A 56253-2020")</f>
        <v/>
      </c>
      <c r="X272">
        <f>HYPERLINK("https://klasma.github.io/Logging_1784/tillsyn/A 56253-2020 tillsynsbegäran.docx", "A 56253-2020")</f>
        <v/>
      </c>
      <c r="Y272">
        <f>HYPERLINK("https://klasma.github.io/Logging_1784/tillsynsmail/A 56253-2020 tillsynsbegäran mail.docx", "A 56253-2020")</f>
        <v/>
      </c>
    </row>
    <row r="273" ht="15" customHeight="1">
      <c r="A273" t="inlineStr">
        <is>
          <t>A 59466-2020</t>
        </is>
      </c>
      <c r="B273" s="1" t="n">
        <v>44148</v>
      </c>
      <c r="C273" s="1" t="n">
        <v>45222</v>
      </c>
      <c r="D273" t="inlineStr">
        <is>
          <t>VÄRMLANDS LÄN</t>
        </is>
      </c>
      <c r="E273" t="inlineStr">
        <is>
          <t>SÄFFLE</t>
        </is>
      </c>
      <c r="G273" t="n">
        <v>4.9</v>
      </c>
      <c r="H273" t="n">
        <v>0</v>
      </c>
      <c r="I273" t="n">
        <v>0</v>
      </c>
      <c r="J273" t="n">
        <v>1</v>
      </c>
      <c r="K273" t="n">
        <v>0</v>
      </c>
      <c r="L273" t="n">
        <v>0</v>
      </c>
      <c r="M273" t="n">
        <v>0</v>
      </c>
      <c r="N273" t="n">
        <v>0</v>
      </c>
      <c r="O273" t="n">
        <v>1</v>
      </c>
      <c r="P273" t="n">
        <v>0</v>
      </c>
      <c r="Q273" t="n">
        <v>1</v>
      </c>
      <c r="R273" s="2" t="inlineStr">
        <is>
          <t>Motaggsvamp</t>
        </is>
      </c>
      <c r="S273">
        <f>HYPERLINK("https://klasma.github.io/Logging_1785/artfynd/A 59466-2020 artfynd.xlsx", "A 59466-2020")</f>
        <v/>
      </c>
      <c r="T273">
        <f>HYPERLINK("https://klasma.github.io/Logging_1785/kartor/A 59466-2020 karta.png", "A 59466-2020")</f>
        <v/>
      </c>
      <c r="V273">
        <f>HYPERLINK("https://klasma.github.io/Logging_1785/klagomål/A 59466-2020 FSC-klagomål.docx", "A 59466-2020")</f>
        <v/>
      </c>
      <c r="W273">
        <f>HYPERLINK("https://klasma.github.io/Logging_1785/klagomålsmail/A 59466-2020 FSC-klagomål mail.docx", "A 59466-2020")</f>
        <v/>
      </c>
      <c r="X273">
        <f>HYPERLINK("https://klasma.github.io/Logging_1785/tillsyn/A 59466-2020 tillsynsbegäran.docx", "A 59466-2020")</f>
        <v/>
      </c>
      <c r="Y273">
        <f>HYPERLINK("https://klasma.github.io/Logging_1785/tillsynsmail/A 59466-2020 tillsynsbegäran mail.docx", "A 59466-2020")</f>
        <v/>
      </c>
    </row>
    <row r="274" ht="15" customHeight="1">
      <c r="A274" t="inlineStr">
        <is>
          <t>A 63540-2020</t>
        </is>
      </c>
      <c r="B274" s="1" t="n">
        <v>44165</v>
      </c>
      <c r="C274" s="1" t="n">
        <v>45222</v>
      </c>
      <c r="D274" t="inlineStr">
        <is>
          <t>VÄRMLANDS LÄN</t>
        </is>
      </c>
      <c r="E274" t="inlineStr">
        <is>
          <t>ARVIKA</t>
        </is>
      </c>
      <c r="G274" t="n">
        <v>4.3</v>
      </c>
      <c r="H274" t="n">
        <v>1</v>
      </c>
      <c r="I274" t="n">
        <v>0</v>
      </c>
      <c r="J274" t="n">
        <v>0</v>
      </c>
      <c r="K274" t="n">
        <v>1</v>
      </c>
      <c r="L274" t="n">
        <v>0</v>
      </c>
      <c r="M274" t="n">
        <v>0</v>
      </c>
      <c r="N274" t="n">
        <v>0</v>
      </c>
      <c r="O274" t="n">
        <v>1</v>
      </c>
      <c r="P274" t="n">
        <v>1</v>
      </c>
      <c r="Q274" t="n">
        <v>1</v>
      </c>
      <c r="R274" s="2" t="inlineStr">
        <is>
          <t>Knärot</t>
        </is>
      </c>
      <c r="S274">
        <f>HYPERLINK("https://klasma.github.io/Logging_1784/artfynd/A 63540-2020 artfynd.xlsx", "A 63540-2020")</f>
        <v/>
      </c>
      <c r="T274">
        <f>HYPERLINK("https://klasma.github.io/Logging_1784/kartor/A 63540-2020 karta.png", "A 63540-2020")</f>
        <v/>
      </c>
      <c r="U274">
        <f>HYPERLINK("https://klasma.github.io/Logging_1784/knärot/A 63540-2020 karta knärot.png", "A 63540-2020")</f>
        <v/>
      </c>
      <c r="V274">
        <f>HYPERLINK("https://klasma.github.io/Logging_1784/klagomål/A 63540-2020 FSC-klagomål.docx", "A 63540-2020")</f>
        <v/>
      </c>
      <c r="W274">
        <f>HYPERLINK("https://klasma.github.io/Logging_1784/klagomålsmail/A 63540-2020 FSC-klagomål mail.docx", "A 63540-2020")</f>
        <v/>
      </c>
      <c r="X274">
        <f>HYPERLINK("https://klasma.github.io/Logging_1784/tillsyn/A 63540-2020 tillsynsbegäran.docx", "A 63540-2020")</f>
        <v/>
      </c>
      <c r="Y274">
        <f>HYPERLINK("https://klasma.github.io/Logging_1784/tillsynsmail/A 63540-2020 tillsynsbegäran mail.docx", "A 63540-2020")</f>
        <v/>
      </c>
    </row>
    <row r="275" ht="15" customHeight="1">
      <c r="A275" t="inlineStr">
        <is>
          <t>A 65851-2020</t>
        </is>
      </c>
      <c r="B275" s="1" t="n">
        <v>44174</v>
      </c>
      <c r="C275" s="1" t="n">
        <v>45222</v>
      </c>
      <c r="D275" t="inlineStr">
        <is>
          <t>VÄRMLANDS LÄN</t>
        </is>
      </c>
      <c r="E275" t="inlineStr">
        <is>
          <t>KARLSTAD</t>
        </is>
      </c>
      <c r="F275" t="inlineStr">
        <is>
          <t>Bergvik skog väst AB</t>
        </is>
      </c>
      <c r="G275" t="n">
        <v>3.3</v>
      </c>
      <c r="H275" t="n">
        <v>0</v>
      </c>
      <c r="I275" t="n">
        <v>0</v>
      </c>
      <c r="J275" t="n">
        <v>0</v>
      </c>
      <c r="K275" t="n">
        <v>0</v>
      </c>
      <c r="L275" t="n">
        <v>0</v>
      </c>
      <c r="M275" t="n">
        <v>1</v>
      </c>
      <c r="N275" t="n">
        <v>0</v>
      </c>
      <c r="O275" t="n">
        <v>1</v>
      </c>
      <c r="P275" t="n">
        <v>1</v>
      </c>
      <c r="Q275" t="n">
        <v>1</v>
      </c>
      <c r="R275" s="2" t="inlineStr">
        <is>
          <t>Skogsalm</t>
        </is>
      </c>
      <c r="S275">
        <f>HYPERLINK("https://klasma.github.io/Logging_1780/artfynd/A 65851-2020 artfynd.xlsx", "A 65851-2020")</f>
        <v/>
      </c>
      <c r="T275">
        <f>HYPERLINK("https://klasma.github.io/Logging_1780/kartor/A 65851-2020 karta.png", "A 65851-2020")</f>
        <v/>
      </c>
      <c r="V275">
        <f>HYPERLINK("https://klasma.github.io/Logging_1780/klagomål/A 65851-2020 FSC-klagomål.docx", "A 65851-2020")</f>
        <v/>
      </c>
      <c r="W275">
        <f>HYPERLINK("https://klasma.github.io/Logging_1780/klagomålsmail/A 65851-2020 FSC-klagomål mail.docx", "A 65851-2020")</f>
        <v/>
      </c>
      <c r="X275">
        <f>HYPERLINK("https://klasma.github.io/Logging_1780/tillsyn/A 65851-2020 tillsynsbegäran.docx", "A 65851-2020")</f>
        <v/>
      </c>
      <c r="Y275">
        <f>HYPERLINK("https://klasma.github.io/Logging_1780/tillsynsmail/A 65851-2020 tillsynsbegäran mail.docx", "A 65851-2020")</f>
        <v/>
      </c>
    </row>
    <row r="276" ht="15" customHeight="1">
      <c r="A276" t="inlineStr">
        <is>
          <t>A 67928-2020</t>
        </is>
      </c>
      <c r="B276" s="1" t="n">
        <v>44182</v>
      </c>
      <c r="C276" s="1" t="n">
        <v>45222</v>
      </c>
      <c r="D276" t="inlineStr">
        <is>
          <t>VÄRMLANDS LÄN</t>
        </is>
      </c>
      <c r="E276" t="inlineStr">
        <is>
          <t>KARLSTAD</t>
        </is>
      </c>
      <c r="G276" t="n">
        <v>5</v>
      </c>
      <c r="H276" t="n">
        <v>0</v>
      </c>
      <c r="I276" t="n">
        <v>1</v>
      </c>
      <c r="J276" t="n">
        <v>0</v>
      </c>
      <c r="K276" t="n">
        <v>0</v>
      </c>
      <c r="L276" t="n">
        <v>0</v>
      </c>
      <c r="M276" t="n">
        <v>0</v>
      </c>
      <c r="N276" t="n">
        <v>0</v>
      </c>
      <c r="O276" t="n">
        <v>0</v>
      </c>
      <c r="P276" t="n">
        <v>0</v>
      </c>
      <c r="Q276" t="n">
        <v>1</v>
      </c>
      <c r="R276" s="2" t="inlineStr">
        <is>
          <t>Fjällig taggsvamp s.str.</t>
        </is>
      </c>
      <c r="S276">
        <f>HYPERLINK("https://klasma.github.io/Logging_1780/artfynd/A 67928-2020 artfynd.xlsx", "A 67928-2020")</f>
        <v/>
      </c>
      <c r="T276">
        <f>HYPERLINK("https://klasma.github.io/Logging_1780/kartor/A 67928-2020 karta.png", "A 67928-2020")</f>
        <v/>
      </c>
      <c r="V276">
        <f>HYPERLINK("https://klasma.github.io/Logging_1780/klagomål/A 67928-2020 FSC-klagomål.docx", "A 67928-2020")</f>
        <v/>
      </c>
      <c r="W276">
        <f>HYPERLINK("https://klasma.github.io/Logging_1780/klagomålsmail/A 67928-2020 FSC-klagomål mail.docx", "A 67928-2020")</f>
        <v/>
      </c>
      <c r="X276">
        <f>HYPERLINK("https://klasma.github.io/Logging_1780/tillsyn/A 67928-2020 tillsynsbegäran.docx", "A 67928-2020")</f>
        <v/>
      </c>
      <c r="Y276">
        <f>HYPERLINK("https://klasma.github.io/Logging_1780/tillsynsmail/A 67928-2020 tillsynsbegäran mail.docx", "A 67928-2020")</f>
        <v/>
      </c>
    </row>
    <row r="277" ht="15" customHeight="1">
      <c r="A277" t="inlineStr">
        <is>
          <t>A 68077-2020</t>
        </is>
      </c>
      <c r="B277" s="1" t="n">
        <v>44183</v>
      </c>
      <c r="C277" s="1" t="n">
        <v>45222</v>
      </c>
      <c r="D277" t="inlineStr">
        <is>
          <t>VÄRMLANDS LÄN</t>
        </is>
      </c>
      <c r="E277" t="inlineStr">
        <is>
          <t>FORSHAGA</t>
        </is>
      </c>
      <c r="G277" t="n">
        <v>2.8</v>
      </c>
      <c r="H277" t="n">
        <v>1</v>
      </c>
      <c r="I277" t="n">
        <v>0</v>
      </c>
      <c r="J277" t="n">
        <v>0</v>
      </c>
      <c r="K277" t="n">
        <v>0</v>
      </c>
      <c r="L277" t="n">
        <v>0</v>
      </c>
      <c r="M277" t="n">
        <v>0</v>
      </c>
      <c r="N277" t="n">
        <v>0</v>
      </c>
      <c r="O277" t="n">
        <v>0</v>
      </c>
      <c r="P277" t="n">
        <v>0</v>
      </c>
      <c r="Q277" t="n">
        <v>1</v>
      </c>
      <c r="R277" s="2" t="inlineStr">
        <is>
          <t>Grönvit nattviol</t>
        </is>
      </c>
      <c r="S277">
        <f>HYPERLINK("https://klasma.github.io/Logging_1763/artfynd/A 68077-2020 artfynd.xlsx", "A 68077-2020")</f>
        <v/>
      </c>
      <c r="T277">
        <f>HYPERLINK("https://klasma.github.io/Logging_1763/kartor/A 68077-2020 karta.png", "A 68077-2020")</f>
        <v/>
      </c>
      <c r="V277">
        <f>HYPERLINK("https://klasma.github.io/Logging_1763/klagomål/A 68077-2020 FSC-klagomål.docx", "A 68077-2020")</f>
        <v/>
      </c>
      <c r="W277">
        <f>HYPERLINK("https://klasma.github.io/Logging_1763/klagomålsmail/A 68077-2020 FSC-klagomål mail.docx", "A 68077-2020")</f>
        <v/>
      </c>
      <c r="X277">
        <f>HYPERLINK("https://klasma.github.io/Logging_1763/tillsyn/A 68077-2020 tillsynsbegäran.docx", "A 68077-2020")</f>
        <v/>
      </c>
      <c r="Y277">
        <f>HYPERLINK("https://klasma.github.io/Logging_1763/tillsynsmail/A 68077-2020 tillsynsbegäran mail.docx", "A 68077-2020")</f>
        <v/>
      </c>
    </row>
    <row r="278" ht="15" customHeight="1">
      <c r="A278" t="inlineStr">
        <is>
          <t>A 2194-2021</t>
        </is>
      </c>
      <c r="B278" s="1" t="n">
        <v>44211</v>
      </c>
      <c r="C278" s="1" t="n">
        <v>45222</v>
      </c>
      <c r="D278" t="inlineStr">
        <is>
          <t>VÄRMLANDS LÄN</t>
        </is>
      </c>
      <c r="E278" t="inlineStr">
        <is>
          <t>KARLSTAD</t>
        </is>
      </c>
      <c r="G278" t="n">
        <v>2.3</v>
      </c>
      <c r="H278" t="n">
        <v>1</v>
      </c>
      <c r="I278" t="n">
        <v>0</v>
      </c>
      <c r="J278" t="n">
        <v>0</v>
      </c>
      <c r="K278" t="n">
        <v>1</v>
      </c>
      <c r="L278" t="n">
        <v>0</v>
      </c>
      <c r="M278" t="n">
        <v>0</v>
      </c>
      <c r="N278" t="n">
        <v>0</v>
      </c>
      <c r="O278" t="n">
        <v>1</v>
      </c>
      <c r="P278" t="n">
        <v>1</v>
      </c>
      <c r="Q278" t="n">
        <v>1</v>
      </c>
      <c r="R278" s="2" t="inlineStr">
        <is>
          <t>Knärot</t>
        </is>
      </c>
      <c r="S278">
        <f>HYPERLINK("https://klasma.github.io/Logging_1780/artfynd/A 2194-2021 artfynd.xlsx", "A 2194-2021")</f>
        <v/>
      </c>
      <c r="T278">
        <f>HYPERLINK("https://klasma.github.io/Logging_1780/kartor/A 2194-2021 karta.png", "A 2194-2021")</f>
        <v/>
      </c>
      <c r="U278">
        <f>HYPERLINK("https://klasma.github.io/Logging_1780/knärot/A 2194-2021 karta knärot.png", "A 2194-2021")</f>
        <v/>
      </c>
      <c r="V278">
        <f>HYPERLINK("https://klasma.github.io/Logging_1780/klagomål/A 2194-2021 FSC-klagomål.docx", "A 2194-2021")</f>
        <v/>
      </c>
      <c r="W278">
        <f>HYPERLINK("https://klasma.github.io/Logging_1780/klagomålsmail/A 2194-2021 FSC-klagomål mail.docx", "A 2194-2021")</f>
        <v/>
      </c>
      <c r="X278">
        <f>HYPERLINK("https://klasma.github.io/Logging_1780/tillsyn/A 2194-2021 tillsynsbegäran.docx", "A 2194-2021")</f>
        <v/>
      </c>
      <c r="Y278">
        <f>HYPERLINK("https://klasma.github.io/Logging_1780/tillsynsmail/A 2194-2021 tillsynsbegäran mail.docx", "A 2194-2021")</f>
        <v/>
      </c>
    </row>
    <row r="279" ht="15" customHeight="1">
      <c r="A279" t="inlineStr">
        <is>
          <t>A 3974-2021</t>
        </is>
      </c>
      <c r="B279" s="1" t="n">
        <v>44217</v>
      </c>
      <c r="C279" s="1" t="n">
        <v>45222</v>
      </c>
      <c r="D279" t="inlineStr">
        <is>
          <t>VÄRMLANDS LÄN</t>
        </is>
      </c>
      <c r="E279" t="inlineStr">
        <is>
          <t>ÅRJÄNG</t>
        </is>
      </c>
      <c r="G279" t="n">
        <v>0.8</v>
      </c>
      <c r="H279" t="n">
        <v>1</v>
      </c>
      <c r="I279" t="n">
        <v>0</v>
      </c>
      <c r="J279" t="n">
        <v>1</v>
      </c>
      <c r="K279" t="n">
        <v>0</v>
      </c>
      <c r="L279" t="n">
        <v>0</v>
      </c>
      <c r="M279" t="n">
        <v>0</v>
      </c>
      <c r="N279" t="n">
        <v>0</v>
      </c>
      <c r="O279" t="n">
        <v>1</v>
      </c>
      <c r="P279" t="n">
        <v>0</v>
      </c>
      <c r="Q279" t="n">
        <v>1</v>
      </c>
      <c r="R279" s="2" t="inlineStr">
        <is>
          <t>Tretåig hackspett</t>
        </is>
      </c>
      <c r="S279">
        <f>HYPERLINK("https://klasma.github.io/Logging_1765/artfynd/A 3974-2021 artfynd.xlsx", "A 3974-2021")</f>
        <v/>
      </c>
      <c r="T279">
        <f>HYPERLINK("https://klasma.github.io/Logging_1765/kartor/A 3974-2021 karta.png", "A 3974-2021")</f>
        <v/>
      </c>
      <c r="V279">
        <f>HYPERLINK("https://klasma.github.io/Logging_1765/klagomål/A 3974-2021 FSC-klagomål.docx", "A 3974-2021")</f>
        <v/>
      </c>
      <c r="W279">
        <f>HYPERLINK("https://klasma.github.io/Logging_1765/klagomålsmail/A 3974-2021 FSC-klagomål mail.docx", "A 3974-2021")</f>
        <v/>
      </c>
      <c r="X279">
        <f>HYPERLINK("https://klasma.github.io/Logging_1765/tillsyn/A 3974-2021 tillsynsbegäran.docx", "A 3974-2021")</f>
        <v/>
      </c>
      <c r="Y279">
        <f>HYPERLINK("https://klasma.github.io/Logging_1765/tillsynsmail/A 3974-2021 tillsynsbegäran mail.docx", "A 3974-2021")</f>
        <v/>
      </c>
    </row>
    <row r="280" ht="15" customHeight="1">
      <c r="A280" t="inlineStr">
        <is>
          <t>A 4335-2021</t>
        </is>
      </c>
      <c r="B280" s="1" t="n">
        <v>44221</v>
      </c>
      <c r="C280" s="1" t="n">
        <v>45222</v>
      </c>
      <c r="D280" t="inlineStr">
        <is>
          <t>VÄRMLANDS LÄN</t>
        </is>
      </c>
      <c r="E280" t="inlineStr">
        <is>
          <t>SÄFFLE</t>
        </is>
      </c>
      <c r="G280" t="n">
        <v>21.3</v>
      </c>
      <c r="H280" t="n">
        <v>0</v>
      </c>
      <c r="I280" t="n">
        <v>0</v>
      </c>
      <c r="J280" t="n">
        <v>1</v>
      </c>
      <c r="K280" t="n">
        <v>0</v>
      </c>
      <c r="L280" t="n">
        <v>0</v>
      </c>
      <c r="M280" t="n">
        <v>0</v>
      </c>
      <c r="N280" t="n">
        <v>0</v>
      </c>
      <c r="O280" t="n">
        <v>1</v>
      </c>
      <c r="P280" t="n">
        <v>0</v>
      </c>
      <c r="Q280" t="n">
        <v>1</v>
      </c>
      <c r="R280" s="2" t="inlineStr">
        <is>
          <t>Skogsklocka</t>
        </is>
      </c>
      <c r="S280">
        <f>HYPERLINK("https://klasma.github.io/Logging_1785/artfynd/A 4335-2021 artfynd.xlsx", "A 4335-2021")</f>
        <v/>
      </c>
      <c r="T280">
        <f>HYPERLINK("https://klasma.github.io/Logging_1785/kartor/A 4335-2021 karta.png", "A 4335-2021")</f>
        <v/>
      </c>
      <c r="V280">
        <f>HYPERLINK("https://klasma.github.io/Logging_1785/klagomål/A 4335-2021 FSC-klagomål.docx", "A 4335-2021")</f>
        <v/>
      </c>
      <c r="W280">
        <f>HYPERLINK("https://klasma.github.io/Logging_1785/klagomålsmail/A 4335-2021 FSC-klagomål mail.docx", "A 4335-2021")</f>
        <v/>
      </c>
      <c r="X280">
        <f>HYPERLINK("https://klasma.github.io/Logging_1785/tillsyn/A 4335-2021 tillsynsbegäran.docx", "A 4335-2021")</f>
        <v/>
      </c>
      <c r="Y280">
        <f>HYPERLINK("https://klasma.github.io/Logging_1785/tillsynsmail/A 4335-2021 tillsynsbegäran mail.docx", "A 4335-2021")</f>
        <v/>
      </c>
    </row>
    <row r="281" ht="15" customHeight="1">
      <c r="A281" t="inlineStr">
        <is>
          <t>A 4799-2021</t>
        </is>
      </c>
      <c r="B281" s="1" t="n">
        <v>44225</v>
      </c>
      <c r="C281" s="1" t="n">
        <v>45222</v>
      </c>
      <c r="D281" t="inlineStr">
        <is>
          <t>VÄRMLANDS LÄN</t>
        </is>
      </c>
      <c r="E281" t="inlineStr">
        <is>
          <t>KARLSTAD</t>
        </is>
      </c>
      <c r="G281" t="n">
        <v>2.8</v>
      </c>
      <c r="H281" t="n">
        <v>0</v>
      </c>
      <c r="I281" t="n">
        <v>1</v>
      </c>
      <c r="J281" t="n">
        <v>0</v>
      </c>
      <c r="K281" t="n">
        <v>0</v>
      </c>
      <c r="L281" t="n">
        <v>0</v>
      </c>
      <c r="M281" t="n">
        <v>0</v>
      </c>
      <c r="N281" t="n">
        <v>0</v>
      </c>
      <c r="O281" t="n">
        <v>0</v>
      </c>
      <c r="P281" t="n">
        <v>0</v>
      </c>
      <c r="Q281" t="n">
        <v>1</v>
      </c>
      <c r="R281" s="2" t="inlineStr">
        <is>
          <t>Svart trolldruva</t>
        </is>
      </c>
      <c r="S281">
        <f>HYPERLINK("https://klasma.github.io/Logging_1780/artfynd/A 4799-2021 artfynd.xlsx", "A 4799-2021")</f>
        <v/>
      </c>
      <c r="T281">
        <f>HYPERLINK("https://klasma.github.io/Logging_1780/kartor/A 4799-2021 karta.png", "A 4799-2021")</f>
        <v/>
      </c>
      <c r="V281">
        <f>HYPERLINK("https://klasma.github.io/Logging_1780/klagomål/A 4799-2021 FSC-klagomål.docx", "A 4799-2021")</f>
        <v/>
      </c>
      <c r="W281">
        <f>HYPERLINK("https://klasma.github.io/Logging_1780/klagomålsmail/A 4799-2021 FSC-klagomål mail.docx", "A 4799-2021")</f>
        <v/>
      </c>
      <c r="X281">
        <f>HYPERLINK("https://klasma.github.io/Logging_1780/tillsyn/A 4799-2021 tillsynsbegäran.docx", "A 4799-2021")</f>
        <v/>
      </c>
      <c r="Y281">
        <f>HYPERLINK("https://klasma.github.io/Logging_1780/tillsynsmail/A 4799-2021 tillsynsbegäran mail.docx", "A 4799-2021")</f>
        <v/>
      </c>
    </row>
    <row r="282" ht="15" customHeight="1">
      <c r="A282" t="inlineStr">
        <is>
          <t>A 8048-2021</t>
        </is>
      </c>
      <c r="B282" s="1" t="n">
        <v>44243</v>
      </c>
      <c r="C282" s="1" t="n">
        <v>45222</v>
      </c>
      <c r="D282" t="inlineStr">
        <is>
          <t>VÄRMLANDS LÄN</t>
        </is>
      </c>
      <c r="E282" t="inlineStr">
        <is>
          <t>STORFORS</t>
        </is>
      </c>
      <c r="G282" t="n">
        <v>11.1</v>
      </c>
      <c r="H282" t="n">
        <v>0</v>
      </c>
      <c r="I282" t="n">
        <v>1</v>
      </c>
      <c r="J282" t="n">
        <v>0</v>
      </c>
      <c r="K282" t="n">
        <v>0</v>
      </c>
      <c r="L282" t="n">
        <v>0</v>
      </c>
      <c r="M282" t="n">
        <v>0</v>
      </c>
      <c r="N282" t="n">
        <v>0</v>
      </c>
      <c r="O282" t="n">
        <v>0</v>
      </c>
      <c r="P282" t="n">
        <v>0</v>
      </c>
      <c r="Q282" t="n">
        <v>1</v>
      </c>
      <c r="R282" s="2" t="inlineStr">
        <is>
          <t>Korallblylav</t>
        </is>
      </c>
      <c r="S282">
        <f>HYPERLINK("https://klasma.github.io/Logging_1760/artfynd/A 8048-2021 artfynd.xlsx", "A 8048-2021")</f>
        <v/>
      </c>
      <c r="T282">
        <f>HYPERLINK("https://klasma.github.io/Logging_1760/kartor/A 8048-2021 karta.png", "A 8048-2021")</f>
        <v/>
      </c>
      <c r="V282">
        <f>HYPERLINK("https://klasma.github.io/Logging_1760/klagomål/A 8048-2021 FSC-klagomål.docx", "A 8048-2021")</f>
        <v/>
      </c>
      <c r="W282">
        <f>HYPERLINK("https://klasma.github.io/Logging_1760/klagomålsmail/A 8048-2021 FSC-klagomål mail.docx", "A 8048-2021")</f>
        <v/>
      </c>
      <c r="X282">
        <f>HYPERLINK("https://klasma.github.io/Logging_1760/tillsyn/A 8048-2021 tillsynsbegäran.docx", "A 8048-2021")</f>
        <v/>
      </c>
      <c r="Y282">
        <f>HYPERLINK("https://klasma.github.io/Logging_1760/tillsynsmail/A 8048-2021 tillsynsbegäran mail.docx", "A 8048-2021")</f>
        <v/>
      </c>
    </row>
    <row r="283" ht="15" customHeight="1">
      <c r="A283" t="inlineStr">
        <is>
          <t>A 8747-2021</t>
        </is>
      </c>
      <c r="B283" s="1" t="n">
        <v>44246</v>
      </c>
      <c r="C283" s="1" t="n">
        <v>45222</v>
      </c>
      <c r="D283" t="inlineStr">
        <is>
          <t>VÄRMLANDS LÄN</t>
        </is>
      </c>
      <c r="E283" t="inlineStr">
        <is>
          <t>TORSBY</t>
        </is>
      </c>
      <c r="G283" t="n">
        <v>8.5</v>
      </c>
      <c r="H283" t="n">
        <v>0</v>
      </c>
      <c r="I283" t="n">
        <v>0</v>
      </c>
      <c r="J283" t="n">
        <v>1</v>
      </c>
      <c r="K283" t="n">
        <v>0</v>
      </c>
      <c r="L283" t="n">
        <v>0</v>
      </c>
      <c r="M283" t="n">
        <v>0</v>
      </c>
      <c r="N283" t="n">
        <v>0</v>
      </c>
      <c r="O283" t="n">
        <v>1</v>
      </c>
      <c r="P283" t="n">
        <v>0</v>
      </c>
      <c r="Q283" t="n">
        <v>1</v>
      </c>
      <c r="R283" s="2" t="inlineStr">
        <is>
          <t>Garnlav</t>
        </is>
      </c>
      <c r="S283">
        <f>HYPERLINK("https://klasma.github.io/Logging_1737/artfynd/A 8747-2021 artfynd.xlsx", "A 8747-2021")</f>
        <v/>
      </c>
      <c r="T283">
        <f>HYPERLINK("https://klasma.github.io/Logging_1737/kartor/A 8747-2021 karta.png", "A 8747-2021")</f>
        <v/>
      </c>
      <c r="V283">
        <f>HYPERLINK("https://klasma.github.io/Logging_1737/klagomål/A 8747-2021 FSC-klagomål.docx", "A 8747-2021")</f>
        <v/>
      </c>
      <c r="W283">
        <f>HYPERLINK("https://klasma.github.io/Logging_1737/klagomålsmail/A 8747-2021 FSC-klagomål mail.docx", "A 8747-2021")</f>
        <v/>
      </c>
      <c r="X283">
        <f>HYPERLINK("https://klasma.github.io/Logging_1737/tillsyn/A 8747-2021 tillsynsbegäran.docx", "A 8747-2021")</f>
        <v/>
      </c>
      <c r="Y283">
        <f>HYPERLINK("https://klasma.github.io/Logging_1737/tillsynsmail/A 8747-2021 tillsynsbegäran mail.docx", "A 8747-2021")</f>
        <v/>
      </c>
    </row>
    <row r="284" ht="15" customHeight="1">
      <c r="A284" t="inlineStr">
        <is>
          <t>A 9558-2021</t>
        </is>
      </c>
      <c r="B284" s="1" t="n">
        <v>44251</v>
      </c>
      <c r="C284" s="1" t="n">
        <v>45222</v>
      </c>
      <c r="D284" t="inlineStr">
        <is>
          <t>VÄRMLANDS LÄN</t>
        </is>
      </c>
      <c r="E284" t="inlineStr">
        <is>
          <t>KIL</t>
        </is>
      </c>
      <c r="F284" t="inlineStr">
        <is>
          <t>Kommuner</t>
        </is>
      </c>
      <c r="G284" t="n">
        <v>2.9</v>
      </c>
      <c r="H284" t="n">
        <v>0</v>
      </c>
      <c r="I284" t="n">
        <v>0</v>
      </c>
      <c r="J284" t="n">
        <v>1</v>
      </c>
      <c r="K284" t="n">
        <v>0</v>
      </c>
      <c r="L284" t="n">
        <v>0</v>
      </c>
      <c r="M284" t="n">
        <v>0</v>
      </c>
      <c r="N284" t="n">
        <v>0</v>
      </c>
      <c r="O284" t="n">
        <v>1</v>
      </c>
      <c r="P284" t="n">
        <v>0</v>
      </c>
      <c r="Q284" t="n">
        <v>1</v>
      </c>
      <c r="R284" s="2" t="inlineStr">
        <is>
          <t>Ängsmetallvinge</t>
        </is>
      </c>
      <c r="S284">
        <f>HYPERLINK("https://klasma.github.io/Logging_1715/artfynd/A 9558-2021 artfynd.xlsx", "A 9558-2021")</f>
        <v/>
      </c>
      <c r="T284">
        <f>HYPERLINK("https://klasma.github.io/Logging_1715/kartor/A 9558-2021 karta.png", "A 9558-2021")</f>
        <v/>
      </c>
      <c r="V284">
        <f>HYPERLINK("https://klasma.github.io/Logging_1715/klagomål/A 9558-2021 FSC-klagomål.docx", "A 9558-2021")</f>
        <v/>
      </c>
      <c r="W284">
        <f>HYPERLINK("https://klasma.github.io/Logging_1715/klagomålsmail/A 9558-2021 FSC-klagomål mail.docx", "A 9558-2021")</f>
        <v/>
      </c>
      <c r="X284">
        <f>HYPERLINK("https://klasma.github.io/Logging_1715/tillsyn/A 9558-2021 tillsynsbegäran.docx", "A 9558-2021")</f>
        <v/>
      </c>
      <c r="Y284">
        <f>HYPERLINK("https://klasma.github.io/Logging_1715/tillsynsmail/A 9558-2021 tillsynsbegäran mail.docx", "A 9558-2021")</f>
        <v/>
      </c>
    </row>
    <row r="285" ht="15" customHeight="1">
      <c r="A285" t="inlineStr">
        <is>
          <t>A 15418-2021</t>
        </is>
      </c>
      <c r="B285" s="1" t="n">
        <v>44285</v>
      </c>
      <c r="C285" s="1" t="n">
        <v>45222</v>
      </c>
      <c r="D285" t="inlineStr">
        <is>
          <t>VÄRMLANDS LÄN</t>
        </is>
      </c>
      <c r="E285" t="inlineStr">
        <is>
          <t>ÅRJÄNG</t>
        </is>
      </c>
      <c r="G285" t="n">
        <v>6.6</v>
      </c>
      <c r="H285" t="n">
        <v>0</v>
      </c>
      <c r="I285" t="n">
        <v>0</v>
      </c>
      <c r="J285" t="n">
        <v>1</v>
      </c>
      <c r="K285" t="n">
        <v>0</v>
      </c>
      <c r="L285" t="n">
        <v>0</v>
      </c>
      <c r="M285" t="n">
        <v>0</v>
      </c>
      <c r="N285" t="n">
        <v>0</v>
      </c>
      <c r="O285" t="n">
        <v>1</v>
      </c>
      <c r="P285" t="n">
        <v>0</v>
      </c>
      <c r="Q285" t="n">
        <v>1</v>
      </c>
      <c r="R285" s="2" t="inlineStr">
        <is>
          <t>Lunglav</t>
        </is>
      </c>
      <c r="S285">
        <f>HYPERLINK("https://klasma.github.io/Logging_1765/artfynd/A 15418-2021 artfynd.xlsx", "A 15418-2021")</f>
        <v/>
      </c>
      <c r="T285">
        <f>HYPERLINK("https://klasma.github.io/Logging_1765/kartor/A 15418-2021 karta.png", "A 15418-2021")</f>
        <v/>
      </c>
      <c r="V285">
        <f>HYPERLINK("https://klasma.github.io/Logging_1765/klagomål/A 15418-2021 FSC-klagomål.docx", "A 15418-2021")</f>
        <v/>
      </c>
      <c r="W285">
        <f>HYPERLINK("https://klasma.github.io/Logging_1765/klagomålsmail/A 15418-2021 FSC-klagomål mail.docx", "A 15418-2021")</f>
        <v/>
      </c>
      <c r="X285">
        <f>HYPERLINK("https://klasma.github.io/Logging_1765/tillsyn/A 15418-2021 tillsynsbegäran.docx", "A 15418-2021")</f>
        <v/>
      </c>
      <c r="Y285">
        <f>HYPERLINK("https://klasma.github.io/Logging_1765/tillsynsmail/A 15418-2021 tillsynsbegäran mail.docx", "A 15418-2021")</f>
        <v/>
      </c>
    </row>
    <row r="286" ht="15" customHeight="1">
      <c r="A286" t="inlineStr">
        <is>
          <t>A 21073-2021</t>
        </is>
      </c>
      <c r="B286" s="1" t="n">
        <v>44319</v>
      </c>
      <c r="C286" s="1" t="n">
        <v>45222</v>
      </c>
      <c r="D286" t="inlineStr">
        <is>
          <t>VÄRMLANDS LÄN</t>
        </is>
      </c>
      <c r="E286" t="inlineStr">
        <is>
          <t>STORFORS</t>
        </is>
      </c>
      <c r="G286" t="n">
        <v>6.1</v>
      </c>
      <c r="H286" t="n">
        <v>0</v>
      </c>
      <c r="I286" t="n">
        <v>1</v>
      </c>
      <c r="J286" t="n">
        <v>0</v>
      </c>
      <c r="K286" t="n">
        <v>0</v>
      </c>
      <c r="L286" t="n">
        <v>0</v>
      </c>
      <c r="M286" t="n">
        <v>0</v>
      </c>
      <c r="N286" t="n">
        <v>0</v>
      </c>
      <c r="O286" t="n">
        <v>0</v>
      </c>
      <c r="P286" t="n">
        <v>0</v>
      </c>
      <c r="Q286" t="n">
        <v>1</v>
      </c>
      <c r="R286" s="2" t="inlineStr">
        <is>
          <t>Korallblylav</t>
        </is>
      </c>
      <c r="S286">
        <f>HYPERLINK("https://klasma.github.io/Logging_1760/artfynd/A 21073-2021 artfynd.xlsx", "A 21073-2021")</f>
        <v/>
      </c>
      <c r="T286">
        <f>HYPERLINK("https://klasma.github.io/Logging_1760/kartor/A 21073-2021 karta.png", "A 21073-2021")</f>
        <v/>
      </c>
      <c r="V286">
        <f>HYPERLINK("https://klasma.github.io/Logging_1760/klagomål/A 21073-2021 FSC-klagomål.docx", "A 21073-2021")</f>
        <v/>
      </c>
      <c r="W286">
        <f>HYPERLINK("https://klasma.github.io/Logging_1760/klagomålsmail/A 21073-2021 FSC-klagomål mail.docx", "A 21073-2021")</f>
        <v/>
      </c>
      <c r="X286">
        <f>HYPERLINK("https://klasma.github.io/Logging_1760/tillsyn/A 21073-2021 tillsynsbegäran.docx", "A 21073-2021")</f>
        <v/>
      </c>
      <c r="Y286">
        <f>HYPERLINK("https://klasma.github.io/Logging_1760/tillsynsmail/A 21073-2021 tillsynsbegäran mail.docx", "A 21073-2021")</f>
        <v/>
      </c>
    </row>
    <row r="287" ht="15" customHeight="1">
      <c r="A287" t="inlineStr">
        <is>
          <t>A 24042-2021</t>
        </is>
      </c>
      <c r="B287" s="1" t="n">
        <v>44336</v>
      </c>
      <c r="C287" s="1" t="n">
        <v>45222</v>
      </c>
      <c r="D287" t="inlineStr">
        <is>
          <t>VÄRMLANDS LÄN</t>
        </is>
      </c>
      <c r="E287" t="inlineStr">
        <is>
          <t>TORSBY</t>
        </is>
      </c>
      <c r="G287" t="n">
        <v>4.5</v>
      </c>
      <c r="H287" t="n">
        <v>0</v>
      </c>
      <c r="I287" t="n">
        <v>1</v>
      </c>
      <c r="J287" t="n">
        <v>0</v>
      </c>
      <c r="K287" t="n">
        <v>0</v>
      </c>
      <c r="L287" t="n">
        <v>0</v>
      </c>
      <c r="M287" t="n">
        <v>0</v>
      </c>
      <c r="N287" t="n">
        <v>0</v>
      </c>
      <c r="O287" t="n">
        <v>0</v>
      </c>
      <c r="P287" t="n">
        <v>0</v>
      </c>
      <c r="Q287" t="n">
        <v>1</v>
      </c>
      <c r="R287" s="2" t="inlineStr">
        <is>
          <t>Stuplav</t>
        </is>
      </c>
      <c r="S287">
        <f>HYPERLINK("https://klasma.github.io/Logging_1737/artfynd/A 24042-2021 artfynd.xlsx", "A 24042-2021")</f>
        <v/>
      </c>
      <c r="T287">
        <f>HYPERLINK("https://klasma.github.io/Logging_1737/kartor/A 24042-2021 karta.png", "A 24042-2021")</f>
        <v/>
      </c>
      <c r="V287">
        <f>HYPERLINK("https://klasma.github.io/Logging_1737/klagomål/A 24042-2021 FSC-klagomål.docx", "A 24042-2021")</f>
        <v/>
      </c>
      <c r="W287">
        <f>HYPERLINK("https://klasma.github.io/Logging_1737/klagomålsmail/A 24042-2021 FSC-klagomål mail.docx", "A 24042-2021")</f>
        <v/>
      </c>
      <c r="X287">
        <f>HYPERLINK("https://klasma.github.io/Logging_1737/tillsyn/A 24042-2021 tillsynsbegäran.docx", "A 24042-2021")</f>
        <v/>
      </c>
      <c r="Y287">
        <f>HYPERLINK("https://klasma.github.io/Logging_1737/tillsynsmail/A 24042-2021 tillsynsbegäran mail.docx", "A 24042-2021")</f>
        <v/>
      </c>
    </row>
    <row r="288" ht="15" customHeight="1">
      <c r="A288" t="inlineStr">
        <is>
          <t>A 24660-2021</t>
        </is>
      </c>
      <c r="B288" s="1" t="n">
        <v>44340</v>
      </c>
      <c r="C288" s="1" t="n">
        <v>45222</v>
      </c>
      <c r="D288" t="inlineStr">
        <is>
          <t>VÄRMLANDS LÄN</t>
        </is>
      </c>
      <c r="E288" t="inlineStr">
        <is>
          <t>SÄFFLE</t>
        </is>
      </c>
      <c r="G288" t="n">
        <v>6</v>
      </c>
      <c r="H288" t="n">
        <v>0</v>
      </c>
      <c r="I288" t="n">
        <v>0</v>
      </c>
      <c r="J288" t="n">
        <v>1</v>
      </c>
      <c r="K288" t="n">
        <v>0</v>
      </c>
      <c r="L288" t="n">
        <v>0</v>
      </c>
      <c r="M288" t="n">
        <v>0</v>
      </c>
      <c r="N288" t="n">
        <v>0</v>
      </c>
      <c r="O288" t="n">
        <v>1</v>
      </c>
      <c r="P288" t="n">
        <v>0</v>
      </c>
      <c r="Q288" t="n">
        <v>1</v>
      </c>
      <c r="R288" s="2" t="inlineStr">
        <is>
          <t>Svinrot</t>
        </is>
      </c>
      <c r="S288">
        <f>HYPERLINK("https://klasma.github.io/Logging_1785/artfynd/A 24660-2021 artfynd.xlsx", "A 24660-2021")</f>
        <v/>
      </c>
      <c r="T288">
        <f>HYPERLINK("https://klasma.github.io/Logging_1785/kartor/A 24660-2021 karta.png", "A 24660-2021")</f>
        <v/>
      </c>
      <c r="V288">
        <f>HYPERLINK("https://klasma.github.io/Logging_1785/klagomål/A 24660-2021 FSC-klagomål.docx", "A 24660-2021")</f>
        <v/>
      </c>
      <c r="W288">
        <f>HYPERLINK("https://klasma.github.io/Logging_1785/klagomålsmail/A 24660-2021 FSC-klagomål mail.docx", "A 24660-2021")</f>
        <v/>
      </c>
      <c r="X288">
        <f>HYPERLINK("https://klasma.github.io/Logging_1785/tillsyn/A 24660-2021 tillsynsbegäran.docx", "A 24660-2021")</f>
        <v/>
      </c>
      <c r="Y288">
        <f>HYPERLINK("https://klasma.github.io/Logging_1785/tillsynsmail/A 24660-2021 tillsynsbegäran mail.docx", "A 24660-2021")</f>
        <v/>
      </c>
    </row>
    <row r="289" ht="15" customHeight="1">
      <c r="A289" t="inlineStr">
        <is>
          <t>A 28445-2021</t>
        </is>
      </c>
      <c r="B289" s="1" t="n">
        <v>44356</v>
      </c>
      <c r="C289" s="1" t="n">
        <v>45222</v>
      </c>
      <c r="D289" t="inlineStr">
        <is>
          <t>VÄRMLANDS LÄN</t>
        </is>
      </c>
      <c r="E289" t="inlineStr">
        <is>
          <t>SUNNE</t>
        </is>
      </c>
      <c r="G289" t="n">
        <v>10.1</v>
      </c>
      <c r="H289" t="n">
        <v>1</v>
      </c>
      <c r="I289" t="n">
        <v>0</v>
      </c>
      <c r="J289" t="n">
        <v>0</v>
      </c>
      <c r="K289" t="n">
        <v>0</v>
      </c>
      <c r="L289" t="n">
        <v>0</v>
      </c>
      <c r="M289" t="n">
        <v>0</v>
      </c>
      <c r="N289" t="n">
        <v>0</v>
      </c>
      <c r="O289" t="n">
        <v>0</v>
      </c>
      <c r="P289" t="n">
        <v>0</v>
      </c>
      <c r="Q289" t="n">
        <v>1</v>
      </c>
      <c r="R289" s="2" t="inlineStr">
        <is>
          <t>Blåsippa</t>
        </is>
      </c>
      <c r="S289">
        <f>HYPERLINK("https://klasma.github.io/Logging_1766/artfynd/A 28445-2021 artfynd.xlsx", "A 28445-2021")</f>
        <v/>
      </c>
      <c r="T289">
        <f>HYPERLINK("https://klasma.github.io/Logging_1766/kartor/A 28445-2021 karta.png", "A 28445-2021")</f>
        <v/>
      </c>
      <c r="V289">
        <f>HYPERLINK("https://klasma.github.io/Logging_1766/klagomål/A 28445-2021 FSC-klagomål.docx", "A 28445-2021")</f>
        <v/>
      </c>
      <c r="W289">
        <f>HYPERLINK("https://klasma.github.io/Logging_1766/klagomålsmail/A 28445-2021 FSC-klagomål mail.docx", "A 28445-2021")</f>
        <v/>
      </c>
      <c r="X289">
        <f>HYPERLINK("https://klasma.github.io/Logging_1766/tillsyn/A 28445-2021 tillsynsbegäran.docx", "A 28445-2021")</f>
        <v/>
      </c>
      <c r="Y289">
        <f>HYPERLINK("https://klasma.github.io/Logging_1766/tillsynsmail/A 28445-2021 tillsynsbegäran mail.docx", "A 28445-2021")</f>
        <v/>
      </c>
    </row>
    <row r="290" ht="15" customHeight="1">
      <c r="A290" t="inlineStr">
        <is>
          <t>A 28418-2021</t>
        </is>
      </c>
      <c r="B290" s="1" t="n">
        <v>44356</v>
      </c>
      <c r="C290" s="1" t="n">
        <v>45222</v>
      </c>
      <c r="D290" t="inlineStr">
        <is>
          <t>VÄRMLANDS LÄN</t>
        </is>
      </c>
      <c r="E290" t="inlineStr">
        <is>
          <t>ÅRJÄNG</t>
        </is>
      </c>
      <c r="G290" t="n">
        <v>1.6</v>
      </c>
      <c r="H290" t="n">
        <v>0</v>
      </c>
      <c r="I290" t="n">
        <v>1</v>
      </c>
      <c r="J290" t="n">
        <v>0</v>
      </c>
      <c r="K290" t="n">
        <v>0</v>
      </c>
      <c r="L290" t="n">
        <v>0</v>
      </c>
      <c r="M290" t="n">
        <v>0</v>
      </c>
      <c r="N290" t="n">
        <v>0</v>
      </c>
      <c r="O290" t="n">
        <v>0</v>
      </c>
      <c r="P290" t="n">
        <v>0</v>
      </c>
      <c r="Q290" t="n">
        <v>1</v>
      </c>
      <c r="R290" s="2" t="inlineStr">
        <is>
          <t>Stubbspretmossa</t>
        </is>
      </c>
      <c r="S290">
        <f>HYPERLINK("https://klasma.github.io/Logging_1765/artfynd/A 28418-2021 artfynd.xlsx", "A 28418-2021")</f>
        <v/>
      </c>
      <c r="T290">
        <f>HYPERLINK("https://klasma.github.io/Logging_1765/kartor/A 28418-2021 karta.png", "A 28418-2021")</f>
        <v/>
      </c>
      <c r="V290">
        <f>HYPERLINK("https://klasma.github.io/Logging_1765/klagomål/A 28418-2021 FSC-klagomål.docx", "A 28418-2021")</f>
        <v/>
      </c>
      <c r="W290">
        <f>HYPERLINK("https://klasma.github.io/Logging_1765/klagomålsmail/A 28418-2021 FSC-klagomål mail.docx", "A 28418-2021")</f>
        <v/>
      </c>
      <c r="X290">
        <f>HYPERLINK("https://klasma.github.io/Logging_1765/tillsyn/A 28418-2021 tillsynsbegäran.docx", "A 28418-2021")</f>
        <v/>
      </c>
      <c r="Y290">
        <f>HYPERLINK("https://klasma.github.io/Logging_1765/tillsynsmail/A 28418-2021 tillsynsbegäran mail.docx", "A 28418-2021")</f>
        <v/>
      </c>
    </row>
    <row r="291" ht="15" customHeight="1">
      <c r="A291" t="inlineStr">
        <is>
          <t>A 34188-2021</t>
        </is>
      </c>
      <c r="B291" s="1" t="n">
        <v>44379</v>
      </c>
      <c r="C291" s="1" t="n">
        <v>45222</v>
      </c>
      <c r="D291" t="inlineStr">
        <is>
          <t>VÄRMLANDS LÄN</t>
        </is>
      </c>
      <c r="E291" t="inlineStr">
        <is>
          <t>ÅRJÄNG</t>
        </is>
      </c>
      <c r="G291" t="n">
        <v>5.5</v>
      </c>
      <c r="H291" t="n">
        <v>1</v>
      </c>
      <c r="I291" t="n">
        <v>0</v>
      </c>
      <c r="J291" t="n">
        <v>1</v>
      </c>
      <c r="K291" t="n">
        <v>0</v>
      </c>
      <c r="L291" t="n">
        <v>0</v>
      </c>
      <c r="M291" t="n">
        <v>0</v>
      </c>
      <c r="N291" t="n">
        <v>0</v>
      </c>
      <c r="O291" t="n">
        <v>1</v>
      </c>
      <c r="P291" t="n">
        <v>0</v>
      </c>
      <c r="Q291" t="n">
        <v>1</v>
      </c>
      <c r="R291" s="2" t="inlineStr">
        <is>
          <t>Järpe</t>
        </is>
      </c>
      <c r="S291">
        <f>HYPERLINK("https://klasma.github.io/Logging_1765/artfynd/A 34188-2021 artfynd.xlsx", "A 34188-2021")</f>
        <v/>
      </c>
      <c r="T291">
        <f>HYPERLINK("https://klasma.github.io/Logging_1765/kartor/A 34188-2021 karta.png", "A 34188-2021")</f>
        <v/>
      </c>
      <c r="V291">
        <f>HYPERLINK("https://klasma.github.io/Logging_1765/klagomål/A 34188-2021 FSC-klagomål.docx", "A 34188-2021")</f>
        <v/>
      </c>
      <c r="W291">
        <f>HYPERLINK("https://klasma.github.io/Logging_1765/klagomålsmail/A 34188-2021 FSC-klagomål mail.docx", "A 34188-2021")</f>
        <v/>
      </c>
      <c r="X291">
        <f>HYPERLINK("https://klasma.github.io/Logging_1765/tillsyn/A 34188-2021 tillsynsbegäran.docx", "A 34188-2021")</f>
        <v/>
      </c>
      <c r="Y291">
        <f>HYPERLINK("https://klasma.github.io/Logging_1765/tillsynsmail/A 34188-2021 tillsynsbegäran mail.docx", "A 34188-2021")</f>
        <v/>
      </c>
    </row>
    <row r="292" ht="15" customHeight="1">
      <c r="A292" t="inlineStr">
        <is>
          <t>A 34853-2021</t>
        </is>
      </c>
      <c r="B292" s="1" t="n">
        <v>44383</v>
      </c>
      <c r="C292" s="1" t="n">
        <v>45222</v>
      </c>
      <c r="D292" t="inlineStr">
        <is>
          <t>VÄRMLANDS LÄN</t>
        </is>
      </c>
      <c r="E292" t="inlineStr">
        <is>
          <t>TORSBY</t>
        </is>
      </c>
      <c r="G292" t="n">
        <v>14.8</v>
      </c>
      <c r="H292" t="n">
        <v>1</v>
      </c>
      <c r="I292" t="n">
        <v>0</v>
      </c>
      <c r="J292" t="n">
        <v>1</v>
      </c>
      <c r="K292" t="n">
        <v>0</v>
      </c>
      <c r="L292" t="n">
        <v>0</v>
      </c>
      <c r="M292" t="n">
        <v>0</v>
      </c>
      <c r="N292" t="n">
        <v>0</v>
      </c>
      <c r="O292" t="n">
        <v>1</v>
      </c>
      <c r="P292" t="n">
        <v>0</v>
      </c>
      <c r="Q292" t="n">
        <v>1</v>
      </c>
      <c r="R292" s="2" t="inlineStr">
        <is>
          <t>Talltita</t>
        </is>
      </c>
      <c r="S292">
        <f>HYPERLINK("https://klasma.github.io/Logging_1737/artfynd/A 34853-2021 artfynd.xlsx", "A 34853-2021")</f>
        <v/>
      </c>
      <c r="T292">
        <f>HYPERLINK("https://klasma.github.io/Logging_1737/kartor/A 34853-2021 karta.png", "A 34853-2021")</f>
        <v/>
      </c>
      <c r="V292">
        <f>HYPERLINK("https://klasma.github.io/Logging_1737/klagomål/A 34853-2021 FSC-klagomål.docx", "A 34853-2021")</f>
        <v/>
      </c>
      <c r="W292">
        <f>HYPERLINK("https://klasma.github.io/Logging_1737/klagomålsmail/A 34853-2021 FSC-klagomål mail.docx", "A 34853-2021")</f>
        <v/>
      </c>
      <c r="X292">
        <f>HYPERLINK("https://klasma.github.io/Logging_1737/tillsyn/A 34853-2021 tillsynsbegäran.docx", "A 34853-2021")</f>
        <v/>
      </c>
      <c r="Y292">
        <f>HYPERLINK("https://klasma.github.io/Logging_1737/tillsynsmail/A 34853-2021 tillsynsbegäran mail.docx", "A 34853-2021")</f>
        <v/>
      </c>
    </row>
    <row r="293" ht="15" customHeight="1">
      <c r="A293" t="inlineStr">
        <is>
          <t>A 34876-2021</t>
        </is>
      </c>
      <c r="B293" s="1" t="n">
        <v>44383</v>
      </c>
      <c r="C293" s="1" t="n">
        <v>45222</v>
      </c>
      <c r="D293" t="inlineStr">
        <is>
          <t>VÄRMLANDS LÄN</t>
        </is>
      </c>
      <c r="E293" t="inlineStr">
        <is>
          <t>TORSBY</t>
        </is>
      </c>
      <c r="G293" t="n">
        <v>4.7</v>
      </c>
      <c r="H293" t="n">
        <v>0</v>
      </c>
      <c r="I293" t="n">
        <v>0</v>
      </c>
      <c r="J293" t="n">
        <v>1</v>
      </c>
      <c r="K293" t="n">
        <v>0</v>
      </c>
      <c r="L293" t="n">
        <v>0</v>
      </c>
      <c r="M293" t="n">
        <v>0</v>
      </c>
      <c r="N293" t="n">
        <v>0</v>
      </c>
      <c r="O293" t="n">
        <v>1</v>
      </c>
      <c r="P293" t="n">
        <v>0</v>
      </c>
      <c r="Q293" t="n">
        <v>1</v>
      </c>
      <c r="R293" s="2" t="inlineStr">
        <is>
          <t>Doftskinn</t>
        </is>
      </c>
      <c r="S293">
        <f>HYPERLINK("https://klasma.github.io/Logging_1737/artfynd/A 34876-2021 artfynd.xlsx", "A 34876-2021")</f>
        <v/>
      </c>
      <c r="T293">
        <f>HYPERLINK("https://klasma.github.io/Logging_1737/kartor/A 34876-2021 karta.png", "A 34876-2021")</f>
        <v/>
      </c>
      <c r="V293">
        <f>HYPERLINK("https://klasma.github.io/Logging_1737/klagomål/A 34876-2021 FSC-klagomål.docx", "A 34876-2021")</f>
        <v/>
      </c>
      <c r="W293">
        <f>HYPERLINK("https://klasma.github.io/Logging_1737/klagomålsmail/A 34876-2021 FSC-klagomål mail.docx", "A 34876-2021")</f>
        <v/>
      </c>
      <c r="X293">
        <f>HYPERLINK("https://klasma.github.io/Logging_1737/tillsyn/A 34876-2021 tillsynsbegäran.docx", "A 34876-2021")</f>
        <v/>
      </c>
      <c r="Y293">
        <f>HYPERLINK("https://klasma.github.io/Logging_1737/tillsynsmail/A 34876-2021 tillsynsbegäran mail.docx", "A 34876-2021")</f>
        <v/>
      </c>
    </row>
    <row r="294" ht="15" customHeight="1">
      <c r="A294" t="inlineStr">
        <is>
          <t>A 37342-2021</t>
        </is>
      </c>
      <c r="B294" s="1" t="n">
        <v>44397</v>
      </c>
      <c r="C294" s="1" t="n">
        <v>45222</v>
      </c>
      <c r="D294" t="inlineStr">
        <is>
          <t>VÄRMLANDS LÄN</t>
        </is>
      </c>
      <c r="E294" t="inlineStr">
        <is>
          <t>ARVIKA</t>
        </is>
      </c>
      <c r="G294" t="n">
        <v>3.5</v>
      </c>
      <c r="H294" t="n">
        <v>1</v>
      </c>
      <c r="I294" t="n">
        <v>0</v>
      </c>
      <c r="J294" t="n">
        <v>0</v>
      </c>
      <c r="K294" t="n">
        <v>1</v>
      </c>
      <c r="L294" t="n">
        <v>0</v>
      </c>
      <c r="M294" t="n">
        <v>0</v>
      </c>
      <c r="N294" t="n">
        <v>0</v>
      </c>
      <c r="O294" t="n">
        <v>1</v>
      </c>
      <c r="P294" t="n">
        <v>1</v>
      </c>
      <c r="Q294" t="n">
        <v>1</v>
      </c>
      <c r="R294" s="2" t="inlineStr">
        <is>
          <t>Knärot</t>
        </is>
      </c>
      <c r="S294">
        <f>HYPERLINK("https://klasma.github.io/Logging_1784/artfynd/A 37342-2021 artfynd.xlsx", "A 37342-2021")</f>
        <v/>
      </c>
      <c r="T294">
        <f>HYPERLINK("https://klasma.github.io/Logging_1784/kartor/A 37342-2021 karta.png", "A 37342-2021")</f>
        <v/>
      </c>
      <c r="U294">
        <f>HYPERLINK("https://klasma.github.io/Logging_1784/knärot/A 37342-2021 karta knärot.png", "A 37342-2021")</f>
        <v/>
      </c>
      <c r="V294">
        <f>HYPERLINK("https://klasma.github.io/Logging_1784/klagomål/A 37342-2021 FSC-klagomål.docx", "A 37342-2021")</f>
        <v/>
      </c>
      <c r="W294">
        <f>HYPERLINK("https://klasma.github.io/Logging_1784/klagomålsmail/A 37342-2021 FSC-klagomål mail.docx", "A 37342-2021")</f>
        <v/>
      </c>
      <c r="X294">
        <f>HYPERLINK("https://klasma.github.io/Logging_1784/tillsyn/A 37342-2021 tillsynsbegäran.docx", "A 37342-2021")</f>
        <v/>
      </c>
      <c r="Y294">
        <f>HYPERLINK("https://klasma.github.io/Logging_1784/tillsynsmail/A 37342-2021 tillsynsbegäran mail.docx", "A 37342-2021")</f>
        <v/>
      </c>
    </row>
    <row r="295" ht="15" customHeight="1">
      <c r="A295" t="inlineStr">
        <is>
          <t>A 40265-2021</t>
        </is>
      </c>
      <c r="B295" s="1" t="n">
        <v>44419</v>
      </c>
      <c r="C295" s="1" t="n">
        <v>45222</v>
      </c>
      <c r="D295" t="inlineStr">
        <is>
          <t>VÄRMLANDS LÄN</t>
        </is>
      </c>
      <c r="E295" t="inlineStr">
        <is>
          <t>TORSBY</t>
        </is>
      </c>
      <c r="F295" t="inlineStr">
        <is>
          <t>Bergvik skog väst AB</t>
        </is>
      </c>
      <c r="G295" t="n">
        <v>5.7</v>
      </c>
      <c r="H295" t="n">
        <v>1</v>
      </c>
      <c r="I295" t="n">
        <v>0</v>
      </c>
      <c r="J295" t="n">
        <v>1</v>
      </c>
      <c r="K295" t="n">
        <v>0</v>
      </c>
      <c r="L295" t="n">
        <v>0</v>
      </c>
      <c r="M295" t="n">
        <v>0</v>
      </c>
      <c r="N295" t="n">
        <v>0</v>
      </c>
      <c r="O295" t="n">
        <v>1</v>
      </c>
      <c r="P295" t="n">
        <v>0</v>
      </c>
      <c r="Q295" t="n">
        <v>1</v>
      </c>
      <c r="R295" s="2" t="inlineStr">
        <is>
          <t>Nordfladdermus</t>
        </is>
      </c>
      <c r="S295">
        <f>HYPERLINK("https://klasma.github.io/Logging_1737/artfynd/A 40265-2021 artfynd.xlsx", "A 40265-2021")</f>
        <v/>
      </c>
      <c r="T295">
        <f>HYPERLINK("https://klasma.github.io/Logging_1737/kartor/A 40265-2021 karta.png", "A 40265-2021")</f>
        <v/>
      </c>
      <c r="V295">
        <f>HYPERLINK("https://klasma.github.io/Logging_1737/klagomål/A 40265-2021 FSC-klagomål.docx", "A 40265-2021")</f>
        <v/>
      </c>
      <c r="W295">
        <f>HYPERLINK("https://klasma.github.io/Logging_1737/klagomålsmail/A 40265-2021 FSC-klagomål mail.docx", "A 40265-2021")</f>
        <v/>
      </c>
      <c r="X295">
        <f>HYPERLINK("https://klasma.github.io/Logging_1737/tillsyn/A 40265-2021 tillsynsbegäran.docx", "A 40265-2021")</f>
        <v/>
      </c>
      <c r="Y295">
        <f>HYPERLINK("https://klasma.github.io/Logging_1737/tillsynsmail/A 40265-2021 tillsynsbegäran mail.docx", "A 40265-2021")</f>
        <v/>
      </c>
    </row>
    <row r="296" ht="15" customHeight="1">
      <c r="A296" t="inlineStr">
        <is>
          <t>A 42209-2021</t>
        </is>
      </c>
      <c r="B296" s="1" t="n">
        <v>44426</v>
      </c>
      <c r="C296" s="1" t="n">
        <v>45222</v>
      </c>
      <c r="D296" t="inlineStr">
        <is>
          <t>VÄRMLANDS LÄN</t>
        </is>
      </c>
      <c r="E296" t="inlineStr">
        <is>
          <t>KIL</t>
        </is>
      </c>
      <c r="G296" t="n">
        <v>8.300000000000001</v>
      </c>
      <c r="H296" t="n">
        <v>0</v>
      </c>
      <c r="I296" t="n">
        <v>0</v>
      </c>
      <c r="J296" t="n">
        <v>1</v>
      </c>
      <c r="K296" t="n">
        <v>0</v>
      </c>
      <c r="L296" t="n">
        <v>0</v>
      </c>
      <c r="M296" t="n">
        <v>0</v>
      </c>
      <c r="N296" t="n">
        <v>0</v>
      </c>
      <c r="O296" t="n">
        <v>1</v>
      </c>
      <c r="P296" t="n">
        <v>0</v>
      </c>
      <c r="Q296" t="n">
        <v>1</v>
      </c>
      <c r="R296" s="2" t="inlineStr">
        <is>
          <t>Tallticka</t>
        </is>
      </c>
      <c r="S296">
        <f>HYPERLINK("https://klasma.github.io/Logging_1715/artfynd/A 42209-2021 artfynd.xlsx", "A 42209-2021")</f>
        <v/>
      </c>
      <c r="T296">
        <f>HYPERLINK("https://klasma.github.io/Logging_1715/kartor/A 42209-2021 karta.png", "A 42209-2021")</f>
        <v/>
      </c>
      <c r="V296">
        <f>HYPERLINK("https://klasma.github.io/Logging_1715/klagomål/A 42209-2021 FSC-klagomål.docx", "A 42209-2021")</f>
        <v/>
      </c>
      <c r="W296">
        <f>HYPERLINK("https://klasma.github.io/Logging_1715/klagomålsmail/A 42209-2021 FSC-klagomål mail.docx", "A 42209-2021")</f>
        <v/>
      </c>
      <c r="X296">
        <f>HYPERLINK("https://klasma.github.io/Logging_1715/tillsyn/A 42209-2021 tillsynsbegäran.docx", "A 42209-2021")</f>
        <v/>
      </c>
      <c r="Y296">
        <f>HYPERLINK("https://klasma.github.io/Logging_1715/tillsynsmail/A 42209-2021 tillsynsbegäran mail.docx", "A 42209-2021")</f>
        <v/>
      </c>
    </row>
    <row r="297" ht="15" customHeight="1">
      <c r="A297" t="inlineStr">
        <is>
          <t>A 45073-2021</t>
        </is>
      </c>
      <c r="B297" s="1" t="n">
        <v>44438</v>
      </c>
      <c r="C297" s="1" t="n">
        <v>45222</v>
      </c>
      <c r="D297" t="inlineStr">
        <is>
          <t>VÄRMLANDS LÄN</t>
        </is>
      </c>
      <c r="E297" t="inlineStr">
        <is>
          <t>HAGFORS</t>
        </is>
      </c>
      <c r="F297" t="inlineStr">
        <is>
          <t>Kyrkan</t>
        </is>
      </c>
      <c r="G297" t="n">
        <v>0.6</v>
      </c>
      <c r="H297" t="n">
        <v>0</v>
      </c>
      <c r="I297" t="n">
        <v>1</v>
      </c>
      <c r="J297" t="n">
        <v>0</v>
      </c>
      <c r="K297" t="n">
        <v>0</v>
      </c>
      <c r="L297" t="n">
        <v>0</v>
      </c>
      <c r="M297" t="n">
        <v>0</v>
      </c>
      <c r="N297" t="n">
        <v>0</v>
      </c>
      <c r="O297" t="n">
        <v>0</v>
      </c>
      <c r="P297" t="n">
        <v>0</v>
      </c>
      <c r="Q297" t="n">
        <v>1</v>
      </c>
      <c r="R297" s="2" t="inlineStr">
        <is>
          <t>Vedticka</t>
        </is>
      </c>
      <c r="S297">
        <f>HYPERLINK("https://klasma.github.io/Logging_1783/artfynd/A 45073-2021 artfynd.xlsx", "A 45073-2021")</f>
        <v/>
      </c>
      <c r="T297">
        <f>HYPERLINK("https://klasma.github.io/Logging_1783/kartor/A 45073-2021 karta.png", "A 45073-2021")</f>
        <v/>
      </c>
      <c r="V297">
        <f>HYPERLINK("https://klasma.github.io/Logging_1783/klagomål/A 45073-2021 FSC-klagomål.docx", "A 45073-2021")</f>
        <v/>
      </c>
      <c r="W297">
        <f>HYPERLINK("https://klasma.github.io/Logging_1783/klagomålsmail/A 45073-2021 FSC-klagomål mail.docx", "A 45073-2021")</f>
        <v/>
      </c>
      <c r="X297">
        <f>HYPERLINK("https://klasma.github.io/Logging_1783/tillsyn/A 45073-2021 tillsynsbegäran.docx", "A 45073-2021")</f>
        <v/>
      </c>
      <c r="Y297">
        <f>HYPERLINK("https://klasma.github.io/Logging_1783/tillsynsmail/A 45073-2021 tillsynsbegäran mail.docx", "A 45073-2021")</f>
        <v/>
      </c>
    </row>
    <row r="298" ht="15" customHeight="1">
      <c r="A298" t="inlineStr">
        <is>
          <t>A 47134-2021</t>
        </is>
      </c>
      <c r="B298" s="1" t="n">
        <v>44446</v>
      </c>
      <c r="C298" s="1" t="n">
        <v>45222</v>
      </c>
      <c r="D298" t="inlineStr">
        <is>
          <t>VÄRMLANDS LÄN</t>
        </is>
      </c>
      <c r="E298" t="inlineStr">
        <is>
          <t>KARLSTAD</t>
        </is>
      </c>
      <c r="G298" t="n">
        <v>5</v>
      </c>
      <c r="H298" t="n">
        <v>1</v>
      </c>
      <c r="I298" t="n">
        <v>0</v>
      </c>
      <c r="J298" t="n">
        <v>0</v>
      </c>
      <c r="K298" t="n">
        <v>0</v>
      </c>
      <c r="L298" t="n">
        <v>0</v>
      </c>
      <c r="M298" t="n">
        <v>0</v>
      </c>
      <c r="N298" t="n">
        <v>0</v>
      </c>
      <c r="O298" t="n">
        <v>0</v>
      </c>
      <c r="P298" t="n">
        <v>0</v>
      </c>
      <c r="Q298" t="n">
        <v>1</v>
      </c>
      <c r="R298" s="2" t="inlineStr">
        <is>
          <t>Lopplummer</t>
        </is>
      </c>
      <c r="S298">
        <f>HYPERLINK("https://klasma.github.io/Logging_1780/artfynd/A 47134-2021 artfynd.xlsx", "A 47134-2021")</f>
        <v/>
      </c>
      <c r="T298">
        <f>HYPERLINK("https://klasma.github.io/Logging_1780/kartor/A 47134-2021 karta.png", "A 47134-2021")</f>
        <v/>
      </c>
      <c r="V298">
        <f>HYPERLINK("https://klasma.github.io/Logging_1780/klagomål/A 47134-2021 FSC-klagomål.docx", "A 47134-2021")</f>
        <v/>
      </c>
      <c r="W298">
        <f>HYPERLINK("https://klasma.github.io/Logging_1780/klagomålsmail/A 47134-2021 FSC-klagomål mail.docx", "A 47134-2021")</f>
        <v/>
      </c>
      <c r="X298">
        <f>HYPERLINK("https://klasma.github.io/Logging_1780/tillsyn/A 47134-2021 tillsynsbegäran.docx", "A 47134-2021")</f>
        <v/>
      </c>
      <c r="Y298">
        <f>HYPERLINK("https://klasma.github.io/Logging_1780/tillsynsmail/A 47134-2021 tillsynsbegäran mail.docx", "A 47134-2021")</f>
        <v/>
      </c>
    </row>
    <row r="299" ht="15" customHeight="1">
      <c r="A299" t="inlineStr">
        <is>
          <t>A 46893-2021</t>
        </is>
      </c>
      <c r="B299" s="1" t="n">
        <v>44446</v>
      </c>
      <c r="C299" s="1" t="n">
        <v>45222</v>
      </c>
      <c r="D299" t="inlineStr">
        <is>
          <t>VÄRMLANDS LÄN</t>
        </is>
      </c>
      <c r="E299" t="inlineStr">
        <is>
          <t>SÄFFLE</t>
        </is>
      </c>
      <c r="G299" t="n">
        <v>5.4</v>
      </c>
      <c r="H299" t="n">
        <v>0</v>
      </c>
      <c r="I299" t="n">
        <v>0</v>
      </c>
      <c r="J299" t="n">
        <v>0</v>
      </c>
      <c r="K299" t="n">
        <v>1</v>
      </c>
      <c r="L299" t="n">
        <v>0</v>
      </c>
      <c r="M299" t="n">
        <v>0</v>
      </c>
      <c r="N299" t="n">
        <v>0</v>
      </c>
      <c r="O299" t="n">
        <v>1</v>
      </c>
      <c r="P299" t="n">
        <v>1</v>
      </c>
      <c r="Q299" t="n">
        <v>1</v>
      </c>
      <c r="R299" s="2" t="inlineStr">
        <is>
          <t>Slåttergubbe</t>
        </is>
      </c>
      <c r="S299">
        <f>HYPERLINK("https://klasma.github.io/Logging_1785/artfynd/A 46893-2021 artfynd.xlsx", "A 46893-2021")</f>
        <v/>
      </c>
      <c r="T299">
        <f>HYPERLINK("https://klasma.github.io/Logging_1785/kartor/A 46893-2021 karta.png", "A 46893-2021")</f>
        <v/>
      </c>
      <c r="V299">
        <f>HYPERLINK("https://klasma.github.io/Logging_1785/klagomål/A 46893-2021 FSC-klagomål.docx", "A 46893-2021")</f>
        <v/>
      </c>
      <c r="W299">
        <f>HYPERLINK("https://klasma.github.io/Logging_1785/klagomålsmail/A 46893-2021 FSC-klagomål mail.docx", "A 46893-2021")</f>
        <v/>
      </c>
      <c r="X299">
        <f>HYPERLINK("https://klasma.github.io/Logging_1785/tillsyn/A 46893-2021 tillsynsbegäran.docx", "A 46893-2021")</f>
        <v/>
      </c>
      <c r="Y299">
        <f>HYPERLINK("https://klasma.github.io/Logging_1785/tillsynsmail/A 46893-2021 tillsynsbegäran mail.docx", "A 46893-2021")</f>
        <v/>
      </c>
    </row>
    <row r="300" ht="15" customHeight="1">
      <c r="A300" t="inlineStr">
        <is>
          <t>A 48327-2021</t>
        </is>
      </c>
      <c r="B300" s="1" t="n">
        <v>44450</v>
      </c>
      <c r="C300" s="1" t="n">
        <v>45222</v>
      </c>
      <c r="D300" t="inlineStr">
        <is>
          <t>VÄRMLANDS LÄN</t>
        </is>
      </c>
      <c r="E300" t="inlineStr">
        <is>
          <t>SÄFFLE</t>
        </is>
      </c>
      <c r="G300" t="n">
        <v>2.2</v>
      </c>
      <c r="H300" t="n">
        <v>0</v>
      </c>
      <c r="I300" t="n">
        <v>0</v>
      </c>
      <c r="J300" t="n">
        <v>1</v>
      </c>
      <c r="K300" t="n">
        <v>0</v>
      </c>
      <c r="L300" t="n">
        <v>0</v>
      </c>
      <c r="M300" t="n">
        <v>0</v>
      </c>
      <c r="N300" t="n">
        <v>0</v>
      </c>
      <c r="O300" t="n">
        <v>1</v>
      </c>
      <c r="P300" t="n">
        <v>0</v>
      </c>
      <c r="Q300" t="n">
        <v>1</v>
      </c>
      <c r="R300" s="2" t="inlineStr">
        <is>
          <t>Skogsklocka</t>
        </is>
      </c>
      <c r="S300">
        <f>HYPERLINK("https://klasma.github.io/Logging_1785/artfynd/A 48327-2021 artfynd.xlsx", "A 48327-2021")</f>
        <v/>
      </c>
      <c r="T300">
        <f>HYPERLINK("https://klasma.github.io/Logging_1785/kartor/A 48327-2021 karta.png", "A 48327-2021")</f>
        <v/>
      </c>
      <c r="V300">
        <f>HYPERLINK("https://klasma.github.io/Logging_1785/klagomål/A 48327-2021 FSC-klagomål.docx", "A 48327-2021")</f>
        <v/>
      </c>
      <c r="W300">
        <f>HYPERLINK("https://klasma.github.io/Logging_1785/klagomålsmail/A 48327-2021 FSC-klagomål mail.docx", "A 48327-2021")</f>
        <v/>
      </c>
      <c r="X300">
        <f>HYPERLINK("https://klasma.github.io/Logging_1785/tillsyn/A 48327-2021 tillsynsbegäran.docx", "A 48327-2021")</f>
        <v/>
      </c>
      <c r="Y300">
        <f>HYPERLINK("https://klasma.github.io/Logging_1785/tillsynsmail/A 48327-2021 tillsynsbegäran mail.docx", "A 48327-2021")</f>
        <v/>
      </c>
    </row>
    <row r="301" ht="15" customHeight="1">
      <c r="A301" t="inlineStr">
        <is>
          <t>A 48420-2021</t>
        </is>
      </c>
      <c r="B301" s="1" t="n">
        <v>44452</v>
      </c>
      <c r="C301" s="1" t="n">
        <v>45222</v>
      </c>
      <c r="D301" t="inlineStr">
        <is>
          <t>VÄRMLANDS LÄN</t>
        </is>
      </c>
      <c r="E301" t="inlineStr">
        <is>
          <t>EDA</t>
        </is>
      </c>
      <c r="G301" t="n">
        <v>21.7</v>
      </c>
      <c r="H301" t="n">
        <v>0</v>
      </c>
      <c r="I301" t="n">
        <v>1</v>
      </c>
      <c r="J301" t="n">
        <v>0</v>
      </c>
      <c r="K301" t="n">
        <v>0</v>
      </c>
      <c r="L301" t="n">
        <v>0</v>
      </c>
      <c r="M301" t="n">
        <v>0</v>
      </c>
      <c r="N301" t="n">
        <v>0</v>
      </c>
      <c r="O301" t="n">
        <v>0</v>
      </c>
      <c r="P301" t="n">
        <v>0</v>
      </c>
      <c r="Q301" t="n">
        <v>1</v>
      </c>
      <c r="R301" s="2" t="inlineStr">
        <is>
          <t>Dropptaggsvamp</t>
        </is>
      </c>
      <c r="S301">
        <f>HYPERLINK("https://klasma.github.io/Logging_1730/artfynd/A 48420-2021 artfynd.xlsx", "A 48420-2021")</f>
        <v/>
      </c>
      <c r="T301">
        <f>HYPERLINK("https://klasma.github.io/Logging_1730/kartor/A 48420-2021 karta.png", "A 48420-2021")</f>
        <v/>
      </c>
      <c r="V301">
        <f>HYPERLINK("https://klasma.github.io/Logging_1730/klagomål/A 48420-2021 FSC-klagomål.docx", "A 48420-2021")</f>
        <v/>
      </c>
      <c r="W301">
        <f>HYPERLINK("https://klasma.github.io/Logging_1730/klagomålsmail/A 48420-2021 FSC-klagomål mail.docx", "A 48420-2021")</f>
        <v/>
      </c>
      <c r="X301">
        <f>HYPERLINK("https://klasma.github.io/Logging_1730/tillsyn/A 48420-2021 tillsynsbegäran.docx", "A 48420-2021")</f>
        <v/>
      </c>
      <c r="Y301">
        <f>HYPERLINK("https://klasma.github.io/Logging_1730/tillsynsmail/A 48420-2021 tillsynsbegäran mail.docx", "A 48420-2021")</f>
        <v/>
      </c>
    </row>
    <row r="302" ht="15" customHeight="1">
      <c r="A302" t="inlineStr">
        <is>
          <t>A 49110-2021</t>
        </is>
      </c>
      <c r="B302" s="1" t="n">
        <v>44453</v>
      </c>
      <c r="C302" s="1" t="n">
        <v>45222</v>
      </c>
      <c r="D302" t="inlineStr">
        <is>
          <t>VÄRMLANDS LÄN</t>
        </is>
      </c>
      <c r="E302" t="inlineStr">
        <is>
          <t>TORSBY</t>
        </is>
      </c>
      <c r="G302" t="n">
        <v>33.8</v>
      </c>
      <c r="H302" t="n">
        <v>0</v>
      </c>
      <c r="I302" t="n">
        <v>1</v>
      </c>
      <c r="J302" t="n">
        <v>0</v>
      </c>
      <c r="K302" t="n">
        <v>0</v>
      </c>
      <c r="L302" t="n">
        <v>0</v>
      </c>
      <c r="M302" t="n">
        <v>0</v>
      </c>
      <c r="N302" t="n">
        <v>0</v>
      </c>
      <c r="O302" t="n">
        <v>0</v>
      </c>
      <c r="P302" t="n">
        <v>0</v>
      </c>
      <c r="Q302" t="n">
        <v>1</v>
      </c>
      <c r="R302" s="2" t="inlineStr">
        <is>
          <t>Vedticka</t>
        </is>
      </c>
      <c r="S302">
        <f>HYPERLINK("https://klasma.github.io/Logging_1737/artfynd/A 49110-2021 artfynd.xlsx", "A 49110-2021")</f>
        <v/>
      </c>
      <c r="T302">
        <f>HYPERLINK("https://klasma.github.io/Logging_1737/kartor/A 49110-2021 karta.png", "A 49110-2021")</f>
        <v/>
      </c>
      <c r="V302">
        <f>HYPERLINK("https://klasma.github.io/Logging_1737/klagomål/A 49110-2021 FSC-klagomål.docx", "A 49110-2021")</f>
        <v/>
      </c>
      <c r="W302">
        <f>HYPERLINK("https://klasma.github.io/Logging_1737/klagomålsmail/A 49110-2021 FSC-klagomål mail.docx", "A 49110-2021")</f>
        <v/>
      </c>
      <c r="X302">
        <f>HYPERLINK("https://klasma.github.io/Logging_1737/tillsyn/A 49110-2021 tillsynsbegäran.docx", "A 49110-2021")</f>
        <v/>
      </c>
      <c r="Y302">
        <f>HYPERLINK("https://klasma.github.io/Logging_1737/tillsynsmail/A 49110-2021 tillsynsbegäran mail.docx", "A 49110-2021")</f>
        <v/>
      </c>
    </row>
    <row r="303" ht="15" customHeight="1">
      <c r="A303" t="inlineStr">
        <is>
          <t>A 54982-2021</t>
        </is>
      </c>
      <c r="B303" s="1" t="n">
        <v>44469</v>
      </c>
      <c r="C303" s="1" t="n">
        <v>45222</v>
      </c>
      <c r="D303" t="inlineStr">
        <is>
          <t>VÄRMLANDS LÄN</t>
        </is>
      </c>
      <c r="E303" t="inlineStr">
        <is>
          <t>TORSBY</t>
        </is>
      </c>
      <c r="G303" t="n">
        <v>4.1</v>
      </c>
      <c r="H303" t="n">
        <v>0</v>
      </c>
      <c r="I303" t="n">
        <v>1</v>
      </c>
      <c r="J303" t="n">
        <v>0</v>
      </c>
      <c r="K303" t="n">
        <v>0</v>
      </c>
      <c r="L303" t="n">
        <v>0</v>
      </c>
      <c r="M303" t="n">
        <v>0</v>
      </c>
      <c r="N303" t="n">
        <v>0</v>
      </c>
      <c r="O303" t="n">
        <v>0</v>
      </c>
      <c r="P303" t="n">
        <v>0</v>
      </c>
      <c r="Q303" t="n">
        <v>1</v>
      </c>
      <c r="R303" s="2" t="inlineStr">
        <is>
          <t>Tibast</t>
        </is>
      </c>
      <c r="S303">
        <f>HYPERLINK("https://klasma.github.io/Logging_1737/artfynd/A 54982-2021 artfynd.xlsx", "A 54982-2021")</f>
        <v/>
      </c>
      <c r="T303">
        <f>HYPERLINK("https://klasma.github.io/Logging_1737/kartor/A 54982-2021 karta.png", "A 54982-2021")</f>
        <v/>
      </c>
      <c r="V303">
        <f>HYPERLINK("https://klasma.github.io/Logging_1737/klagomål/A 54982-2021 FSC-klagomål.docx", "A 54982-2021")</f>
        <v/>
      </c>
      <c r="W303">
        <f>HYPERLINK("https://klasma.github.io/Logging_1737/klagomålsmail/A 54982-2021 FSC-klagomål mail.docx", "A 54982-2021")</f>
        <v/>
      </c>
      <c r="X303">
        <f>HYPERLINK("https://klasma.github.io/Logging_1737/tillsyn/A 54982-2021 tillsynsbegäran.docx", "A 54982-2021")</f>
        <v/>
      </c>
      <c r="Y303">
        <f>HYPERLINK("https://klasma.github.io/Logging_1737/tillsynsmail/A 54982-2021 tillsynsbegäran mail.docx", "A 54982-2021")</f>
        <v/>
      </c>
    </row>
    <row r="304" ht="15" customHeight="1">
      <c r="A304" t="inlineStr">
        <is>
          <t>A 55264-2021</t>
        </is>
      </c>
      <c r="B304" s="1" t="n">
        <v>44475</v>
      </c>
      <c r="C304" s="1" t="n">
        <v>45222</v>
      </c>
      <c r="D304" t="inlineStr">
        <is>
          <t>VÄRMLANDS LÄN</t>
        </is>
      </c>
      <c r="E304" t="inlineStr">
        <is>
          <t>KARLSTAD</t>
        </is>
      </c>
      <c r="F304" t="inlineStr">
        <is>
          <t>Kommuner</t>
        </is>
      </c>
      <c r="G304" t="n">
        <v>4</v>
      </c>
      <c r="H304" t="n">
        <v>0</v>
      </c>
      <c r="I304" t="n">
        <v>1</v>
      </c>
      <c r="J304" t="n">
        <v>0</v>
      </c>
      <c r="K304" t="n">
        <v>0</v>
      </c>
      <c r="L304" t="n">
        <v>0</v>
      </c>
      <c r="M304" t="n">
        <v>0</v>
      </c>
      <c r="N304" t="n">
        <v>0</v>
      </c>
      <c r="O304" t="n">
        <v>0</v>
      </c>
      <c r="P304" t="n">
        <v>0</v>
      </c>
      <c r="Q304" t="n">
        <v>1</v>
      </c>
      <c r="R304" s="2" t="inlineStr">
        <is>
          <t>Vedticka</t>
        </is>
      </c>
      <c r="S304">
        <f>HYPERLINK("https://klasma.github.io/Logging_1780/artfynd/A 55264-2021 artfynd.xlsx", "A 55264-2021")</f>
        <v/>
      </c>
      <c r="T304">
        <f>HYPERLINK("https://klasma.github.io/Logging_1780/kartor/A 55264-2021 karta.png", "A 55264-2021")</f>
        <v/>
      </c>
      <c r="V304">
        <f>HYPERLINK("https://klasma.github.io/Logging_1780/klagomål/A 55264-2021 FSC-klagomål.docx", "A 55264-2021")</f>
        <v/>
      </c>
      <c r="W304">
        <f>HYPERLINK("https://klasma.github.io/Logging_1780/klagomålsmail/A 55264-2021 FSC-klagomål mail.docx", "A 55264-2021")</f>
        <v/>
      </c>
      <c r="X304">
        <f>HYPERLINK("https://klasma.github.io/Logging_1780/tillsyn/A 55264-2021 tillsynsbegäran.docx", "A 55264-2021")</f>
        <v/>
      </c>
      <c r="Y304">
        <f>HYPERLINK("https://klasma.github.io/Logging_1780/tillsynsmail/A 55264-2021 tillsynsbegäran mail.docx", "A 55264-2021")</f>
        <v/>
      </c>
    </row>
    <row r="305" ht="15" customHeight="1">
      <c r="A305" t="inlineStr">
        <is>
          <t>A 55210-2021</t>
        </is>
      </c>
      <c r="B305" s="1" t="n">
        <v>44475</v>
      </c>
      <c r="C305" s="1" t="n">
        <v>45222</v>
      </c>
      <c r="D305" t="inlineStr">
        <is>
          <t>VÄRMLANDS LÄN</t>
        </is>
      </c>
      <c r="E305" t="inlineStr">
        <is>
          <t>KARLSTAD</t>
        </is>
      </c>
      <c r="F305" t="inlineStr">
        <is>
          <t>Kommuner</t>
        </is>
      </c>
      <c r="G305" t="n">
        <v>3.9</v>
      </c>
      <c r="H305" t="n">
        <v>0</v>
      </c>
      <c r="I305" t="n">
        <v>0</v>
      </c>
      <c r="J305" t="n">
        <v>1</v>
      </c>
      <c r="K305" t="n">
        <v>0</v>
      </c>
      <c r="L305" t="n">
        <v>0</v>
      </c>
      <c r="M305" t="n">
        <v>0</v>
      </c>
      <c r="N305" t="n">
        <v>0</v>
      </c>
      <c r="O305" t="n">
        <v>1</v>
      </c>
      <c r="P305" t="n">
        <v>0</v>
      </c>
      <c r="Q305" t="n">
        <v>1</v>
      </c>
      <c r="R305" s="2" t="inlineStr">
        <is>
          <t>Tallticka</t>
        </is>
      </c>
      <c r="S305">
        <f>HYPERLINK("https://klasma.github.io/Logging_1780/artfynd/A 55210-2021 artfynd.xlsx", "A 55210-2021")</f>
        <v/>
      </c>
      <c r="T305">
        <f>HYPERLINK("https://klasma.github.io/Logging_1780/kartor/A 55210-2021 karta.png", "A 55210-2021")</f>
        <v/>
      </c>
      <c r="V305">
        <f>HYPERLINK("https://klasma.github.io/Logging_1780/klagomål/A 55210-2021 FSC-klagomål.docx", "A 55210-2021")</f>
        <v/>
      </c>
      <c r="W305">
        <f>HYPERLINK("https://klasma.github.io/Logging_1780/klagomålsmail/A 55210-2021 FSC-klagomål mail.docx", "A 55210-2021")</f>
        <v/>
      </c>
      <c r="X305">
        <f>HYPERLINK("https://klasma.github.io/Logging_1780/tillsyn/A 55210-2021 tillsynsbegäran.docx", "A 55210-2021")</f>
        <v/>
      </c>
      <c r="Y305">
        <f>HYPERLINK("https://klasma.github.io/Logging_1780/tillsynsmail/A 55210-2021 tillsynsbegäran mail.docx", "A 55210-2021")</f>
        <v/>
      </c>
    </row>
    <row r="306" ht="15" customHeight="1">
      <c r="A306" t="inlineStr">
        <is>
          <t>A 56872-2021</t>
        </is>
      </c>
      <c r="B306" s="1" t="n">
        <v>44481</v>
      </c>
      <c r="C306" s="1" t="n">
        <v>45222</v>
      </c>
      <c r="D306" t="inlineStr">
        <is>
          <t>VÄRMLANDS LÄN</t>
        </is>
      </c>
      <c r="E306" t="inlineStr">
        <is>
          <t>ARVIKA</t>
        </is>
      </c>
      <c r="G306" t="n">
        <v>1.4</v>
      </c>
      <c r="H306" t="n">
        <v>1</v>
      </c>
      <c r="I306" t="n">
        <v>0</v>
      </c>
      <c r="J306" t="n">
        <v>0</v>
      </c>
      <c r="K306" t="n">
        <v>1</v>
      </c>
      <c r="L306" t="n">
        <v>0</v>
      </c>
      <c r="M306" t="n">
        <v>0</v>
      </c>
      <c r="N306" t="n">
        <v>0</v>
      </c>
      <c r="O306" t="n">
        <v>1</v>
      </c>
      <c r="P306" t="n">
        <v>1</v>
      </c>
      <c r="Q306" t="n">
        <v>1</v>
      </c>
      <c r="R306" s="2" t="inlineStr">
        <is>
          <t>Knärot</t>
        </is>
      </c>
      <c r="S306">
        <f>HYPERLINK("https://klasma.github.io/Logging_1784/artfynd/A 56872-2021 artfynd.xlsx", "A 56872-2021")</f>
        <v/>
      </c>
      <c r="T306">
        <f>HYPERLINK("https://klasma.github.io/Logging_1784/kartor/A 56872-2021 karta.png", "A 56872-2021")</f>
        <v/>
      </c>
      <c r="U306">
        <f>HYPERLINK("https://klasma.github.io/Logging_1784/knärot/A 56872-2021 karta knärot.png", "A 56872-2021")</f>
        <v/>
      </c>
      <c r="V306">
        <f>HYPERLINK("https://klasma.github.io/Logging_1784/klagomål/A 56872-2021 FSC-klagomål.docx", "A 56872-2021")</f>
        <v/>
      </c>
      <c r="W306">
        <f>HYPERLINK("https://klasma.github.io/Logging_1784/klagomålsmail/A 56872-2021 FSC-klagomål mail.docx", "A 56872-2021")</f>
        <v/>
      </c>
      <c r="X306">
        <f>HYPERLINK("https://klasma.github.io/Logging_1784/tillsyn/A 56872-2021 tillsynsbegäran.docx", "A 56872-2021")</f>
        <v/>
      </c>
      <c r="Y306">
        <f>HYPERLINK("https://klasma.github.io/Logging_1784/tillsynsmail/A 56872-2021 tillsynsbegäran mail.docx", "A 56872-2021")</f>
        <v/>
      </c>
    </row>
    <row r="307" ht="15" customHeight="1">
      <c r="A307" t="inlineStr">
        <is>
          <t>A 58471-2021</t>
        </is>
      </c>
      <c r="B307" s="1" t="n">
        <v>44488</v>
      </c>
      <c r="C307" s="1" t="n">
        <v>45222</v>
      </c>
      <c r="D307" t="inlineStr">
        <is>
          <t>VÄRMLANDS LÄN</t>
        </is>
      </c>
      <c r="E307" t="inlineStr">
        <is>
          <t>TORSBY</t>
        </is>
      </c>
      <c r="G307" t="n">
        <v>2.5</v>
      </c>
      <c r="H307" t="n">
        <v>0</v>
      </c>
      <c r="I307" t="n">
        <v>1</v>
      </c>
      <c r="J307" t="n">
        <v>0</v>
      </c>
      <c r="K307" t="n">
        <v>0</v>
      </c>
      <c r="L307" t="n">
        <v>0</v>
      </c>
      <c r="M307" t="n">
        <v>0</v>
      </c>
      <c r="N307" t="n">
        <v>0</v>
      </c>
      <c r="O307" t="n">
        <v>0</v>
      </c>
      <c r="P307" t="n">
        <v>0</v>
      </c>
      <c r="Q307" t="n">
        <v>1</v>
      </c>
      <c r="R307" s="2" t="inlineStr">
        <is>
          <t>Korallblylav</t>
        </is>
      </c>
      <c r="S307">
        <f>HYPERLINK("https://klasma.github.io/Logging_1737/artfynd/A 58471-2021 artfynd.xlsx", "A 58471-2021")</f>
        <v/>
      </c>
      <c r="T307">
        <f>HYPERLINK("https://klasma.github.io/Logging_1737/kartor/A 58471-2021 karta.png", "A 58471-2021")</f>
        <v/>
      </c>
      <c r="V307">
        <f>HYPERLINK("https://klasma.github.io/Logging_1737/klagomål/A 58471-2021 FSC-klagomål.docx", "A 58471-2021")</f>
        <v/>
      </c>
      <c r="W307">
        <f>HYPERLINK("https://klasma.github.io/Logging_1737/klagomålsmail/A 58471-2021 FSC-klagomål mail.docx", "A 58471-2021")</f>
        <v/>
      </c>
      <c r="X307">
        <f>HYPERLINK("https://klasma.github.io/Logging_1737/tillsyn/A 58471-2021 tillsynsbegäran.docx", "A 58471-2021")</f>
        <v/>
      </c>
      <c r="Y307">
        <f>HYPERLINK("https://klasma.github.io/Logging_1737/tillsynsmail/A 58471-2021 tillsynsbegäran mail.docx", "A 58471-2021")</f>
        <v/>
      </c>
    </row>
    <row r="308" ht="15" customHeight="1">
      <c r="A308" t="inlineStr">
        <is>
          <t>A 61813-2021</t>
        </is>
      </c>
      <c r="B308" s="1" t="n">
        <v>44501</v>
      </c>
      <c r="C308" s="1" t="n">
        <v>45222</v>
      </c>
      <c r="D308" t="inlineStr">
        <is>
          <t>VÄRMLANDS LÄN</t>
        </is>
      </c>
      <c r="E308" t="inlineStr">
        <is>
          <t>TORSBY</t>
        </is>
      </c>
      <c r="G308" t="n">
        <v>4.9</v>
      </c>
      <c r="H308" t="n">
        <v>0</v>
      </c>
      <c r="I308" t="n">
        <v>0</v>
      </c>
      <c r="J308" t="n">
        <v>1</v>
      </c>
      <c r="K308" t="n">
        <v>0</v>
      </c>
      <c r="L308" t="n">
        <v>0</v>
      </c>
      <c r="M308" t="n">
        <v>0</v>
      </c>
      <c r="N308" t="n">
        <v>0</v>
      </c>
      <c r="O308" t="n">
        <v>1</v>
      </c>
      <c r="P308" t="n">
        <v>0</v>
      </c>
      <c r="Q308" t="n">
        <v>1</v>
      </c>
      <c r="R308" s="2" t="inlineStr">
        <is>
          <t>Tallticka</t>
        </is>
      </c>
      <c r="S308">
        <f>HYPERLINK("https://klasma.github.io/Logging_1737/artfynd/A 61813-2021 artfynd.xlsx", "A 61813-2021")</f>
        <v/>
      </c>
      <c r="T308">
        <f>HYPERLINK("https://klasma.github.io/Logging_1737/kartor/A 61813-2021 karta.png", "A 61813-2021")</f>
        <v/>
      </c>
      <c r="V308">
        <f>HYPERLINK("https://klasma.github.io/Logging_1737/klagomål/A 61813-2021 FSC-klagomål.docx", "A 61813-2021")</f>
        <v/>
      </c>
      <c r="W308">
        <f>HYPERLINK("https://klasma.github.io/Logging_1737/klagomålsmail/A 61813-2021 FSC-klagomål mail.docx", "A 61813-2021")</f>
        <v/>
      </c>
      <c r="X308">
        <f>HYPERLINK("https://klasma.github.io/Logging_1737/tillsyn/A 61813-2021 tillsynsbegäran.docx", "A 61813-2021")</f>
        <v/>
      </c>
      <c r="Y308">
        <f>HYPERLINK("https://klasma.github.io/Logging_1737/tillsynsmail/A 61813-2021 tillsynsbegäran mail.docx", "A 61813-2021")</f>
        <v/>
      </c>
    </row>
    <row r="309" ht="15" customHeight="1">
      <c r="A309" t="inlineStr">
        <is>
          <t>A 62572-2021</t>
        </is>
      </c>
      <c r="B309" s="1" t="n">
        <v>44503</v>
      </c>
      <c r="C309" s="1" t="n">
        <v>45222</v>
      </c>
      <c r="D309" t="inlineStr">
        <is>
          <t>VÄRMLANDS LÄN</t>
        </is>
      </c>
      <c r="E309" t="inlineStr">
        <is>
          <t>FILIPSTAD</t>
        </is>
      </c>
      <c r="F309" t="inlineStr">
        <is>
          <t>Bergvik skog väst AB</t>
        </is>
      </c>
      <c r="G309" t="n">
        <v>46.9</v>
      </c>
      <c r="H309" t="n">
        <v>0</v>
      </c>
      <c r="I309" t="n">
        <v>0</v>
      </c>
      <c r="J309" t="n">
        <v>1</v>
      </c>
      <c r="K309" t="n">
        <v>0</v>
      </c>
      <c r="L309" t="n">
        <v>0</v>
      </c>
      <c r="M309" t="n">
        <v>0</v>
      </c>
      <c r="N309" t="n">
        <v>0</v>
      </c>
      <c r="O309" t="n">
        <v>1</v>
      </c>
      <c r="P309" t="n">
        <v>0</v>
      </c>
      <c r="Q309" t="n">
        <v>1</v>
      </c>
      <c r="R309" s="2" t="inlineStr">
        <is>
          <t>Garnlav</t>
        </is>
      </c>
      <c r="S309">
        <f>HYPERLINK("https://klasma.github.io/Logging_1782/artfynd/A 62572-2021 artfynd.xlsx", "A 62572-2021")</f>
        <v/>
      </c>
      <c r="T309">
        <f>HYPERLINK("https://klasma.github.io/Logging_1782/kartor/A 62572-2021 karta.png", "A 62572-2021")</f>
        <v/>
      </c>
      <c r="V309">
        <f>HYPERLINK("https://klasma.github.io/Logging_1782/klagomål/A 62572-2021 FSC-klagomål.docx", "A 62572-2021")</f>
        <v/>
      </c>
      <c r="W309">
        <f>HYPERLINK("https://klasma.github.io/Logging_1782/klagomålsmail/A 62572-2021 FSC-klagomål mail.docx", "A 62572-2021")</f>
        <v/>
      </c>
      <c r="X309">
        <f>HYPERLINK("https://klasma.github.io/Logging_1782/tillsyn/A 62572-2021 tillsynsbegäran.docx", "A 62572-2021")</f>
        <v/>
      </c>
      <c r="Y309">
        <f>HYPERLINK("https://klasma.github.io/Logging_1782/tillsynsmail/A 62572-2021 tillsynsbegäran mail.docx", "A 62572-2021")</f>
        <v/>
      </c>
    </row>
    <row r="310" ht="15" customHeight="1">
      <c r="A310" t="inlineStr">
        <is>
          <t>A 62619-2021</t>
        </is>
      </c>
      <c r="B310" s="1" t="n">
        <v>44503</v>
      </c>
      <c r="C310" s="1" t="n">
        <v>45222</v>
      </c>
      <c r="D310" t="inlineStr">
        <is>
          <t>VÄRMLANDS LÄN</t>
        </is>
      </c>
      <c r="E310" t="inlineStr">
        <is>
          <t>ARVIKA</t>
        </is>
      </c>
      <c r="G310" t="n">
        <v>6.5</v>
      </c>
      <c r="H310" t="n">
        <v>1</v>
      </c>
      <c r="I310" t="n">
        <v>0</v>
      </c>
      <c r="J310" t="n">
        <v>1</v>
      </c>
      <c r="K310" t="n">
        <v>0</v>
      </c>
      <c r="L310" t="n">
        <v>0</v>
      </c>
      <c r="M310" t="n">
        <v>0</v>
      </c>
      <c r="N310" t="n">
        <v>0</v>
      </c>
      <c r="O310" t="n">
        <v>1</v>
      </c>
      <c r="P310" t="n">
        <v>0</v>
      </c>
      <c r="Q310" t="n">
        <v>1</v>
      </c>
      <c r="R310" s="2" t="inlineStr">
        <is>
          <t>Smålom</t>
        </is>
      </c>
      <c r="S310">
        <f>HYPERLINK("https://klasma.github.io/Logging_1784/artfynd/A 62619-2021 artfynd.xlsx", "A 62619-2021")</f>
        <v/>
      </c>
      <c r="T310">
        <f>HYPERLINK("https://klasma.github.io/Logging_1784/kartor/A 62619-2021 karta.png", "A 62619-2021")</f>
        <v/>
      </c>
      <c r="V310">
        <f>HYPERLINK("https://klasma.github.io/Logging_1784/klagomål/A 62619-2021 FSC-klagomål.docx", "A 62619-2021")</f>
        <v/>
      </c>
      <c r="W310">
        <f>HYPERLINK("https://klasma.github.io/Logging_1784/klagomålsmail/A 62619-2021 FSC-klagomål mail.docx", "A 62619-2021")</f>
        <v/>
      </c>
      <c r="X310">
        <f>HYPERLINK("https://klasma.github.io/Logging_1784/tillsyn/A 62619-2021 tillsynsbegäran.docx", "A 62619-2021")</f>
        <v/>
      </c>
      <c r="Y310">
        <f>HYPERLINK("https://klasma.github.io/Logging_1784/tillsynsmail/A 62619-2021 tillsynsbegäran mail.docx", "A 62619-2021")</f>
        <v/>
      </c>
    </row>
    <row r="311" ht="15" customHeight="1">
      <c r="A311" t="inlineStr">
        <is>
          <t>A 64504-2021</t>
        </is>
      </c>
      <c r="B311" s="1" t="n">
        <v>44511</v>
      </c>
      <c r="C311" s="1" t="n">
        <v>45222</v>
      </c>
      <c r="D311" t="inlineStr">
        <is>
          <t>VÄRMLANDS LÄN</t>
        </is>
      </c>
      <c r="E311" t="inlineStr">
        <is>
          <t>KIL</t>
        </is>
      </c>
      <c r="G311" t="n">
        <v>3.2</v>
      </c>
      <c r="H311" t="n">
        <v>1</v>
      </c>
      <c r="I311" t="n">
        <v>0</v>
      </c>
      <c r="J311" t="n">
        <v>0</v>
      </c>
      <c r="K311" t="n">
        <v>1</v>
      </c>
      <c r="L311" t="n">
        <v>0</v>
      </c>
      <c r="M311" t="n">
        <v>0</v>
      </c>
      <c r="N311" t="n">
        <v>0</v>
      </c>
      <c r="O311" t="n">
        <v>1</v>
      </c>
      <c r="P311" t="n">
        <v>1</v>
      </c>
      <c r="Q311" t="n">
        <v>1</v>
      </c>
      <c r="R311" s="2" t="inlineStr">
        <is>
          <t>Knärot</t>
        </is>
      </c>
      <c r="S311">
        <f>HYPERLINK("https://klasma.github.io/Logging_1715/artfynd/A 64504-2021 artfynd.xlsx", "A 64504-2021")</f>
        <v/>
      </c>
      <c r="T311">
        <f>HYPERLINK("https://klasma.github.io/Logging_1715/kartor/A 64504-2021 karta.png", "A 64504-2021")</f>
        <v/>
      </c>
      <c r="U311">
        <f>HYPERLINK("https://klasma.github.io/Logging_1715/knärot/A 64504-2021 karta knärot.png", "A 64504-2021")</f>
        <v/>
      </c>
      <c r="V311">
        <f>HYPERLINK("https://klasma.github.io/Logging_1715/klagomål/A 64504-2021 FSC-klagomål.docx", "A 64504-2021")</f>
        <v/>
      </c>
      <c r="W311">
        <f>HYPERLINK("https://klasma.github.io/Logging_1715/klagomålsmail/A 64504-2021 FSC-klagomål mail.docx", "A 64504-2021")</f>
        <v/>
      </c>
      <c r="X311">
        <f>HYPERLINK("https://klasma.github.io/Logging_1715/tillsyn/A 64504-2021 tillsynsbegäran.docx", "A 64504-2021")</f>
        <v/>
      </c>
      <c r="Y311">
        <f>HYPERLINK("https://klasma.github.io/Logging_1715/tillsynsmail/A 64504-2021 tillsynsbegäran mail.docx", "A 64504-2021")</f>
        <v/>
      </c>
    </row>
    <row r="312" ht="15" customHeight="1">
      <c r="A312" t="inlineStr">
        <is>
          <t>A 65767-2021</t>
        </is>
      </c>
      <c r="B312" s="1" t="n">
        <v>44516</v>
      </c>
      <c r="C312" s="1" t="n">
        <v>45222</v>
      </c>
      <c r="D312" t="inlineStr">
        <is>
          <t>VÄRMLANDS LÄN</t>
        </is>
      </c>
      <c r="E312" t="inlineStr">
        <is>
          <t>TORSBY</t>
        </is>
      </c>
      <c r="G312" t="n">
        <v>7.5</v>
      </c>
      <c r="H312" t="n">
        <v>0</v>
      </c>
      <c r="I312" t="n">
        <v>1</v>
      </c>
      <c r="J312" t="n">
        <v>0</v>
      </c>
      <c r="K312" t="n">
        <v>0</v>
      </c>
      <c r="L312" t="n">
        <v>0</v>
      </c>
      <c r="M312" t="n">
        <v>0</v>
      </c>
      <c r="N312" t="n">
        <v>0</v>
      </c>
      <c r="O312" t="n">
        <v>0</v>
      </c>
      <c r="P312" t="n">
        <v>0</v>
      </c>
      <c r="Q312" t="n">
        <v>1</v>
      </c>
      <c r="R312" s="2" t="inlineStr">
        <is>
          <t>Mörk husmossa</t>
        </is>
      </c>
      <c r="S312">
        <f>HYPERLINK("https://klasma.github.io/Logging_1737/artfynd/A 65767-2021 artfynd.xlsx", "A 65767-2021")</f>
        <v/>
      </c>
      <c r="T312">
        <f>HYPERLINK("https://klasma.github.io/Logging_1737/kartor/A 65767-2021 karta.png", "A 65767-2021")</f>
        <v/>
      </c>
      <c r="V312">
        <f>HYPERLINK("https://klasma.github.io/Logging_1737/klagomål/A 65767-2021 FSC-klagomål.docx", "A 65767-2021")</f>
        <v/>
      </c>
      <c r="W312">
        <f>HYPERLINK("https://klasma.github.io/Logging_1737/klagomålsmail/A 65767-2021 FSC-klagomål mail.docx", "A 65767-2021")</f>
        <v/>
      </c>
      <c r="X312">
        <f>HYPERLINK("https://klasma.github.io/Logging_1737/tillsyn/A 65767-2021 tillsynsbegäran.docx", "A 65767-2021")</f>
        <v/>
      </c>
      <c r="Y312">
        <f>HYPERLINK("https://klasma.github.io/Logging_1737/tillsynsmail/A 65767-2021 tillsynsbegäran mail.docx", "A 65767-2021")</f>
        <v/>
      </c>
    </row>
    <row r="313" ht="15" customHeight="1">
      <c r="A313" t="inlineStr">
        <is>
          <t>A 65920-2021</t>
        </is>
      </c>
      <c r="B313" s="1" t="n">
        <v>44517</v>
      </c>
      <c r="C313" s="1" t="n">
        <v>45222</v>
      </c>
      <c r="D313" t="inlineStr">
        <is>
          <t>VÄRMLANDS LÄN</t>
        </is>
      </c>
      <c r="E313" t="inlineStr">
        <is>
          <t>STORFORS</t>
        </is>
      </c>
      <c r="F313" t="inlineStr">
        <is>
          <t>Kyrkan</t>
        </is>
      </c>
      <c r="G313" t="n">
        <v>7</v>
      </c>
      <c r="H313" t="n">
        <v>0</v>
      </c>
      <c r="I313" t="n">
        <v>0</v>
      </c>
      <c r="J313" t="n">
        <v>1</v>
      </c>
      <c r="K313" t="n">
        <v>0</v>
      </c>
      <c r="L313" t="n">
        <v>0</v>
      </c>
      <c r="M313" t="n">
        <v>0</v>
      </c>
      <c r="N313" t="n">
        <v>0</v>
      </c>
      <c r="O313" t="n">
        <v>1</v>
      </c>
      <c r="P313" t="n">
        <v>0</v>
      </c>
      <c r="Q313" t="n">
        <v>1</v>
      </c>
      <c r="R313" s="2" t="inlineStr">
        <is>
          <t>Skogsklocka</t>
        </is>
      </c>
      <c r="S313">
        <f>HYPERLINK("https://klasma.github.io/Logging_1760/artfynd/A 65920-2021 artfynd.xlsx", "A 65920-2021")</f>
        <v/>
      </c>
      <c r="T313">
        <f>HYPERLINK("https://klasma.github.io/Logging_1760/kartor/A 65920-2021 karta.png", "A 65920-2021")</f>
        <v/>
      </c>
      <c r="V313">
        <f>HYPERLINK("https://klasma.github.io/Logging_1760/klagomål/A 65920-2021 FSC-klagomål.docx", "A 65920-2021")</f>
        <v/>
      </c>
      <c r="W313">
        <f>HYPERLINK("https://klasma.github.io/Logging_1760/klagomålsmail/A 65920-2021 FSC-klagomål mail.docx", "A 65920-2021")</f>
        <v/>
      </c>
      <c r="X313">
        <f>HYPERLINK("https://klasma.github.io/Logging_1760/tillsyn/A 65920-2021 tillsynsbegäran.docx", "A 65920-2021")</f>
        <v/>
      </c>
      <c r="Y313">
        <f>HYPERLINK("https://klasma.github.io/Logging_1760/tillsynsmail/A 65920-2021 tillsynsbegäran mail.docx", "A 65920-2021")</f>
        <v/>
      </c>
    </row>
    <row r="314" ht="15" customHeight="1">
      <c r="A314" t="inlineStr">
        <is>
          <t>A 66274-2021</t>
        </is>
      </c>
      <c r="B314" s="1" t="n">
        <v>44518</v>
      </c>
      <c r="C314" s="1" t="n">
        <v>45222</v>
      </c>
      <c r="D314" t="inlineStr">
        <is>
          <t>VÄRMLANDS LÄN</t>
        </is>
      </c>
      <c r="E314" t="inlineStr">
        <is>
          <t>KARLSTAD</t>
        </is>
      </c>
      <c r="G314" t="n">
        <v>2.5</v>
      </c>
      <c r="H314" t="n">
        <v>1</v>
      </c>
      <c r="I314" t="n">
        <v>0</v>
      </c>
      <c r="J314" t="n">
        <v>0</v>
      </c>
      <c r="K314" t="n">
        <v>0</v>
      </c>
      <c r="L314" t="n">
        <v>0</v>
      </c>
      <c r="M314" t="n">
        <v>0</v>
      </c>
      <c r="N314" t="n">
        <v>0</v>
      </c>
      <c r="O314" t="n">
        <v>0</v>
      </c>
      <c r="P314" t="n">
        <v>0</v>
      </c>
      <c r="Q314" t="n">
        <v>1</v>
      </c>
      <c r="R314" s="2" t="inlineStr">
        <is>
          <t>Nattviol</t>
        </is>
      </c>
      <c r="S314">
        <f>HYPERLINK("https://klasma.github.io/Logging_1780/artfynd/A 66274-2021 artfynd.xlsx", "A 66274-2021")</f>
        <v/>
      </c>
      <c r="T314">
        <f>HYPERLINK("https://klasma.github.io/Logging_1780/kartor/A 66274-2021 karta.png", "A 66274-2021")</f>
        <v/>
      </c>
      <c r="V314">
        <f>HYPERLINK("https://klasma.github.io/Logging_1780/klagomål/A 66274-2021 FSC-klagomål.docx", "A 66274-2021")</f>
        <v/>
      </c>
      <c r="W314">
        <f>HYPERLINK("https://klasma.github.io/Logging_1780/klagomålsmail/A 66274-2021 FSC-klagomål mail.docx", "A 66274-2021")</f>
        <v/>
      </c>
      <c r="X314">
        <f>HYPERLINK("https://klasma.github.io/Logging_1780/tillsyn/A 66274-2021 tillsynsbegäran.docx", "A 66274-2021")</f>
        <v/>
      </c>
      <c r="Y314">
        <f>HYPERLINK("https://klasma.github.io/Logging_1780/tillsynsmail/A 66274-2021 tillsynsbegäran mail.docx", "A 66274-2021")</f>
        <v/>
      </c>
    </row>
    <row r="315" ht="15" customHeight="1">
      <c r="A315" t="inlineStr">
        <is>
          <t>A 69709-2021</t>
        </is>
      </c>
      <c r="B315" s="1" t="n">
        <v>44532</v>
      </c>
      <c r="C315" s="1" t="n">
        <v>45222</v>
      </c>
      <c r="D315" t="inlineStr">
        <is>
          <t>VÄRMLANDS LÄN</t>
        </is>
      </c>
      <c r="E315" t="inlineStr">
        <is>
          <t>HAGFORS</t>
        </is>
      </c>
      <c r="F315" t="inlineStr">
        <is>
          <t>Bergvik skog väst AB</t>
        </is>
      </c>
      <c r="G315" t="n">
        <v>8.9</v>
      </c>
      <c r="H315" t="n">
        <v>0</v>
      </c>
      <c r="I315" t="n">
        <v>0</v>
      </c>
      <c r="J315" t="n">
        <v>1</v>
      </c>
      <c r="K315" t="n">
        <v>0</v>
      </c>
      <c r="L315" t="n">
        <v>0</v>
      </c>
      <c r="M315" t="n">
        <v>0</v>
      </c>
      <c r="N315" t="n">
        <v>0</v>
      </c>
      <c r="O315" t="n">
        <v>1</v>
      </c>
      <c r="P315" t="n">
        <v>0</v>
      </c>
      <c r="Q315" t="n">
        <v>1</v>
      </c>
      <c r="R315" s="2" t="inlineStr">
        <is>
          <t>Svartvit taggsvamp</t>
        </is>
      </c>
      <c r="S315">
        <f>HYPERLINK("https://klasma.github.io/Logging_1783/artfynd/A 69709-2021 artfynd.xlsx", "A 69709-2021")</f>
        <v/>
      </c>
      <c r="T315">
        <f>HYPERLINK("https://klasma.github.io/Logging_1783/kartor/A 69709-2021 karta.png", "A 69709-2021")</f>
        <v/>
      </c>
      <c r="V315">
        <f>HYPERLINK("https://klasma.github.io/Logging_1783/klagomål/A 69709-2021 FSC-klagomål.docx", "A 69709-2021")</f>
        <v/>
      </c>
      <c r="W315">
        <f>HYPERLINK("https://klasma.github.io/Logging_1783/klagomålsmail/A 69709-2021 FSC-klagomål mail.docx", "A 69709-2021")</f>
        <v/>
      </c>
      <c r="X315">
        <f>HYPERLINK("https://klasma.github.io/Logging_1783/tillsyn/A 69709-2021 tillsynsbegäran.docx", "A 69709-2021")</f>
        <v/>
      </c>
      <c r="Y315">
        <f>HYPERLINK("https://klasma.github.io/Logging_1783/tillsynsmail/A 69709-2021 tillsynsbegäran mail.docx", "A 69709-2021")</f>
        <v/>
      </c>
    </row>
    <row r="316" ht="15" customHeight="1">
      <c r="A316" t="inlineStr">
        <is>
          <t>A 71594-2021</t>
        </is>
      </c>
      <c r="B316" s="1" t="n">
        <v>44541</v>
      </c>
      <c r="C316" s="1" t="n">
        <v>45222</v>
      </c>
      <c r="D316" t="inlineStr">
        <is>
          <t>VÄRMLANDS LÄN</t>
        </is>
      </c>
      <c r="E316" t="inlineStr">
        <is>
          <t>TORSBY</t>
        </is>
      </c>
      <c r="G316" t="n">
        <v>13.1</v>
      </c>
      <c r="H316" t="n">
        <v>0</v>
      </c>
      <c r="I316" t="n">
        <v>0</v>
      </c>
      <c r="J316" t="n">
        <v>1</v>
      </c>
      <c r="K316" t="n">
        <v>0</v>
      </c>
      <c r="L316" t="n">
        <v>0</v>
      </c>
      <c r="M316" t="n">
        <v>0</v>
      </c>
      <c r="N316" t="n">
        <v>0</v>
      </c>
      <c r="O316" t="n">
        <v>1</v>
      </c>
      <c r="P316" t="n">
        <v>0</v>
      </c>
      <c r="Q316" t="n">
        <v>1</v>
      </c>
      <c r="R316" s="2" t="inlineStr">
        <is>
          <t>Garnlav</t>
        </is>
      </c>
      <c r="S316">
        <f>HYPERLINK("https://klasma.github.io/Logging_1737/artfynd/A 71594-2021 artfynd.xlsx", "A 71594-2021")</f>
        <v/>
      </c>
      <c r="T316">
        <f>HYPERLINK("https://klasma.github.io/Logging_1737/kartor/A 71594-2021 karta.png", "A 71594-2021")</f>
        <v/>
      </c>
      <c r="V316">
        <f>HYPERLINK("https://klasma.github.io/Logging_1737/klagomål/A 71594-2021 FSC-klagomål.docx", "A 71594-2021")</f>
        <v/>
      </c>
      <c r="W316">
        <f>HYPERLINK("https://klasma.github.io/Logging_1737/klagomålsmail/A 71594-2021 FSC-klagomål mail.docx", "A 71594-2021")</f>
        <v/>
      </c>
      <c r="X316">
        <f>HYPERLINK("https://klasma.github.io/Logging_1737/tillsyn/A 71594-2021 tillsynsbegäran.docx", "A 71594-2021")</f>
        <v/>
      </c>
      <c r="Y316">
        <f>HYPERLINK("https://klasma.github.io/Logging_1737/tillsynsmail/A 71594-2021 tillsynsbegäran mail.docx", "A 71594-2021")</f>
        <v/>
      </c>
    </row>
    <row r="317" ht="15" customHeight="1">
      <c r="A317" t="inlineStr">
        <is>
          <t>A 72222-2021</t>
        </is>
      </c>
      <c r="B317" s="1" t="n">
        <v>44544</v>
      </c>
      <c r="C317" s="1" t="n">
        <v>45222</v>
      </c>
      <c r="D317" t="inlineStr">
        <is>
          <t>VÄRMLANDS LÄN</t>
        </is>
      </c>
      <c r="E317" t="inlineStr">
        <is>
          <t>ARVIKA</t>
        </is>
      </c>
      <c r="G317" t="n">
        <v>2.1</v>
      </c>
      <c r="H317" t="n">
        <v>1</v>
      </c>
      <c r="I317" t="n">
        <v>0</v>
      </c>
      <c r="J317" t="n">
        <v>0</v>
      </c>
      <c r="K317" t="n">
        <v>1</v>
      </c>
      <c r="L317" t="n">
        <v>0</v>
      </c>
      <c r="M317" t="n">
        <v>0</v>
      </c>
      <c r="N317" t="n">
        <v>0</v>
      </c>
      <c r="O317" t="n">
        <v>1</v>
      </c>
      <c r="P317" t="n">
        <v>1</v>
      </c>
      <c r="Q317" t="n">
        <v>1</v>
      </c>
      <c r="R317" s="2" t="inlineStr">
        <is>
          <t>Knärot</t>
        </is>
      </c>
      <c r="S317">
        <f>HYPERLINK("https://klasma.github.io/Logging_1784/artfynd/A 72222-2021 artfynd.xlsx", "A 72222-2021")</f>
        <v/>
      </c>
      <c r="T317">
        <f>HYPERLINK("https://klasma.github.io/Logging_1784/kartor/A 72222-2021 karta.png", "A 72222-2021")</f>
        <v/>
      </c>
      <c r="U317">
        <f>HYPERLINK("https://klasma.github.io/Logging_1784/knärot/A 72222-2021 karta knärot.png", "A 72222-2021")</f>
        <v/>
      </c>
      <c r="V317">
        <f>HYPERLINK("https://klasma.github.io/Logging_1784/klagomål/A 72222-2021 FSC-klagomål.docx", "A 72222-2021")</f>
        <v/>
      </c>
      <c r="W317">
        <f>HYPERLINK("https://klasma.github.io/Logging_1784/klagomålsmail/A 72222-2021 FSC-klagomål mail.docx", "A 72222-2021")</f>
        <v/>
      </c>
      <c r="X317">
        <f>HYPERLINK("https://klasma.github.io/Logging_1784/tillsyn/A 72222-2021 tillsynsbegäran.docx", "A 72222-2021")</f>
        <v/>
      </c>
      <c r="Y317">
        <f>HYPERLINK("https://klasma.github.io/Logging_1784/tillsynsmail/A 72222-2021 tillsynsbegäran mail.docx", "A 72222-2021")</f>
        <v/>
      </c>
    </row>
    <row r="318" ht="15" customHeight="1">
      <c r="A318" t="inlineStr">
        <is>
          <t>A 72045-2021</t>
        </is>
      </c>
      <c r="B318" s="1" t="n">
        <v>44544</v>
      </c>
      <c r="C318" s="1" t="n">
        <v>45222</v>
      </c>
      <c r="D318" t="inlineStr">
        <is>
          <t>VÄRMLANDS LÄN</t>
        </is>
      </c>
      <c r="E318" t="inlineStr">
        <is>
          <t>KARLSTAD</t>
        </is>
      </c>
      <c r="F318" t="inlineStr">
        <is>
          <t>Kommuner</t>
        </is>
      </c>
      <c r="G318" t="n">
        <v>9.6</v>
      </c>
      <c r="H318" t="n">
        <v>1</v>
      </c>
      <c r="I318" t="n">
        <v>0</v>
      </c>
      <c r="J318" t="n">
        <v>0</v>
      </c>
      <c r="K318" t="n">
        <v>0</v>
      </c>
      <c r="L318" t="n">
        <v>0</v>
      </c>
      <c r="M318" t="n">
        <v>0</v>
      </c>
      <c r="N318" t="n">
        <v>0</v>
      </c>
      <c r="O318" t="n">
        <v>0</v>
      </c>
      <c r="P318" t="n">
        <v>0</v>
      </c>
      <c r="Q318" t="n">
        <v>1</v>
      </c>
      <c r="R318" s="2" t="inlineStr">
        <is>
          <t>Åkergroda</t>
        </is>
      </c>
      <c r="S318">
        <f>HYPERLINK("https://klasma.github.io/Logging_1780/artfynd/A 72045-2021 artfynd.xlsx", "A 72045-2021")</f>
        <v/>
      </c>
      <c r="T318">
        <f>HYPERLINK("https://klasma.github.io/Logging_1780/kartor/A 72045-2021 karta.png", "A 72045-2021")</f>
        <v/>
      </c>
      <c r="V318">
        <f>HYPERLINK("https://klasma.github.io/Logging_1780/klagomål/A 72045-2021 FSC-klagomål.docx", "A 72045-2021")</f>
        <v/>
      </c>
      <c r="W318">
        <f>HYPERLINK("https://klasma.github.io/Logging_1780/klagomålsmail/A 72045-2021 FSC-klagomål mail.docx", "A 72045-2021")</f>
        <v/>
      </c>
      <c r="X318">
        <f>HYPERLINK("https://klasma.github.io/Logging_1780/tillsyn/A 72045-2021 tillsynsbegäran.docx", "A 72045-2021")</f>
        <v/>
      </c>
      <c r="Y318">
        <f>HYPERLINK("https://klasma.github.io/Logging_1780/tillsynsmail/A 72045-2021 tillsynsbegäran mail.docx", "A 72045-2021")</f>
        <v/>
      </c>
    </row>
    <row r="319" ht="15" customHeight="1">
      <c r="A319" t="inlineStr">
        <is>
          <t>A 72829-2021</t>
        </is>
      </c>
      <c r="B319" s="1" t="n">
        <v>44547</v>
      </c>
      <c r="C319" s="1" t="n">
        <v>45222</v>
      </c>
      <c r="D319" t="inlineStr">
        <is>
          <t>VÄRMLANDS LÄN</t>
        </is>
      </c>
      <c r="E319" t="inlineStr">
        <is>
          <t>ARVIKA</t>
        </is>
      </c>
      <c r="G319" t="n">
        <v>5.9</v>
      </c>
      <c r="H319" t="n">
        <v>1</v>
      </c>
      <c r="I319" t="n">
        <v>0</v>
      </c>
      <c r="J319" t="n">
        <v>0</v>
      </c>
      <c r="K319" t="n">
        <v>1</v>
      </c>
      <c r="L319" t="n">
        <v>0</v>
      </c>
      <c r="M319" t="n">
        <v>0</v>
      </c>
      <c r="N319" t="n">
        <v>0</v>
      </c>
      <c r="O319" t="n">
        <v>1</v>
      </c>
      <c r="P319" t="n">
        <v>1</v>
      </c>
      <c r="Q319" t="n">
        <v>1</v>
      </c>
      <c r="R319" s="2" t="inlineStr">
        <is>
          <t>Knärot</t>
        </is>
      </c>
      <c r="S319">
        <f>HYPERLINK("https://klasma.github.io/Logging_1784/artfynd/A 72829-2021 artfynd.xlsx", "A 72829-2021")</f>
        <v/>
      </c>
      <c r="T319">
        <f>HYPERLINK("https://klasma.github.io/Logging_1784/kartor/A 72829-2021 karta.png", "A 72829-2021")</f>
        <v/>
      </c>
      <c r="U319">
        <f>HYPERLINK("https://klasma.github.io/Logging_1784/knärot/A 72829-2021 karta knärot.png", "A 72829-2021")</f>
        <v/>
      </c>
      <c r="V319">
        <f>HYPERLINK("https://klasma.github.io/Logging_1784/klagomål/A 72829-2021 FSC-klagomål.docx", "A 72829-2021")</f>
        <v/>
      </c>
      <c r="W319">
        <f>HYPERLINK("https://klasma.github.io/Logging_1784/klagomålsmail/A 72829-2021 FSC-klagomål mail.docx", "A 72829-2021")</f>
        <v/>
      </c>
      <c r="X319">
        <f>HYPERLINK("https://klasma.github.io/Logging_1784/tillsyn/A 72829-2021 tillsynsbegäran.docx", "A 72829-2021")</f>
        <v/>
      </c>
      <c r="Y319">
        <f>HYPERLINK("https://klasma.github.io/Logging_1784/tillsynsmail/A 72829-2021 tillsynsbegäran mail.docx", "A 72829-2021")</f>
        <v/>
      </c>
    </row>
    <row r="320" ht="15" customHeight="1">
      <c r="A320" t="inlineStr">
        <is>
          <t>A 73999-2021</t>
        </is>
      </c>
      <c r="B320" s="1" t="n">
        <v>44557</v>
      </c>
      <c r="C320" s="1" t="n">
        <v>45222</v>
      </c>
      <c r="D320" t="inlineStr">
        <is>
          <t>VÄRMLANDS LÄN</t>
        </is>
      </c>
      <c r="E320" t="inlineStr">
        <is>
          <t>ARVIKA</t>
        </is>
      </c>
      <c r="G320" t="n">
        <v>2.2</v>
      </c>
      <c r="H320" t="n">
        <v>1</v>
      </c>
      <c r="I320" t="n">
        <v>0</v>
      </c>
      <c r="J320" t="n">
        <v>0</v>
      </c>
      <c r="K320" t="n">
        <v>1</v>
      </c>
      <c r="L320" t="n">
        <v>0</v>
      </c>
      <c r="M320" t="n">
        <v>0</v>
      </c>
      <c r="N320" t="n">
        <v>0</v>
      </c>
      <c r="O320" t="n">
        <v>1</v>
      </c>
      <c r="P320" t="n">
        <v>1</v>
      </c>
      <c r="Q320" t="n">
        <v>1</v>
      </c>
      <c r="R320" s="2" t="inlineStr">
        <is>
          <t>Knärot</t>
        </is>
      </c>
      <c r="S320">
        <f>HYPERLINK("https://klasma.github.io/Logging_1784/artfynd/A 73999-2021 artfynd.xlsx", "A 73999-2021")</f>
        <v/>
      </c>
      <c r="T320">
        <f>HYPERLINK("https://klasma.github.io/Logging_1784/kartor/A 73999-2021 karta.png", "A 73999-2021")</f>
        <v/>
      </c>
      <c r="U320">
        <f>HYPERLINK("https://klasma.github.io/Logging_1784/knärot/A 73999-2021 karta knärot.png", "A 73999-2021")</f>
        <v/>
      </c>
      <c r="V320">
        <f>HYPERLINK("https://klasma.github.io/Logging_1784/klagomål/A 73999-2021 FSC-klagomål.docx", "A 73999-2021")</f>
        <v/>
      </c>
      <c r="W320">
        <f>HYPERLINK("https://klasma.github.io/Logging_1784/klagomålsmail/A 73999-2021 FSC-klagomål mail.docx", "A 73999-2021")</f>
        <v/>
      </c>
      <c r="X320">
        <f>HYPERLINK("https://klasma.github.io/Logging_1784/tillsyn/A 73999-2021 tillsynsbegäran.docx", "A 73999-2021")</f>
        <v/>
      </c>
      <c r="Y320">
        <f>HYPERLINK("https://klasma.github.io/Logging_1784/tillsynsmail/A 73999-2021 tillsynsbegäran mail.docx", "A 73999-2021")</f>
        <v/>
      </c>
    </row>
    <row r="321" ht="15" customHeight="1">
      <c r="A321" t="inlineStr">
        <is>
          <t>A 1734-2022</t>
        </is>
      </c>
      <c r="B321" s="1" t="n">
        <v>44574</v>
      </c>
      <c r="C321" s="1" t="n">
        <v>45222</v>
      </c>
      <c r="D321" t="inlineStr">
        <is>
          <t>VÄRMLANDS LÄN</t>
        </is>
      </c>
      <c r="E321" t="inlineStr">
        <is>
          <t>KRISTINEHAMN</t>
        </is>
      </c>
      <c r="G321" t="n">
        <v>4</v>
      </c>
      <c r="H321" t="n">
        <v>1</v>
      </c>
      <c r="I321" t="n">
        <v>0</v>
      </c>
      <c r="J321" t="n">
        <v>0</v>
      </c>
      <c r="K321" t="n">
        <v>0</v>
      </c>
      <c r="L321" t="n">
        <v>0</v>
      </c>
      <c r="M321" t="n">
        <v>0</v>
      </c>
      <c r="N321" t="n">
        <v>0</v>
      </c>
      <c r="O321" t="n">
        <v>0</v>
      </c>
      <c r="P321" t="n">
        <v>0</v>
      </c>
      <c r="Q321" t="n">
        <v>1</v>
      </c>
      <c r="R321" s="2" t="inlineStr">
        <is>
          <t>Hasselmus</t>
        </is>
      </c>
      <c r="S321">
        <f>HYPERLINK("https://klasma.github.io/Logging_1781/artfynd/A 1734-2022 artfynd.xlsx", "A 1734-2022")</f>
        <v/>
      </c>
      <c r="T321">
        <f>HYPERLINK("https://klasma.github.io/Logging_1781/kartor/A 1734-2022 karta.png", "A 1734-2022")</f>
        <v/>
      </c>
      <c r="V321">
        <f>HYPERLINK("https://klasma.github.io/Logging_1781/klagomål/A 1734-2022 FSC-klagomål.docx", "A 1734-2022")</f>
        <v/>
      </c>
      <c r="W321">
        <f>HYPERLINK("https://klasma.github.io/Logging_1781/klagomålsmail/A 1734-2022 FSC-klagomål mail.docx", "A 1734-2022")</f>
        <v/>
      </c>
      <c r="X321">
        <f>HYPERLINK("https://klasma.github.io/Logging_1781/tillsyn/A 1734-2022 tillsynsbegäran.docx", "A 1734-2022")</f>
        <v/>
      </c>
      <c r="Y321">
        <f>HYPERLINK("https://klasma.github.io/Logging_1781/tillsynsmail/A 1734-2022 tillsynsbegäran mail.docx", "A 1734-2022")</f>
        <v/>
      </c>
    </row>
    <row r="322" ht="15" customHeight="1">
      <c r="A322" t="inlineStr">
        <is>
          <t>A 3404-2022</t>
        </is>
      </c>
      <c r="B322" s="1" t="n">
        <v>44585</v>
      </c>
      <c r="C322" s="1" t="n">
        <v>45222</v>
      </c>
      <c r="D322" t="inlineStr">
        <is>
          <t>VÄRMLANDS LÄN</t>
        </is>
      </c>
      <c r="E322" t="inlineStr">
        <is>
          <t>TORSBY</t>
        </is>
      </c>
      <c r="G322" t="n">
        <v>1</v>
      </c>
      <c r="H322" t="n">
        <v>0</v>
      </c>
      <c r="I322" t="n">
        <v>0</v>
      </c>
      <c r="J322" t="n">
        <v>1</v>
      </c>
      <c r="K322" t="n">
        <v>0</v>
      </c>
      <c r="L322" t="n">
        <v>0</v>
      </c>
      <c r="M322" t="n">
        <v>0</v>
      </c>
      <c r="N322" t="n">
        <v>0</v>
      </c>
      <c r="O322" t="n">
        <v>1</v>
      </c>
      <c r="P322" t="n">
        <v>0</v>
      </c>
      <c r="Q322" t="n">
        <v>1</v>
      </c>
      <c r="R322" s="2" t="inlineStr">
        <is>
          <t>Vedtrappmossa</t>
        </is>
      </c>
      <c r="S322">
        <f>HYPERLINK("https://klasma.github.io/Logging_1737/artfynd/A 3404-2022 artfynd.xlsx", "A 3404-2022")</f>
        <v/>
      </c>
      <c r="T322">
        <f>HYPERLINK("https://klasma.github.io/Logging_1737/kartor/A 3404-2022 karta.png", "A 3404-2022")</f>
        <v/>
      </c>
      <c r="V322">
        <f>HYPERLINK("https://klasma.github.io/Logging_1737/klagomål/A 3404-2022 FSC-klagomål.docx", "A 3404-2022")</f>
        <v/>
      </c>
      <c r="W322">
        <f>HYPERLINK("https://klasma.github.io/Logging_1737/klagomålsmail/A 3404-2022 FSC-klagomål mail.docx", "A 3404-2022")</f>
        <v/>
      </c>
      <c r="X322">
        <f>HYPERLINK("https://klasma.github.io/Logging_1737/tillsyn/A 3404-2022 tillsynsbegäran.docx", "A 3404-2022")</f>
        <v/>
      </c>
      <c r="Y322">
        <f>HYPERLINK("https://klasma.github.io/Logging_1737/tillsynsmail/A 3404-2022 tillsynsbegäran mail.docx", "A 3404-2022")</f>
        <v/>
      </c>
    </row>
    <row r="323" ht="15" customHeight="1">
      <c r="A323" t="inlineStr">
        <is>
          <t>A 4394-2022</t>
        </is>
      </c>
      <c r="B323" s="1" t="n">
        <v>44589</v>
      </c>
      <c r="C323" s="1" t="n">
        <v>45222</v>
      </c>
      <c r="D323" t="inlineStr">
        <is>
          <t>VÄRMLANDS LÄN</t>
        </is>
      </c>
      <c r="E323" t="inlineStr">
        <is>
          <t>SÄFFLE</t>
        </is>
      </c>
      <c r="G323" t="n">
        <v>2.2</v>
      </c>
      <c r="H323" t="n">
        <v>0</v>
      </c>
      <c r="I323" t="n">
        <v>1</v>
      </c>
      <c r="J323" t="n">
        <v>0</v>
      </c>
      <c r="K323" t="n">
        <v>0</v>
      </c>
      <c r="L323" t="n">
        <v>0</v>
      </c>
      <c r="M323" t="n">
        <v>0</v>
      </c>
      <c r="N323" t="n">
        <v>0</v>
      </c>
      <c r="O323" t="n">
        <v>0</v>
      </c>
      <c r="P323" t="n">
        <v>0</v>
      </c>
      <c r="Q323" t="n">
        <v>1</v>
      </c>
      <c r="R323" s="2" t="inlineStr">
        <is>
          <t>Vätteros</t>
        </is>
      </c>
      <c r="S323">
        <f>HYPERLINK("https://klasma.github.io/Logging_1785/artfynd/A 4394-2022 artfynd.xlsx", "A 4394-2022")</f>
        <v/>
      </c>
      <c r="T323">
        <f>HYPERLINK("https://klasma.github.io/Logging_1785/kartor/A 4394-2022 karta.png", "A 4394-2022")</f>
        <v/>
      </c>
      <c r="V323">
        <f>HYPERLINK("https://klasma.github.io/Logging_1785/klagomål/A 4394-2022 FSC-klagomål.docx", "A 4394-2022")</f>
        <v/>
      </c>
      <c r="W323">
        <f>HYPERLINK("https://klasma.github.io/Logging_1785/klagomålsmail/A 4394-2022 FSC-klagomål mail.docx", "A 4394-2022")</f>
        <v/>
      </c>
      <c r="X323">
        <f>HYPERLINK("https://klasma.github.io/Logging_1785/tillsyn/A 4394-2022 tillsynsbegäran.docx", "A 4394-2022")</f>
        <v/>
      </c>
      <c r="Y323">
        <f>HYPERLINK("https://klasma.github.io/Logging_1785/tillsynsmail/A 4394-2022 tillsynsbegäran mail.docx", "A 4394-2022")</f>
        <v/>
      </c>
    </row>
    <row r="324" ht="15" customHeight="1">
      <c r="A324" t="inlineStr">
        <is>
          <t>A 4664-2022</t>
        </is>
      </c>
      <c r="B324" s="1" t="n">
        <v>44592</v>
      </c>
      <c r="C324" s="1" t="n">
        <v>45222</v>
      </c>
      <c r="D324" t="inlineStr">
        <is>
          <t>VÄRMLANDS LÄN</t>
        </is>
      </c>
      <c r="E324" t="inlineStr">
        <is>
          <t>KARLSTAD</t>
        </is>
      </c>
      <c r="F324" t="inlineStr">
        <is>
          <t>Kommuner</t>
        </is>
      </c>
      <c r="G324" t="n">
        <v>2.3</v>
      </c>
      <c r="H324" t="n">
        <v>0</v>
      </c>
      <c r="I324" t="n">
        <v>0</v>
      </c>
      <c r="J324" t="n">
        <v>1</v>
      </c>
      <c r="K324" t="n">
        <v>0</v>
      </c>
      <c r="L324" t="n">
        <v>0</v>
      </c>
      <c r="M324" t="n">
        <v>0</v>
      </c>
      <c r="N324" t="n">
        <v>0</v>
      </c>
      <c r="O324" t="n">
        <v>1</v>
      </c>
      <c r="P324" t="n">
        <v>0</v>
      </c>
      <c r="Q324" t="n">
        <v>1</v>
      </c>
      <c r="R324" s="2" t="inlineStr">
        <is>
          <t>Vedskivlav</t>
        </is>
      </c>
      <c r="S324">
        <f>HYPERLINK("https://klasma.github.io/Logging_1780/artfynd/A 4664-2022 artfynd.xlsx", "A 4664-2022")</f>
        <v/>
      </c>
      <c r="T324">
        <f>HYPERLINK("https://klasma.github.io/Logging_1780/kartor/A 4664-2022 karta.png", "A 4664-2022")</f>
        <v/>
      </c>
      <c r="V324">
        <f>HYPERLINK("https://klasma.github.io/Logging_1780/klagomål/A 4664-2022 FSC-klagomål.docx", "A 4664-2022")</f>
        <v/>
      </c>
      <c r="W324">
        <f>HYPERLINK("https://klasma.github.io/Logging_1780/klagomålsmail/A 4664-2022 FSC-klagomål mail.docx", "A 4664-2022")</f>
        <v/>
      </c>
      <c r="X324">
        <f>HYPERLINK("https://klasma.github.io/Logging_1780/tillsyn/A 4664-2022 tillsynsbegäran.docx", "A 4664-2022")</f>
        <v/>
      </c>
      <c r="Y324">
        <f>HYPERLINK("https://klasma.github.io/Logging_1780/tillsynsmail/A 4664-2022 tillsynsbegäran mail.docx", "A 4664-2022")</f>
        <v/>
      </c>
    </row>
    <row r="325" ht="15" customHeight="1">
      <c r="A325" t="inlineStr">
        <is>
          <t>A 6814-2022</t>
        </is>
      </c>
      <c r="B325" s="1" t="n">
        <v>44602</v>
      </c>
      <c r="C325" s="1" t="n">
        <v>45222</v>
      </c>
      <c r="D325" t="inlineStr">
        <is>
          <t>VÄRMLANDS LÄN</t>
        </is>
      </c>
      <c r="E325" t="inlineStr">
        <is>
          <t>ARVIKA</t>
        </is>
      </c>
      <c r="F325" t="inlineStr">
        <is>
          <t>Bergvik skog väst AB</t>
        </is>
      </c>
      <c r="G325" t="n">
        <v>12.2</v>
      </c>
      <c r="H325" t="n">
        <v>0</v>
      </c>
      <c r="I325" t="n">
        <v>0</v>
      </c>
      <c r="J325" t="n">
        <v>1</v>
      </c>
      <c r="K325" t="n">
        <v>0</v>
      </c>
      <c r="L325" t="n">
        <v>0</v>
      </c>
      <c r="M325" t="n">
        <v>0</v>
      </c>
      <c r="N325" t="n">
        <v>0</v>
      </c>
      <c r="O325" t="n">
        <v>1</v>
      </c>
      <c r="P325" t="n">
        <v>0</v>
      </c>
      <c r="Q325" t="n">
        <v>1</v>
      </c>
      <c r="R325" s="2" t="inlineStr">
        <is>
          <t>Skogsklocka</t>
        </is>
      </c>
      <c r="S325">
        <f>HYPERLINK("https://klasma.github.io/Logging_1784/artfynd/A 6814-2022 artfynd.xlsx", "A 6814-2022")</f>
        <v/>
      </c>
      <c r="T325">
        <f>HYPERLINK("https://klasma.github.io/Logging_1784/kartor/A 6814-2022 karta.png", "A 6814-2022")</f>
        <v/>
      </c>
      <c r="V325">
        <f>HYPERLINK("https://klasma.github.io/Logging_1784/klagomål/A 6814-2022 FSC-klagomål.docx", "A 6814-2022")</f>
        <v/>
      </c>
      <c r="W325">
        <f>HYPERLINK("https://klasma.github.io/Logging_1784/klagomålsmail/A 6814-2022 FSC-klagomål mail.docx", "A 6814-2022")</f>
        <v/>
      </c>
      <c r="X325">
        <f>HYPERLINK("https://klasma.github.io/Logging_1784/tillsyn/A 6814-2022 tillsynsbegäran.docx", "A 6814-2022")</f>
        <v/>
      </c>
      <c r="Y325">
        <f>HYPERLINK("https://klasma.github.io/Logging_1784/tillsynsmail/A 6814-2022 tillsynsbegäran mail.docx", "A 6814-2022")</f>
        <v/>
      </c>
    </row>
    <row r="326" ht="15" customHeight="1">
      <c r="A326" t="inlineStr">
        <is>
          <t>A 6986-2022</t>
        </is>
      </c>
      <c r="B326" s="1" t="n">
        <v>44603</v>
      </c>
      <c r="C326" s="1" t="n">
        <v>45222</v>
      </c>
      <c r="D326" t="inlineStr">
        <is>
          <t>VÄRMLANDS LÄN</t>
        </is>
      </c>
      <c r="E326" t="inlineStr">
        <is>
          <t>HAGFORS</t>
        </is>
      </c>
      <c r="G326" t="n">
        <v>2</v>
      </c>
      <c r="H326" t="n">
        <v>0</v>
      </c>
      <c r="I326" t="n">
        <v>1</v>
      </c>
      <c r="J326" t="n">
        <v>0</v>
      </c>
      <c r="K326" t="n">
        <v>0</v>
      </c>
      <c r="L326" t="n">
        <v>0</v>
      </c>
      <c r="M326" t="n">
        <v>0</v>
      </c>
      <c r="N326" t="n">
        <v>0</v>
      </c>
      <c r="O326" t="n">
        <v>0</v>
      </c>
      <c r="P326" t="n">
        <v>0</v>
      </c>
      <c r="Q326" t="n">
        <v>1</v>
      </c>
      <c r="R326" s="2" t="inlineStr">
        <is>
          <t>Vedticka</t>
        </is>
      </c>
      <c r="S326">
        <f>HYPERLINK("https://klasma.github.io/Logging_1783/artfynd/A 6986-2022 artfynd.xlsx", "A 6986-2022")</f>
        <v/>
      </c>
      <c r="T326">
        <f>HYPERLINK("https://klasma.github.io/Logging_1783/kartor/A 6986-2022 karta.png", "A 6986-2022")</f>
        <v/>
      </c>
      <c r="V326">
        <f>HYPERLINK("https://klasma.github.io/Logging_1783/klagomål/A 6986-2022 FSC-klagomål.docx", "A 6986-2022")</f>
        <v/>
      </c>
      <c r="W326">
        <f>HYPERLINK("https://klasma.github.io/Logging_1783/klagomålsmail/A 6986-2022 FSC-klagomål mail.docx", "A 6986-2022")</f>
        <v/>
      </c>
      <c r="X326">
        <f>HYPERLINK("https://klasma.github.io/Logging_1783/tillsyn/A 6986-2022 tillsynsbegäran.docx", "A 6986-2022")</f>
        <v/>
      </c>
      <c r="Y326">
        <f>HYPERLINK("https://klasma.github.io/Logging_1783/tillsynsmail/A 6986-2022 tillsynsbegäran mail.docx", "A 6986-2022")</f>
        <v/>
      </c>
    </row>
    <row r="327" ht="15" customHeight="1">
      <c r="A327" t="inlineStr">
        <is>
          <t>A 8846-2022</t>
        </is>
      </c>
      <c r="B327" s="1" t="n">
        <v>44614</v>
      </c>
      <c r="C327" s="1" t="n">
        <v>45222</v>
      </c>
      <c r="D327" t="inlineStr">
        <is>
          <t>VÄRMLANDS LÄN</t>
        </is>
      </c>
      <c r="E327" t="inlineStr">
        <is>
          <t>ARVIKA</t>
        </is>
      </c>
      <c r="G327" t="n">
        <v>8.6</v>
      </c>
      <c r="H327" t="n">
        <v>0</v>
      </c>
      <c r="I327" t="n">
        <v>1</v>
      </c>
      <c r="J327" t="n">
        <v>0</v>
      </c>
      <c r="K327" t="n">
        <v>0</v>
      </c>
      <c r="L327" t="n">
        <v>0</v>
      </c>
      <c r="M327" t="n">
        <v>0</v>
      </c>
      <c r="N327" t="n">
        <v>0</v>
      </c>
      <c r="O327" t="n">
        <v>0</v>
      </c>
      <c r="P327" t="n">
        <v>0</v>
      </c>
      <c r="Q327" t="n">
        <v>1</v>
      </c>
      <c r="R327" s="2" t="inlineStr">
        <is>
          <t>Tibast</t>
        </is>
      </c>
      <c r="S327">
        <f>HYPERLINK("https://klasma.github.io/Logging_1784/artfynd/A 8846-2022 artfynd.xlsx", "A 8846-2022")</f>
        <v/>
      </c>
      <c r="T327">
        <f>HYPERLINK("https://klasma.github.io/Logging_1784/kartor/A 8846-2022 karta.png", "A 8846-2022")</f>
        <v/>
      </c>
      <c r="V327">
        <f>HYPERLINK("https://klasma.github.io/Logging_1784/klagomål/A 8846-2022 FSC-klagomål.docx", "A 8846-2022")</f>
        <v/>
      </c>
      <c r="W327">
        <f>HYPERLINK("https://klasma.github.io/Logging_1784/klagomålsmail/A 8846-2022 FSC-klagomål mail.docx", "A 8846-2022")</f>
        <v/>
      </c>
      <c r="X327">
        <f>HYPERLINK("https://klasma.github.io/Logging_1784/tillsyn/A 8846-2022 tillsynsbegäran.docx", "A 8846-2022")</f>
        <v/>
      </c>
      <c r="Y327">
        <f>HYPERLINK("https://klasma.github.io/Logging_1784/tillsynsmail/A 8846-2022 tillsynsbegäran mail.docx", "A 8846-2022")</f>
        <v/>
      </c>
    </row>
    <row r="328" ht="15" customHeight="1">
      <c r="A328" t="inlineStr">
        <is>
          <t>A 13548-2022</t>
        </is>
      </c>
      <c r="B328" s="1" t="n">
        <v>44648</v>
      </c>
      <c r="C328" s="1" t="n">
        <v>45222</v>
      </c>
      <c r="D328" t="inlineStr">
        <is>
          <t>VÄRMLANDS LÄN</t>
        </is>
      </c>
      <c r="E328" t="inlineStr">
        <is>
          <t>KARLSTAD</t>
        </is>
      </c>
      <c r="F328" t="inlineStr">
        <is>
          <t>Bergvik skog väst AB</t>
        </is>
      </c>
      <c r="G328" t="n">
        <v>15.9</v>
      </c>
      <c r="H328" t="n">
        <v>0</v>
      </c>
      <c r="I328" t="n">
        <v>0</v>
      </c>
      <c r="J328" t="n">
        <v>1</v>
      </c>
      <c r="K328" t="n">
        <v>0</v>
      </c>
      <c r="L328" t="n">
        <v>0</v>
      </c>
      <c r="M328" t="n">
        <v>0</v>
      </c>
      <c r="N328" t="n">
        <v>0</v>
      </c>
      <c r="O328" t="n">
        <v>1</v>
      </c>
      <c r="P328" t="n">
        <v>0</v>
      </c>
      <c r="Q328" t="n">
        <v>1</v>
      </c>
      <c r="R328" s="2" t="inlineStr">
        <is>
          <t>Motaggsvamp</t>
        </is>
      </c>
      <c r="S328">
        <f>HYPERLINK("https://klasma.github.io/Logging_1780/artfynd/A 13548-2022 artfynd.xlsx", "A 13548-2022")</f>
        <v/>
      </c>
      <c r="T328">
        <f>HYPERLINK("https://klasma.github.io/Logging_1780/kartor/A 13548-2022 karta.png", "A 13548-2022")</f>
        <v/>
      </c>
      <c r="V328">
        <f>HYPERLINK("https://klasma.github.io/Logging_1780/klagomål/A 13548-2022 FSC-klagomål.docx", "A 13548-2022")</f>
        <v/>
      </c>
      <c r="W328">
        <f>HYPERLINK("https://klasma.github.io/Logging_1780/klagomålsmail/A 13548-2022 FSC-klagomål mail.docx", "A 13548-2022")</f>
        <v/>
      </c>
      <c r="X328">
        <f>HYPERLINK("https://klasma.github.io/Logging_1780/tillsyn/A 13548-2022 tillsynsbegäran.docx", "A 13548-2022")</f>
        <v/>
      </c>
      <c r="Y328">
        <f>HYPERLINK("https://klasma.github.io/Logging_1780/tillsynsmail/A 13548-2022 tillsynsbegäran mail.docx", "A 13548-2022")</f>
        <v/>
      </c>
    </row>
    <row r="329" ht="15" customHeight="1">
      <c r="A329" t="inlineStr">
        <is>
          <t>A 14002-2022</t>
        </is>
      </c>
      <c r="B329" s="1" t="n">
        <v>44650</v>
      </c>
      <c r="C329" s="1" t="n">
        <v>45222</v>
      </c>
      <c r="D329" t="inlineStr">
        <is>
          <t>VÄRMLANDS LÄN</t>
        </is>
      </c>
      <c r="E329" t="inlineStr">
        <is>
          <t>KARLSTAD</t>
        </is>
      </c>
      <c r="G329" t="n">
        <v>2.3</v>
      </c>
      <c r="H329" t="n">
        <v>1</v>
      </c>
      <c r="I329" t="n">
        <v>0</v>
      </c>
      <c r="J329" t="n">
        <v>0</v>
      </c>
      <c r="K329" t="n">
        <v>1</v>
      </c>
      <c r="L329" t="n">
        <v>0</v>
      </c>
      <c r="M329" t="n">
        <v>0</v>
      </c>
      <c r="N329" t="n">
        <v>0</v>
      </c>
      <c r="O329" t="n">
        <v>1</v>
      </c>
      <c r="P329" t="n">
        <v>1</v>
      </c>
      <c r="Q329" t="n">
        <v>1</v>
      </c>
      <c r="R329" s="2" t="inlineStr">
        <is>
          <t>Knärot</t>
        </is>
      </c>
      <c r="S329">
        <f>HYPERLINK("https://klasma.github.io/Logging_1780/artfynd/A 14002-2022 artfynd.xlsx", "A 14002-2022")</f>
        <v/>
      </c>
      <c r="T329">
        <f>HYPERLINK("https://klasma.github.io/Logging_1780/kartor/A 14002-2022 karta.png", "A 14002-2022")</f>
        <v/>
      </c>
      <c r="U329">
        <f>HYPERLINK("https://klasma.github.io/Logging_1780/knärot/A 14002-2022 karta knärot.png", "A 14002-2022")</f>
        <v/>
      </c>
      <c r="V329">
        <f>HYPERLINK("https://klasma.github.io/Logging_1780/klagomål/A 14002-2022 FSC-klagomål.docx", "A 14002-2022")</f>
        <v/>
      </c>
      <c r="W329">
        <f>HYPERLINK("https://klasma.github.io/Logging_1780/klagomålsmail/A 14002-2022 FSC-klagomål mail.docx", "A 14002-2022")</f>
        <v/>
      </c>
      <c r="X329">
        <f>HYPERLINK("https://klasma.github.io/Logging_1780/tillsyn/A 14002-2022 tillsynsbegäran.docx", "A 14002-2022")</f>
        <v/>
      </c>
      <c r="Y329">
        <f>HYPERLINK("https://klasma.github.io/Logging_1780/tillsynsmail/A 14002-2022 tillsynsbegäran mail.docx", "A 14002-2022")</f>
        <v/>
      </c>
    </row>
    <row r="330" ht="15" customHeight="1">
      <c r="A330" t="inlineStr">
        <is>
          <t>A 14594-2022</t>
        </is>
      </c>
      <c r="B330" s="1" t="n">
        <v>44655</v>
      </c>
      <c r="C330" s="1" t="n">
        <v>45222</v>
      </c>
      <c r="D330" t="inlineStr">
        <is>
          <t>VÄRMLANDS LÄN</t>
        </is>
      </c>
      <c r="E330" t="inlineStr">
        <is>
          <t>KARLSTAD</t>
        </is>
      </c>
      <c r="F330" t="inlineStr">
        <is>
          <t>Kommuner</t>
        </is>
      </c>
      <c r="G330" t="n">
        <v>11.2</v>
      </c>
      <c r="H330" t="n">
        <v>1</v>
      </c>
      <c r="I330" t="n">
        <v>0</v>
      </c>
      <c r="J330" t="n">
        <v>1</v>
      </c>
      <c r="K330" t="n">
        <v>0</v>
      </c>
      <c r="L330" t="n">
        <v>0</v>
      </c>
      <c r="M330" t="n">
        <v>0</v>
      </c>
      <c r="N330" t="n">
        <v>0</v>
      </c>
      <c r="O330" t="n">
        <v>1</v>
      </c>
      <c r="P330" t="n">
        <v>0</v>
      </c>
      <c r="Q330" t="n">
        <v>1</v>
      </c>
      <c r="R330" s="2" t="inlineStr">
        <is>
          <t>Mindre hackspett</t>
        </is>
      </c>
      <c r="S330">
        <f>HYPERLINK("https://klasma.github.io/Logging_1780/artfynd/A 14594-2022 artfynd.xlsx", "A 14594-2022")</f>
        <v/>
      </c>
      <c r="T330">
        <f>HYPERLINK("https://klasma.github.io/Logging_1780/kartor/A 14594-2022 karta.png", "A 14594-2022")</f>
        <v/>
      </c>
      <c r="V330">
        <f>HYPERLINK("https://klasma.github.io/Logging_1780/klagomål/A 14594-2022 FSC-klagomål.docx", "A 14594-2022")</f>
        <v/>
      </c>
      <c r="W330">
        <f>HYPERLINK("https://klasma.github.io/Logging_1780/klagomålsmail/A 14594-2022 FSC-klagomål mail.docx", "A 14594-2022")</f>
        <v/>
      </c>
      <c r="X330">
        <f>HYPERLINK("https://klasma.github.io/Logging_1780/tillsyn/A 14594-2022 tillsynsbegäran.docx", "A 14594-2022")</f>
        <v/>
      </c>
      <c r="Y330">
        <f>HYPERLINK("https://klasma.github.io/Logging_1780/tillsynsmail/A 14594-2022 tillsynsbegäran mail.docx", "A 14594-2022")</f>
        <v/>
      </c>
    </row>
    <row r="331" ht="15" customHeight="1">
      <c r="A331" t="inlineStr">
        <is>
          <t>A 19831-2022</t>
        </is>
      </c>
      <c r="B331" s="1" t="n">
        <v>44695</v>
      </c>
      <c r="C331" s="1" t="n">
        <v>45222</v>
      </c>
      <c r="D331" t="inlineStr">
        <is>
          <t>VÄRMLANDS LÄN</t>
        </is>
      </c>
      <c r="E331" t="inlineStr">
        <is>
          <t>SUNNE</t>
        </is>
      </c>
      <c r="G331" t="n">
        <v>0.7</v>
      </c>
      <c r="H331" t="n">
        <v>0</v>
      </c>
      <c r="I331" t="n">
        <v>1</v>
      </c>
      <c r="J331" t="n">
        <v>0</v>
      </c>
      <c r="K331" t="n">
        <v>0</v>
      </c>
      <c r="L331" t="n">
        <v>0</v>
      </c>
      <c r="M331" t="n">
        <v>0</v>
      </c>
      <c r="N331" t="n">
        <v>0</v>
      </c>
      <c r="O331" t="n">
        <v>0</v>
      </c>
      <c r="P331" t="n">
        <v>0</v>
      </c>
      <c r="Q331" t="n">
        <v>1</v>
      </c>
      <c r="R331" s="2" t="inlineStr">
        <is>
          <t>Vågbandad barkbock</t>
        </is>
      </c>
      <c r="S331">
        <f>HYPERLINK("https://klasma.github.io/Logging_1766/artfynd/A 19831-2022 artfynd.xlsx", "A 19831-2022")</f>
        <v/>
      </c>
      <c r="T331">
        <f>HYPERLINK("https://klasma.github.io/Logging_1766/kartor/A 19831-2022 karta.png", "A 19831-2022")</f>
        <v/>
      </c>
      <c r="V331">
        <f>HYPERLINK("https://klasma.github.io/Logging_1766/klagomål/A 19831-2022 FSC-klagomål.docx", "A 19831-2022")</f>
        <v/>
      </c>
      <c r="W331">
        <f>HYPERLINK("https://klasma.github.io/Logging_1766/klagomålsmail/A 19831-2022 FSC-klagomål mail.docx", "A 19831-2022")</f>
        <v/>
      </c>
      <c r="X331">
        <f>HYPERLINK("https://klasma.github.io/Logging_1766/tillsyn/A 19831-2022 tillsynsbegäran.docx", "A 19831-2022")</f>
        <v/>
      </c>
      <c r="Y331">
        <f>HYPERLINK("https://klasma.github.io/Logging_1766/tillsynsmail/A 19831-2022 tillsynsbegäran mail.docx", "A 19831-2022")</f>
        <v/>
      </c>
    </row>
    <row r="332" ht="15" customHeight="1">
      <c r="A332" t="inlineStr">
        <is>
          <t>A 20754-2022</t>
        </is>
      </c>
      <c r="B332" s="1" t="n">
        <v>44701</v>
      </c>
      <c r="C332" s="1" t="n">
        <v>45222</v>
      </c>
      <c r="D332" t="inlineStr">
        <is>
          <t>VÄRMLANDS LÄN</t>
        </is>
      </c>
      <c r="E332" t="inlineStr">
        <is>
          <t>FILIPSTAD</t>
        </is>
      </c>
      <c r="F332" t="inlineStr">
        <is>
          <t>Bergvik skog väst AB</t>
        </is>
      </c>
      <c r="G332" t="n">
        <v>13.6</v>
      </c>
      <c r="H332" t="n">
        <v>1</v>
      </c>
      <c r="I332" t="n">
        <v>0</v>
      </c>
      <c r="J332" t="n">
        <v>0</v>
      </c>
      <c r="K332" t="n">
        <v>0</v>
      </c>
      <c r="L332" t="n">
        <v>0</v>
      </c>
      <c r="M332" t="n">
        <v>0</v>
      </c>
      <c r="N332" t="n">
        <v>0</v>
      </c>
      <c r="O332" t="n">
        <v>0</v>
      </c>
      <c r="P332" t="n">
        <v>0</v>
      </c>
      <c r="Q332" t="n">
        <v>1</v>
      </c>
      <c r="R332" s="2" t="inlineStr">
        <is>
          <t>Mattlummer</t>
        </is>
      </c>
      <c r="S332">
        <f>HYPERLINK("https://klasma.github.io/Logging_1782/artfynd/A 20754-2022 artfynd.xlsx", "A 20754-2022")</f>
        <v/>
      </c>
      <c r="T332">
        <f>HYPERLINK("https://klasma.github.io/Logging_1782/kartor/A 20754-2022 karta.png", "A 20754-2022")</f>
        <v/>
      </c>
      <c r="V332">
        <f>HYPERLINK("https://klasma.github.io/Logging_1782/klagomål/A 20754-2022 FSC-klagomål.docx", "A 20754-2022")</f>
        <v/>
      </c>
      <c r="W332">
        <f>HYPERLINK("https://klasma.github.io/Logging_1782/klagomålsmail/A 20754-2022 FSC-klagomål mail.docx", "A 20754-2022")</f>
        <v/>
      </c>
      <c r="X332">
        <f>HYPERLINK("https://klasma.github.io/Logging_1782/tillsyn/A 20754-2022 tillsynsbegäran.docx", "A 20754-2022")</f>
        <v/>
      </c>
      <c r="Y332">
        <f>HYPERLINK("https://klasma.github.io/Logging_1782/tillsynsmail/A 20754-2022 tillsynsbegäran mail.docx", "A 20754-2022")</f>
        <v/>
      </c>
    </row>
    <row r="333" ht="15" customHeight="1">
      <c r="A333" t="inlineStr">
        <is>
          <t>A 22174-2022</t>
        </is>
      </c>
      <c r="B333" s="1" t="n">
        <v>44712</v>
      </c>
      <c r="C333" s="1" t="n">
        <v>45222</v>
      </c>
      <c r="D333" t="inlineStr">
        <is>
          <t>VÄRMLANDS LÄN</t>
        </is>
      </c>
      <c r="E333" t="inlineStr">
        <is>
          <t>TORSBY</t>
        </is>
      </c>
      <c r="G333" t="n">
        <v>11</v>
      </c>
      <c r="H333" t="n">
        <v>1</v>
      </c>
      <c r="I333" t="n">
        <v>0</v>
      </c>
      <c r="J333" t="n">
        <v>0</v>
      </c>
      <c r="K333" t="n">
        <v>0</v>
      </c>
      <c r="L333" t="n">
        <v>0</v>
      </c>
      <c r="M333" t="n">
        <v>0</v>
      </c>
      <c r="N333" t="n">
        <v>0</v>
      </c>
      <c r="O333" t="n">
        <v>0</v>
      </c>
      <c r="P333" t="n">
        <v>0</v>
      </c>
      <c r="Q333" t="n">
        <v>1</v>
      </c>
      <c r="R333" s="2" t="inlineStr">
        <is>
          <t>Revlummer</t>
        </is>
      </c>
      <c r="S333">
        <f>HYPERLINK("https://klasma.github.io/Logging_1737/artfynd/A 22174-2022 artfynd.xlsx", "A 22174-2022")</f>
        <v/>
      </c>
      <c r="T333">
        <f>HYPERLINK("https://klasma.github.io/Logging_1737/kartor/A 22174-2022 karta.png", "A 22174-2022")</f>
        <v/>
      </c>
      <c r="V333">
        <f>HYPERLINK("https://klasma.github.io/Logging_1737/klagomål/A 22174-2022 FSC-klagomål.docx", "A 22174-2022")</f>
        <v/>
      </c>
      <c r="W333">
        <f>HYPERLINK("https://klasma.github.io/Logging_1737/klagomålsmail/A 22174-2022 FSC-klagomål mail.docx", "A 22174-2022")</f>
        <v/>
      </c>
      <c r="X333">
        <f>HYPERLINK("https://klasma.github.io/Logging_1737/tillsyn/A 22174-2022 tillsynsbegäran.docx", "A 22174-2022")</f>
        <v/>
      </c>
      <c r="Y333">
        <f>HYPERLINK("https://klasma.github.io/Logging_1737/tillsynsmail/A 22174-2022 tillsynsbegäran mail.docx", "A 22174-2022")</f>
        <v/>
      </c>
    </row>
    <row r="334" ht="15" customHeight="1">
      <c r="A334" t="inlineStr">
        <is>
          <t>A 24618-2022</t>
        </is>
      </c>
      <c r="B334" s="1" t="n">
        <v>44727</v>
      </c>
      <c r="C334" s="1" t="n">
        <v>45222</v>
      </c>
      <c r="D334" t="inlineStr">
        <is>
          <t>VÄRMLANDS LÄN</t>
        </is>
      </c>
      <c r="E334" t="inlineStr">
        <is>
          <t>HAMMARÖ</t>
        </is>
      </c>
      <c r="F334" t="inlineStr">
        <is>
          <t>Kommuner</t>
        </is>
      </c>
      <c r="G334" t="n">
        <v>4.6</v>
      </c>
      <c r="H334" t="n">
        <v>1</v>
      </c>
      <c r="I334" t="n">
        <v>0</v>
      </c>
      <c r="J334" t="n">
        <v>0</v>
      </c>
      <c r="K334" t="n">
        <v>1</v>
      </c>
      <c r="L334" t="n">
        <v>0</v>
      </c>
      <c r="M334" t="n">
        <v>0</v>
      </c>
      <c r="N334" t="n">
        <v>0</v>
      </c>
      <c r="O334" t="n">
        <v>1</v>
      </c>
      <c r="P334" t="n">
        <v>1</v>
      </c>
      <c r="Q334" t="n">
        <v>1</v>
      </c>
      <c r="R334" s="2" t="inlineStr">
        <is>
          <t>Knärot</t>
        </is>
      </c>
      <c r="S334">
        <f>HYPERLINK("https://klasma.github.io/Logging_1761/artfynd/A 24618-2022 artfynd.xlsx", "A 24618-2022")</f>
        <v/>
      </c>
      <c r="T334">
        <f>HYPERLINK("https://klasma.github.io/Logging_1761/kartor/A 24618-2022 karta.png", "A 24618-2022")</f>
        <v/>
      </c>
      <c r="U334">
        <f>HYPERLINK("https://klasma.github.io/Logging_1761/knärot/A 24618-2022 karta knärot.png", "A 24618-2022")</f>
        <v/>
      </c>
      <c r="V334">
        <f>HYPERLINK("https://klasma.github.io/Logging_1761/klagomål/A 24618-2022 FSC-klagomål.docx", "A 24618-2022")</f>
        <v/>
      </c>
      <c r="W334">
        <f>HYPERLINK("https://klasma.github.io/Logging_1761/klagomålsmail/A 24618-2022 FSC-klagomål mail.docx", "A 24618-2022")</f>
        <v/>
      </c>
      <c r="X334">
        <f>HYPERLINK("https://klasma.github.io/Logging_1761/tillsyn/A 24618-2022 tillsynsbegäran.docx", "A 24618-2022")</f>
        <v/>
      </c>
      <c r="Y334">
        <f>HYPERLINK("https://klasma.github.io/Logging_1761/tillsynsmail/A 24618-2022 tillsynsbegäran mail.docx", "A 24618-2022")</f>
        <v/>
      </c>
    </row>
    <row r="335" ht="15" customHeight="1">
      <c r="A335" t="inlineStr">
        <is>
          <t>A 24756-2022</t>
        </is>
      </c>
      <c r="B335" s="1" t="n">
        <v>44728</v>
      </c>
      <c r="C335" s="1" t="n">
        <v>45222</v>
      </c>
      <c r="D335" t="inlineStr">
        <is>
          <t>VÄRMLANDS LÄN</t>
        </is>
      </c>
      <c r="E335" t="inlineStr">
        <is>
          <t>ARVIKA</t>
        </is>
      </c>
      <c r="F335" t="inlineStr">
        <is>
          <t>Bergvik skog väst AB</t>
        </is>
      </c>
      <c r="G335" t="n">
        <v>18.2</v>
      </c>
      <c r="H335" t="n">
        <v>1</v>
      </c>
      <c r="I335" t="n">
        <v>0</v>
      </c>
      <c r="J335" t="n">
        <v>1</v>
      </c>
      <c r="K335" t="n">
        <v>0</v>
      </c>
      <c r="L335" t="n">
        <v>0</v>
      </c>
      <c r="M335" t="n">
        <v>0</v>
      </c>
      <c r="N335" t="n">
        <v>0</v>
      </c>
      <c r="O335" t="n">
        <v>1</v>
      </c>
      <c r="P335" t="n">
        <v>0</v>
      </c>
      <c r="Q335" t="n">
        <v>1</v>
      </c>
      <c r="R335" s="2" t="inlineStr">
        <is>
          <t>Havsörn</t>
        </is>
      </c>
      <c r="S335">
        <f>HYPERLINK("https://klasma.github.io/Logging_1784/artfynd/A 24756-2022 artfynd.xlsx", "A 24756-2022")</f>
        <v/>
      </c>
      <c r="T335">
        <f>HYPERLINK("https://klasma.github.io/Logging_1784/kartor/A 24756-2022 karta.png", "A 24756-2022")</f>
        <v/>
      </c>
      <c r="V335">
        <f>HYPERLINK("https://klasma.github.io/Logging_1784/klagomål/A 24756-2022 FSC-klagomål.docx", "A 24756-2022")</f>
        <v/>
      </c>
      <c r="W335">
        <f>HYPERLINK("https://klasma.github.io/Logging_1784/klagomålsmail/A 24756-2022 FSC-klagomål mail.docx", "A 24756-2022")</f>
        <v/>
      </c>
      <c r="X335">
        <f>HYPERLINK("https://klasma.github.io/Logging_1784/tillsyn/A 24756-2022 tillsynsbegäran.docx", "A 24756-2022")</f>
        <v/>
      </c>
      <c r="Y335">
        <f>HYPERLINK("https://klasma.github.io/Logging_1784/tillsynsmail/A 24756-2022 tillsynsbegäran mail.docx", "A 24756-2022")</f>
        <v/>
      </c>
    </row>
    <row r="336" ht="15" customHeight="1">
      <c r="A336" t="inlineStr">
        <is>
          <t>A 25999-2022</t>
        </is>
      </c>
      <c r="B336" s="1" t="n">
        <v>44734</v>
      </c>
      <c r="C336" s="1" t="n">
        <v>45222</v>
      </c>
      <c r="D336" t="inlineStr">
        <is>
          <t>VÄRMLANDS LÄN</t>
        </is>
      </c>
      <c r="E336" t="inlineStr">
        <is>
          <t>TORSBY</t>
        </is>
      </c>
      <c r="G336" t="n">
        <v>0.6</v>
      </c>
      <c r="H336" t="n">
        <v>0</v>
      </c>
      <c r="I336" t="n">
        <v>1</v>
      </c>
      <c r="J336" t="n">
        <v>0</v>
      </c>
      <c r="K336" t="n">
        <v>0</v>
      </c>
      <c r="L336" t="n">
        <v>0</v>
      </c>
      <c r="M336" t="n">
        <v>0</v>
      </c>
      <c r="N336" t="n">
        <v>0</v>
      </c>
      <c r="O336" t="n">
        <v>0</v>
      </c>
      <c r="P336" t="n">
        <v>0</v>
      </c>
      <c r="Q336" t="n">
        <v>1</v>
      </c>
      <c r="R336" s="2" t="inlineStr">
        <is>
          <t>Korallblylav</t>
        </is>
      </c>
      <c r="S336">
        <f>HYPERLINK("https://klasma.github.io/Logging_1737/artfynd/A 25999-2022 artfynd.xlsx", "A 25999-2022")</f>
        <v/>
      </c>
      <c r="T336">
        <f>HYPERLINK("https://klasma.github.io/Logging_1737/kartor/A 25999-2022 karta.png", "A 25999-2022")</f>
        <v/>
      </c>
      <c r="V336">
        <f>HYPERLINK("https://klasma.github.io/Logging_1737/klagomål/A 25999-2022 FSC-klagomål.docx", "A 25999-2022")</f>
        <v/>
      </c>
      <c r="W336">
        <f>HYPERLINK("https://klasma.github.io/Logging_1737/klagomålsmail/A 25999-2022 FSC-klagomål mail.docx", "A 25999-2022")</f>
        <v/>
      </c>
      <c r="X336">
        <f>HYPERLINK("https://klasma.github.io/Logging_1737/tillsyn/A 25999-2022 tillsynsbegäran.docx", "A 25999-2022")</f>
        <v/>
      </c>
      <c r="Y336">
        <f>HYPERLINK("https://klasma.github.io/Logging_1737/tillsynsmail/A 25999-2022 tillsynsbegäran mail.docx", "A 25999-2022")</f>
        <v/>
      </c>
    </row>
    <row r="337" ht="15" customHeight="1">
      <c r="A337" t="inlineStr">
        <is>
          <t>A 26233-2022</t>
        </is>
      </c>
      <c r="B337" s="1" t="n">
        <v>44735</v>
      </c>
      <c r="C337" s="1" t="n">
        <v>45222</v>
      </c>
      <c r="D337" t="inlineStr">
        <is>
          <t>VÄRMLANDS LÄN</t>
        </is>
      </c>
      <c r="E337" t="inlineStr">
        <is>
          <t>FORSHAGA</t>
        </is>
      </c>
      <c r="F337" t="inlineStr">
        <is>
          <t>Bergvik skog väst AB</t>
        </is>
      </c>
      <c r="G337" t="n">
        <v>9.6</v>
      </c>
      <c r="H337" t="n">
        <v>1</v>
      </c>
      <c r="I337" t="n">
        <v>0</v>
      </c>
      <c r="J337" t="n">
        <v>0</v>
      </c>
      <c r="K337" t="n">
        <v>0</v>
      </c>
      <c r="L337" t="n">
        <v>0</v>
      </c>
      <c r="M337" t="n">
        <v>0</v>
      </c>
      <c r="N337" t="n">
        <v>0</v>
      </c>
      <c r="O337" t="n">
        <v>0</v>
      </c>
      <c r="P337" t="n">
        <v>0</v>
      </c>
      <c r="Q337" t="n">
        <v>1</v>
      </c>
      <c r="R337" s="2" t="inlineStr">
        <is>
          <t>Buskmus</t>
        </is>
      </c>
      <c r="S337">
        <f>HYPERLINK("https://klasma.github.io/Logging_1763/artfynd/A 26233-2022 artfynd.xlsx", "A 26233-2022")</f>
        <v/>
      </c>
      <c r="T337">
        <f>HYPERLINK("https://klasma.github.io/Logging_1763/kartor/A 26233-2022 karta.png", "A 26233-2022")</f>
        <v/>
      </c>
      <c r="V337">
        <f>HYPERLINK("https://klasma.github.io/Logging_1763/klagomål/A 26233-2022 FSC-klagomål.docx", "A 26233-2022")</f>
        <v/>
      </c>
      <c r="W337">
        <f>HYPERLINK("https://klasma.github.io/Logging_1763/klagomålsmail/A 26233-2022 FSC-klagomål mail.docx", "A 26233-2022")</f>
        <v/>
      </c>
      <c r="X337">
        <f>HYPERLINK("https://klasma.github.io/Logging_1763/tillsyn/A 26233-2022 tillsynsbegäran.docx", "A 26233-2022")</f>
        <v/>
      </c>
      <c r="Y337">
        <f>HYPERLINK("https://klasma.github.io/Logging_1763/tillsynsmail/A 26233-2022 tillsynsbegäran mail.docx", "A 26233-2022")</f>
        <v/>
      </c>
    </row>
    <row r="338" ht="15" customHeight="1">
      <c r="A338" t="inlineStr">
        <is>
          <t>A 27105-2022</t>
        </is>
      </c>
      <c r="B338" s="1" t="n">
        <v>44741</v>
      </c>
      <c r="C338" s="1" t="n">
        <v>45222</v>
      </c>
      <c r="D338" t="inlineStr">
        <is>
          <t>VÄRMLANDS LÄN</t>
        </is>
      </c>
      <c r="E338" t="inlineStr">
        <is>
          <t>FILIPSTAD</t>
        </is>
      </c>
      <c r="F338" t="inlineStr">
        <is>
          <t>Bergvik skog väst AB</t>
        </is>
      </c>
      <c r="G338" t="n">
        <v>7</v>
      </c>
      <c r="H338" t="n">
        <v>1</v>
      </c>
      <c r="I338" t="n">
        <v>0</v>
      </c>
      <c r="J338" t="n">
        <v>0</v>
      </c>
      <c r="K338" t="n">
        <v>0</v>
      </c>
      <c r="L338" t="n">
        <v>0</v>
      </c>
      <c r="M338" t="n">
        <v>0</v>
      </c>
      <c r="N338" t="n">
        <v>0</v>
      </c>
      <c r="O338" t="n">
        <v>0</v>
      </c>
      <c r="P338" t="n">
        <v>0</v>
      </c>
      <c r="Q338" t="n">
        <v>1</v>
      </c>
      <c r="R338" s="2" t="inlineStr">
        <is>
          <t>Mattlummer</t>
        </is>
      </c>
      <c r="S338">
        <f>HYPERLINK("https://klasma.github.io/Logging_1782/artfynd/A 27105-2022 artfynd.xlsx", "A 27105-2022")</f>
        <v/>
      </c>
      <c r="T338">
        <f>HYPERLINK("https://klasma.github.io/Logging_1782/kartor/A 27105-2022 karta.png", "A 27105-2022")</f>
        <v/>
      </c>
      <c r="V338">
        <f>HYPERLINK("https://klasma.github.io/Logging_1782/klagomål/A 27105-2022 FSC-klagomål.docx", "A 27105-2022")</f>
        <v/>
      </c>
      <c r="W338">
        <f>HYPERLINK("https://klasma.github.io/Logging_1782/klagomålsmail/A 27105-2022 FSC-klagomål mail.docx", "A 27105-2022")</f>
        <v/>
      </c>
      <c r="X338">
        <f>HYPERLINK("https://klasma.github.io/Logging_1782/tillsyn/A 27105-2022 tillsynsbegäran.docx", "A 27105-2022")</f>
        <v/>
      </c>
      <c r="Y338">
        <f>HYPERLINK("https://klasma.github.io/Logging_1782/tillsynsmail/A 27105-2022 tillsynsbegäran mail.docx", "A 27105-2022")</f>
        <v/>
      </c>
    </row>
    <row r="339" ht="15" customHeight="1">
      <c r="A339" t="inlineStr">
        <is>
          <t>A 29742-2022</t>
        </is>
      </c>
      <c r="B339" s="1" t="n">
        <v>44755</v>
      </c>
      <c r="C339" s="1" t="n">
        <v>45222</v>
      </c>
      <c r="D339" t="inlineStr">
        <is>
          <t>VÄRMLANDS LÄN</t>
        </is>
      </c>
      <c r="E339" t="inlineStr">
        <is>
          <t>SÄFFLE</t>
        </is>
      </c>
      <c r="F339" t="inlineStr">
        <is>
          <t>Bergvik skog väst AB</t>
        </is>
      </c>
      <c r="G339" t="n">
        <v>7.9</v>
      </c>
      <c r="H339" t="n">
        <v>0</v>
      </c>
      <c r="I339" t="n">
        <v>1</v>
      </c>
      <c r="J339" t="n">
        <v>0</v>
      </c>
      <c r="K339" t="n">
        <v>0</v>
      </c>
      <c r="L339" t="n">
        <v>0</v>
      </c>
      <c r="M339" t="n">
        <v>0</v>
      </c>
      <c r="N339" t="n">
        <v>0</v>
      </c>
      <c r="O339" t="n">
        <v>0</v>
      </c>
      <c r="P339" t="n">
        <v>0</v>
      </c>
      <c r="Q339" t="n">
        <v>1</v>
      </c>
      <c r="R339" s="2" t="inlineStr">
        <is>
          <t>Vätteros</t>
        </is>
      </c>
      <c r="S339">
        <f>HYPERLINK("https://klasma.github.io/Logging_1785/artfynd/A 29742-2022 artfynd.xlsx", "A 29742-2022")</f>
        <v/>
      </c>
      <c r="T339">
        <f>HYPERLINK("https://klasma.github.io/Logging_1785/kartor/A 29742-2022 karta.png", "A 29742-2022")</f>
        <v/>
      </c>
      <c r="V339">
        <f>HYPERLINK("https://klasma.github.io/Logging_1785/klagomål/A 29742-2022 FSC-klagomål.docx", "A 29742-2022")</f>
        <v/>
      </c>
      <c r="W339">
        <f>HYPERLINK("https://klasma.github.io/Logging_1785/klagomålsmail/A 29742-2022 FSC-klagomål mail.docx", "A 29742-2022")</f>
        <v/>
      </c>
      <c r="X339">
        <f>HYPERLINK("https://klasma.github.io/Logging_1785/tillsyn/A 29742-2022 tillsynsbegäran.docx", "A 29742-2022")</f>
        <v/>
      </c>
      <c r="Y339">
        <f>HYPERLINK("https://klasma.github.io/Logging_1785/tillsynsmail/A 29742-2022 tillsynsbegäran mail.docx", "A 29742-2022")</f>
        <v/>
      </c>
    </row>
    <row r="340" ht="15" customHeight="1">
      <c r="A340" t="inlineStr">
        <is>
          <t>A 30596-2022</t>
        </is>
      </c>
      <c r="B340" s="1" t="n">
        <v>44762</v>
      </c>
      <c r="C340" s="1" t="n">
        <v>45222</v>
      </c>
      <c r="D340" t="inlineStr">
        <is>
          <t>VÄRMLANDS LÄN</t>
        </is>
      </c>
      <c r="E340" t="inlineStr">
        <is>
          <t>SÄFFLE</t>
        </is>
      </c>
      <c r="G340" t="n">
        <v>2.1</v>
      </c>
      <c r="H340" t="n">
        <v>0</v>
      </c>
      <c r="I340" t="n">
        <v>0</v>
      </c>
      <c r="J340" t="n">
        <v>1</v>
      </c>
      <c r="K340" t="n">
        <v>0</v>
      </c>
      <c r="L340" t="n">
        <v>0</v>
      </c>
      <c r="M340" t="n">
        <v>0</v>
      </c>
      <c r="N340" t="n">
        <v>0</v>
      </c>
      <c r="O340" t="n">
        <v>1</v>
      </c>
      <c r="P340" t="n">
        <v>0</v>
      </c>
      <c r="Q340" t="n">
        <v>1</v>
      </c>
      <c r="R340" s="2" t="inlineStr">
        <is>
          <t>Skogsklocka</t>
        </is>
      </c>
      <c r="S340">
        <f>HYPERLINK("https://klasma.github.io/Logging_1785/artfynd/A 30596-2022 artfynd.xlsx", "A 30596-2022")</f>
        <v/>
      </c>
      <c r="T340">
        <f>HYPERLINK("https://klasma.github.io/Logging_1785/kartor/A 30596-2022 karta.png", "A 30596-2022")</f>
        <v/>
      </c>
      <c r="V340">
        <f>HYPERLINK("https://klasma.github.io/Logging_1785/klagomål/A 30596-2022 FSC-klagomål.docx", "A 30596-2022")</f>
        <v/>
      </c>
      <c r="W340">
        <f>HYPERLINK("https://klasma.github.io/Logging_1785/klagomålsmail/A 30596-2022 FSC-klagomål mail.docx", "A 30596-2022")</f>
        <v/>
      </c>
      <c r="X340">
        <f>HYPERLINK("https://klasma.github.io/Logging_1785/tillsyn/A 30596-2022 tillsynsbegäran.docx", "A 30596-2022")</f>
        <v/>
      </c>
      <c r="Y340">
        <f>HYPERLINK("https://klasma.github.io/Logging_1785/tillsynsmail/A 30596-2022 tillsynsbegäran mail.docx", "A 30596-2022")</f>
        <v/>
      </c>
    </row>
    <row r="341" ht="15" customHeight="1">
      <c r="A341" t="inlineStr">
        <is>
          <t>A 34357-2022</t>
        </is>
      </c>
      <c r="B341" s="1" t="n">
        <v>44792</v>
      </c>
      <c r="C341" s="1" t="n">
        <v>45222</v>
      </c>
      <c r="D341" t="inlineStr">
        <is>
          <t>VÄRMLANDS LÄN</t>
        </is>
      </c>
      <c r="E341" t="inlineStr">
        <is>
          <t>GRUMS</t>
        </is>
      </c>
      <c r="G341" t="n">
        <v>15.3</v>
      </c>
      <c r="H341" t="n">
        <v>0</v>
      </c>
      <c r="I341" t="n">
        <v>0</v>
      </c>
      <c r="J341" t="n">
        <v>1</v>
      </c>
      <c r="K341" t="n">
        <v>0</v>
      </c>
      <c r="L341" t="n">
        <v>0</v>
      </c>
      <c r="M341" t="n">
        <v>0</v>
      </c>
      <c r="N341" t="n">
        <v>0</v>
      </c>
      <c r="O341" t="n">
        <v>1</v>
      </c>
      <c r="P341" t="n">
        <v>0</v>
      </c>
      <c r="Q341" t="n">
        <v>1</v>
      </c>
      <c r="R341" s="2" t="inlineStr">
        <is>
          <t>Skogsklocka</t>
        </is>
      </c>
      <c r="S341">
        <f>HYPERLINK("https://klasma.github.io/Logging_1764/artfynd/A 34357-2022 artfynd.xlsx", "A 34357-2022")</f>
        <v/>
      </c>
      <c r="T341">
        <f>HYPERLINK("https://klasma.github.io/Logging_1764/kartor/A 34357-2022 karta.png", "A 34357-2022")</f>
        <v/>
      </c>
      <c r="V341">
        <f>HYPERLINK("https://klasma.github.io/Logging_1764/klagomål/A 34357-2022 FSC-klagomål.docx", "A 34357-2022")</f>
        <v/>
      </c>
      <c r="W341">
        <f>HYPERLINK("https://klasma.github.io/Logging_1764/klagomålsmail/A 34357-2022 FSC-klagomål mail.docx", "A 34357-2022")</f>
        <v/>
      </c>
      <c r="X341">
        <f>HYPERLINK("https://klasma.github.io/Logging_1764/tillsyn/A 34357-2022 tillsynsbegäran.docx", "A 34357-2022")</f>
        <v/>
      </c>
      <c r="Y341">
        <f>HYPERLINK("https://klasma.github.io/Logging_1764/tillsynsmail/A 34357-2022 tillsynsbegäran mail.docx", "A 34357-2022")</f>
        <v/>
      </c>
    </row>
    <row r="342" ht="15" customHeight="1">
      <c r="A342" t="inlineStr">
        <is>
          <t>A 35709-2022</t>
        </is>
      </c>
      <c r="B342" s="1" t="n">
        <v>44799</v>
      </c>
      <c r="C342" s="1" t="n">
        <v>45222</v>
      </c>
      <c r="D342" t="inlineStr">
        <is>
          <t>VÄRMLANDS LÄN</t>
        </is>
      </c>
      <c r="E342" t="inlineStr">
        <is>
          <t>TORSBY</t>
        </is>
      </c>
      <c r="G342" t="n">
        <v>4.4</v>
      </c>
      <c r="H342" t="n">
        <v>0</v>
      </c>
      <c r="I342" t="n">
        <v>1</v>
      </c>
      <c r="J342" t="n">
        <v>0</v>
      </c>
      <c r="K342" t="n">
        <v>0</v>
      </c>
      <c r="L342" t="n">
        <v>0</v>
      </c>
      <c r="M342" t="n">
        <v>0</v>
      </c>
      <c r="N342" t="n">
        <v>0</v>
      </c>
      <c r="O342" t="n">
        <v>0</v>
      </c>
      <c r="P342" t="n">
        <v>0</v>
      </c>
      <c r="Q342" t="n">
        <v>1</v>
      </c>
      <c r="R342" s="2" t="inlineStr">
        <is>
          <t>Dropptaggsvamp</t>
        </is>
      </c>
      <c r="S342">
        <f>HYPERLINK("https://klasma.github.io/Logging_1737/artfynd/A 35709-2022 artfynd.xlsx", "A 35709-2022")</f>
        <v/>
      </c>
      <c r="T342">
        <f>HYPERLINK("https://klasma.github.io/Logging_1737/kartor/A 35709-2022 karta.png", "A 35709-2022")</f>
        <v/>
      </c>
      <c r="V342">
        <f>HYPERLINK("https://klasma.github.io/Logging_1737/klagomål/A 35709-2022 FSC-klagomål.docx", "A 35709-2022")</f>
        <v/>
      </c>
      <c r="W342">
        <f>HYPERLINK("https://klasma.github.io/Logging_1737/klagomålsmail/A 35709-2022 FSC-klagomål mail.docx", "A 35709-2022")</f>
        <v/>
      </c>
      <c r="X342">
        <f>HYPERLINK("https://klasma.github.io/Logging_1737/tillsyn/A 35709-2022 tillsynsbegäran.docx", "A 35709-2022")</f>
        <v/>
      </c>
      <c r="Y342">
        <f>HYPERLINK("https://klasma.github.io/Logging_1737/tillsynsmail/A 35709-2022 tillsynsbegäran mail.docx", "A 35709-2022")</f>
        <v/>
      </c>
    </row>
    <row r="343" ht="15" customHeight="1">
      <c r="A343" t="inlineStr">
        <is>
          <t>A 36885-2022</t>
        </is>
      </c>
      <c r="B343" s="1" t="n">
        <v>44805</v>
      </c>
      <c r="C343" s="1" t="n">
        <v>45222</v>
      </c>
      <c r="D343" t="inlineStr">
        <is>
          <t>VÄRMLANDS LÄN</t>
        </is>
      </c>
      <c r="E343" t="inlineStr">
        <is>
          <t>SÄFFLE</t>
        </is>
      </c>
      <c r="F343" t="inlineStr">
        <is>
          <t>Kyrkan</t>
        </is>
      </c>
      <c r="G343" t="n">
        <v>5.1</v>
      </c>
      <c r="H343" t="n">
        <v>0</v>
      </c>
      <c r="I343" t="n">
        <v>0</v>
      </c>
      <c r="J343" t="n">
        <v>0</v>
      </c>
      <c r="K343" t="n">
        <v>1</v>
      </c>
      <c r="L343" t="n">
        <v>0</v>
      </c>
      <c r="M343" t="n">
        <v>0</v>
      </c>
      <c r="N343" t="n">
        <v>0</v>
      </c>
      <c r="O343" t="n">
        <v>1</v>
      </c>
      <c r="P343" t="n">
        <v>1</v>
      </c>
      <c r="Q343" t="n">
        <v>1</v>
      </c>
      <c r="R343" s="2" t="inlineStr">
        <is>
          <t>Grangråticka</t>
        </is>
      </c>
      <c r="S343">
        <f>HYPERLINK("https://klasma.github.io/Logging_1785/artfynd/A 36885-2022 artfynd.xlsx", "A 36885-2022")</f>
        <v/>
      </c>
      <c r="T343">
        <f>HYPERLINK("https://klasma.github.io/Logging_1785/kartor/A 36885-2022 karta.png", "A 36885-2022")</f>
        <v/>
      </c>
      <c r="V343">
        <f>HYPERLINK("https://klasma.github.io/Logging_1785/klagomål/A 36885-2022 FSC-klagomål.docx", "A 36885-2022")</f>
        <v/>
      </c>
      <c r="W343">
        <f>HYPERLINK("https://klasma.github.io/Logging_1785/klagomålsmail/A 36885-2022 FSC-klagomål mail.docx", "A 36885-2022")</f>
        <v/>
      </c>
      <c r="X343">
        <f>HYPERLINK("https://klasma.github.io/Logging_1785/tillsyn/A 36885-2022 tillsynsbegäran.docx", "A 36885-2022")</f>
        <v/>
      </c>
      <c r="Y343">
        <f>HYPERLINK("https://klasma.github.io/Logging_1785/tillsynsmail/A 36885-2022 tillsynsbegäran mail.docx", "A 36885-2022")</f>
        <v/>
      </c>
    </row>
    <row r="344" ht="15" customHeight="1">
      <c r="A344" t="inlineStr">
        <is>
          <t>A 37408-2022</t>
        </is>
      </c>
      <c r="B344" s="1" t="n">
        <v>44809</v>
      </c>
      <c r="C344" s="1" t="n">
        <v>45222</v>
      </c>
      <c r="D344" t="inlineStr">
        <is>
          <t>VÄRMLANDS LÄN</t>
        </is>
      </c>
      <c r="E344" t="inlineStr">
        <is>
          <t>KIL</t>
        </is>
      </c>
      <c r="G344" t="n">
        <v>2.6</v>
      </c>
      <c r="H344" t="n">
        <v>0</v>
      </c>
      <c r="I344" t="n">
        <v>1</v>
      </c>
      <c r="J344" t="n">
        <v>0</v>
      </c>
      <c r="K344" t="n">
        <v>0</v>
      </c>
      <c r="L344" t="n">
        <v>0</v>
      </c>
      <c r="M344" t="n">
        <v>0</v>
      </c>
      <c r="N344" t="n">
        <v>0</v>
      </c>
      <c r="O344" t="n">
        <v>0</v>
      </c>
      <c r="P344" t="n">
        <v>0</v>
      </c>
      <c r="Q344" t="n">
        <v>1</v>
      </c>
      <c r="R344" s="2" t="inlineStr">
        <is>
          <t>Dropptaggsvamp</t>
        </is>
      </c>
      <c r="S344">
        <f>HYPERLINK("https://klasma.github.io/Logging_1715/artfynd/A 37408-2022 artfynd.xlsx", "A 37408-2022")</f>
        <v/>
      </c>
      <c r="T344">
        <f>HYPERLINK("https://klasma.github.io/Logging_1715/kartor/A 37408-2022 karta.png", "A 37408-2022")</f>
        <v/>
      </c>
      <c r="V344">
        <f>HYPERLINK("https://klasma.github.io/Logging_1715/klagomål/A 37408-2022 FSC-klagomål.docx", "A 37408-2022")</f>
        <v/>
      </c>
      <c r="W344">
        <f>HYPERLINK("https://klasma.github.io/Logging_1715/klagomålsmail/A 37408-2022 FSC-klagomål mail.docx", "A 37408-2022")</f>
        <v/>
      </c>
      <c r="X344">
        <f>HYPERLINK("https://klasma.github.io/Logging_1715/tillsyn/A 37408-2022 tillsynsbegäran.docx", "A 37408-2022")</f>
        <v/>
      </c>
      <c r="Y344">
        <f>HYPERLINK("https://klasma.github.io/Logging_1715/tillsynsmail/A 37408-2022 tillsynsbegäran mail.docx", "A 37408-2022")</f>
        <v/>
      </c>
    </row>
    <row r="345" ht="15" customHeight="1">
      <c r="A345" t="inlineStr">
        <is>
          <t>A 38477-2022</t>
        </is>
      </c>
      <c r="B345" s="1" t="n">
        <v>44813</v>
      </c>
      <c r="C345" s="1" t="n">
        <v>45222</v>
      </c>
      <c r="D345" t="inlineStr">
        <is>
          <t>VÄRMLANDS LÄN</t>
        </is>
      </c>
      <c r="E345" t="inlineStr">
        <is>
          <t>SÄFFLE</t>
        </is>
      </c>
      <c r="G345" t="n">
        <v>2.6</v>
      </c>
      <c r="H345" t="n">
        <v>0</v>
      </c>
      <c r="I345" t="n">
        <v>0</v>
      </c>
      <c r="J345" t="n">
        <v>1</v>
      </c>
      <c r="K345" t="n">
        <v>0</v>
      </c>
      <c r="L345" t="n">
        <v>0</v>
      </c>
      <c r="M345" t="n">
        <v>0</v>
      </c>
      <c r="N345" t="n">
        <v>0</v>
      </c>
      <c r="O345" t="n">
        <v>1</v>
      </c>
      <c r="P345" t="n">
        <v>0</v>
      </c>
      <c r="Q345" t="n">
        <v>1</v>
      </c>
      <c r="R345" s="2" t="inlineStr">
        <is>
          <t>Dofttaggsvamp</t>
        </is>
      </c>
      <c r="S345">
        <f>HYPERLINK("https://klasma.github.io/Logging_1785/artfynd/A 38477-2022 artfynd.xlsx", "A 38477-2022")</f>
        <v/>
      </c>
      <c r="T345">
        <f>HYPERLINK("https://klasma.github.io/Logging_1785/kartor/A 38477-2022 karta.png", "A 38477-2022")</f>
        <v/>
      </c>
      <c r="V345">
        <f>HYPERLINK("https://klasma.github.io/Logging_1785/klagomål/A 38477-2022 FSC-klagomål.docx", "A 38477-2022")</f>
        <v/>
      </c>
      <c r="W345">
        <f>HYPERLINK("https://klasma.github.io/Logging_1785/klagomålsmail/A 38477-2022 FSC-klagomål mail.docx", "A 38477-2022")</f>
        <v/>
      </c>
      <c r="X345">
        <f>HYPERLINK("https://klasma.github.io/Logging_1785/tillsyn/A 38477-2022 tillsynsbegäran.docx", "A 38477-2022")</f>
        <v/>
      </c>
      <c r="Y345">
        <f>HYPERLINK("https://klasma.github.io/Logging_1785/tillsynsmail/A 38477-2022 tillsynsbegäran mail.docx", "A 38477-2022")</f>
        <v/>
      </c>
    </row>
    <row r="346" ht="15" customHeight="1">
      <c r="A346" t="inlineStr">
        <is>
          <t>A 42500-2022</t>
        </is>
      </c>
      <c r="B346" s="1" t="n">
        <v>44831</v>
      </c>
      <c r="C346" s="1" t="n">
        <v>45222</v>
      </c>
      <c r="D346" t="inlineStr">
        <is>
          <t>VÄRMLANDS LÄN</t>
        </is>
      </c>
      <c r="E346" t="inlineStr">
        <is>
          <t>TORSBY</t>
        </is>
      </c>
      <c r="F346" t="inlineStr">
        <is>
          <t>Kommuner</t>
        </is>
      </c>
      <c r="G346" t="n">
        <v>2.3</v>
      </c>
      <c r="H346" t="n">
        <v>0</v>
      </c>
      <c r="I346" t="n">
        <v>0</v>
      </c>
      <c r="J346" t="n">
        <v>1</v>
      </c>
      <c r="K346" t="n">
        <v>0</v>
      </c>
      <c r="L346" t="n">
        <v>0</v>
      </c>
      <c r="M346" t="n">
        <v>0</v>
      </c>
      <c r="N346" t="n">
        <v>0</v>
      </c>
      <c r="O346" t="n">
        <v>1</v>
      </c>
      <c r="P346" t="n">
        <v>0</v>
      </c>
      <c r="Q346" t="n">
        <v>1</v>
      </c>
      <c r="R346" s="2" t="inlineStr">
        <is>
          <t>Violettgrå tagellav</t>
        </is>
      </c>
      <c r="S346">
        <f>HYPERLINK("https://klasma.github.io/Logging_1737/artfynd/A 42500-2022 artfynd.xlsx", "A 42500-2022")</f>
        <v/>
      </c>
      <c r="T346">
        <f>HYPERLINK("https://klasma.github.io/Logging_1737/kartor/A 42500-2022 karta.png", "A 42500-2022")</f>
        <v/>
      </c>
      <c r="U346">
        <f>HYPERLINK("https://klasma.github.io/Logging_1737/knärot/A 42500-2022 karta knärot.png", "A 42500-2022")</f>
        <v/>
      </c>
      <c r="V346">
        <f>HYPERLINK("https://klasma.github.io/Logging_1737/klagomål/A 42500-2022 FSC-klagomål.docx", "A 42500-2022")</f>
        <v/>
      </c>
      <c r="W346">
        <f>HYPERLINK("https://klasma.github.io/Logging_1737/klagomålsmail/A 42500-2022 FSC-klagomål mail.docx", "A 42500-2022")</f>
        <v/>
      </c>
      <c r="X346">
        <f>HYPERLINK("https://klasma.github.io/Logging_1737/tillsyn/A 42500-2022 tillsynsbegäran.docx", "A 42500-2022")</f>
        <v/>
      </c>
      <c r="Y346">
        <f>HYPERLINK("https://klasma.github.io/Logging_1737/tillsynsmail/A 42500-2022 tillsynsbegäran mail.docx", "A 42500-2022")</f>
        <v/>
      </c>
    </row>
    <row r="347" ht="15" customHeight="1">
      <c r="A347" t="inlineStr">
        <is>
          <t>A 44007-2022</t>
        </is>
      </c>
      <c r="B347" s="1" t="n">
        <v>44838</v>
      </c>
      <c r="C347" s="1" t="n">
        <v>45222</v>
      </c>
      <c r="D347" t="inlineStr">
        <is>
          <t>VÄRMLANDS LÄN</t>
        </is>
      </c>
      <c r="E347" t="inlineStr">
        <is>
          <t>TORSBY</t>
        </is>
      </c>
      <c r="F347" t="inlineStr">
        <is>
          <t>Bergvik skog väst AB</t>
        </is>
      </c>
      <c r="G347" t="n">
        <v>8</v>
      </c>
      <c r="H347" t="n">
        <v>1</v>
      </c>
      <c r="I347" t="n">
        <v>0</v>
      </c>
      <c r="J347" t="n">
        <v>1</v>
      </c>
      <c r="K347" t="n">
        <v>0</v>
      </c>
      <c r="L347" t="n">
        <v>0</v>
      </c>
      <c r="M347" t="n">
        <v>0</v>
      </c>
      <c r="N347" t="n">
        <v>0</v>
      </c>
      <c r="O347" t="n">
        <v>1</v>
      </c>
      <c r="P347" t="n">
        <v>0</v>
      </c>
      <c r="Q347" t="n">
        <v>1</v>
      </c>
      <c r="R347" s="2" t="inlineStr">
        <is>
          <t>Utter</t>
        </is>
      </c>
      <c r="S347">
        <f>HYPERLINK("https://klasma.github.io/Logging_1737/artfynd/A 44007-2022 artfynd.xlsx", "A 44007-2022")</f>
        <v/>
      </c>
      <c r="T347">
        <f>HYPERLINK("https://klasma.github.io/Logging_1737/kartor/A 44007-2022 karta.png", "A 44007-2022")</f>
        <v/>
      </c>
      <c r="V347">
        <f>HYPERLINK("https://klasma.github.io/Logging_1737/klagomål/A 44007-2022 FSC-klagomål.docx", "A 44007-2022")</f>
        <v/>
      </c>
      <c r="W347">
        <f>HYPERLINK("https://klasma.github.io/Logging_1737/klagomålsmail/A 44007-2022 FSC-klagomål mail.docx", "A 44007-2022")</f>
        <v/>
      </c>
      <c r="X347">
        <f>HYPERLINK("https://klasma.github.io/Logging_1737/tillsyn/A 44007-2022 tillsynsbegäran.docx", "A 44007-2022")</f>
        <v/>
      </c>
      <c r="Y347">
        <f>HYPERLINK("https://klasma.github.io/Logging_1737/tillsynsmail/A 44007-2022 tillsynsbegäran mail.docx", "A 44007-2022")</f>
        <v/>
      </c>
    </row>
    <row r="348" ht="15" customHeight="1">
      <c r="A348" t="inlineStr">
        <is>
          <t>A 45293-2022</t>
        </is>
      </c>
      <c r="B348" s="1" t="n">
        <v>44840</v>
      </c>
      <c r="C348" s="1" t="n">
        <v>45222</v>
      </c>
      <c r="D348" t="inlineStr">
        <is>
          <t>VÄRMLANDS LÄN</t>
        </is>
      </c>
      <c r="E348" t="inlineStr">
        <is>
          <t>SUNNE</t>
        </is>
      </c>
      <c r="G348" t="n">
        <v>1.4</v>
      </c>
      <c r="H348" t="n">
        <v>0</v>
      </c>
      <c r="I348" t="n">
        <v>1</v>
      </c>
      <c r="J348" t="n">
        <v>0</v>
      </c>
      <c r="K348" t="n">
        <v>0</v>
      </c>
      <c r="L348" t="n">
        <v>0</v>
      </c>
      <c r="M348" t="n">
        <v>0</v>
      </c>
      <c r="N348" t="n">
        <v>0</v>
      </c>
      <c r="O348" t="n">
        <v>0</v>
      </c>
      <c r="P348" t="n">
        <v>0</v>
      </c>
      <c r="Q348" t="n">
        <v>1</v>
      </c>
      <c r="R348" s="2" t="inlineStr">
        <is>
          <t>Bronshjon</t>
        </is>
      </c>
      <c r="S348">
        <f>HYPERLINK("https://klasma.github.io/Logging_1766/artfynd/A 45293-2022 artfynd.xlsx", "A 45293-2022")</f>
        <v/>
      </c>
      <c r="T348">
        <f>HYPERLINK("https://klasma.github.io/Logging_1766/kartor/A 45293-2022 karta.png", "A 45293-2022")</f>
        <v/>
      </c>
      <c r="V348">
        <f>HYPERLINK("https://klasma.github.io/Logging_1766/klagomål/A 45293-2022 FSC-klagomål.docx", "A 45293-2022")</f>
        <v/>
      </c>
      <c r="W348">
        <f>HYPERLINK("https://klasma.github.io/Logging_1766/klagomålsmail/A 45293-2022 FSC-klagomål mail.docx", "A 45293-2022")</f>
        <v/>
      </c>
      <c r="X348">
        <f>HYPERLINK("https://klasma.github.io/Logging_1766/tillsyn/A 45293-2022 tillsynsbegäran.docx", "A 45293-2022")</f>
        <v/>
      </c>
      <c r="Y348">
        <f>HYPERLINK("https://klasma.github.io/Logging_1766/tillsynsmail/A 45293-2022 tillsynsbegäran mail.docx", "A 45293-2022")</f>
        <v/>
      </c>
    </row>
    <row r="349" ht="15" customHeight="1">
      <c r="A349" t="inlineStr">
        <is>
          <t>A 45938-2022</t>
        </is>
      </c>
      <c r="B349" s="1" t="n">
        <v>44846</v>
      </c>
      <c r="C349" s="1" t="n">
        <v>45222</v>
      </c>
      <c r="D349" t="inlineStr">
        <is>
          <t>VÄRMLANDS LÄN</t>
        </is>
      </c>
      <c r="E349" t="inlineStr">
        <is>
          <t>ÅRJÄNG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HYPERLINK("https://klasma.github.io/Logging_1765/artfynd/A 45938-2022 artfynd.xlsx", "A 45938-2022")</f>
        <v/>
      </c>
      <c r="T349">
        <f>HYPERLINK("https://klasma.github.io/Logging_1765/kartor/A 45938-2022 karta.png", "A 45938-2022")</f>
        <v/>
      </c>
      <c r="U349">
        <f>HYPERLINK("https://klasma.github.io/Logging_1765/knärot/A 45938-2022 karta knärot.png", "A 45938-2022")</f>
        <v/>
      </c>
      <c r="V349">
        <f>HYPERLINK("https://klasma.github.io/Logging_1765/klagomål/A 45938-2022 FSC-klagomål.docx", "A 45938-2022")</f>
        <v/>
      </c>
      <c r="W349">
        <f>HYPERLINK("https://klasma.github.io/Logging_1765/klagomålsmail/A 45938-2022 FSC-klagomål mail.docx", "A 45938-2022")</f>
        <v/>
      </c>
      <c r="X349">
        <f>HYPERLINK("https://klasma.github.io/Logging_1765/tillsyn/A 45938-2022 tillsynsbegäran.docx", "A 45938-2022")</f>
        <v/>
      </c>
      <c r="Y349">
        <f>HYPERLINK("https://klasma.github.io/Logging_1765/tillsynsmail/A 45938-2022 tillsynsbegäran mail.docx", "A 45938-2022")</f>
        <v/>
      </c>
    </row>
    <row r="350" ht="15" customHeight="1">
      <c r="A350" t="inlineStr">
        <is>
          <t>A 46927-2022</t>
        </is>
      </c>
      <c r="B350" s="1" t="n">
        <v>44851</v>
      </c>
      <c r="C350" s="1" t="n">
        <v>45222</v>
      </c>
      <c r="D350" t="inlineStr">
        <is>
          <t>VÄRMLANDS LÄN</t>
        </is>
      </c>
      <c r="E350" t="inlineStr">
        <is>
          <t>ARVIKA</t>
        </is>
      </c>
      <c r="G350" t="n">
        <v>9.800000000000001</v>
      </c>
      <c r="H350" t="n">
        <v>1</v>
      </c>
      <c r="I350" t="n">
        <v>0</v>
      </c>
      <c r="J350" t="n">
        <v>0</v>
      </c>
      <c r="K350" t="n">
        <v>1</v>
      </c>
      <c r="L350" t="n">
        <v>0</v>
      </c>
      <c r="M350" t="n">
        <v>0</v>
      </c>
      <c r="N350" t="n">
        <v>0</v>
      </c>
      <c r="O350" t="n">
        <v>1</v>
      </c>
      <c r="P350" t="n">
        <v>1</v>
      </c>
      <c r="Q350" t="n">
        <v>1</v>
      </c>
      <c r="R350" s="2" t="inlineStr">
        <is>
          <t>Knärot</t>
        </is>
      </c>
      <c r="S350">
        <f>HYPERLINK("https://klasma.github.io/Logging_1784/artfynd/A 46927-2022 artfynd.xlsx", "A 46927-2022")</f>
        <v/>
      </c>
      <c r="T350">
        <f>HYPERLINK("https://klasma.github.io/Logging_1784/kartor/A 46927-2022 karta.png", "A 46927-2022")</f>
        <v/>
      </c>
      <c r="U350">
        <f>HYPERLINK("https://klasma.github.io/Logging_1784/knärot/A 46927-2022 karta knärot.png", "A 46927-2022")</f>
        <v/>
      </c>
      <c r="V350">
        <f>HYPERLINK("https://klasma.github.io/Logging_1784/klagomål/A 46927-2022 FSC-klagomål.docx", "A 46927-2022")</f>
        <v/>
      </c>
      <c r="W350">
        <f>HYPERLINK("https://klasma.github.io/Logging_1784/klagomålsmail/A 46927-2022 FSC-klagomål mail.docx", "A 46927-2022")</f>
        <v/>
      </c>
      <c r="X350">
        <f>HYPERLINK("https://klasma.github.io/Logging_1784/tillsyn/A 46927-2022 tillsynsbegäran.docx", "A 46927-2022")</f>
        <v/>
      </c>
      <c r="Y350">
        <f>HYPERLINK("https://klasma.github.io/Logging_1784/tillsynsmail/A 46927-2022 tillsynsbegäran mail.docx", "A 46927-2022")</f>
        <v/>
      </c>
    </row>
    <row r="351" ht="15" customHeight="1">
      <c r="A351" t="inlineStr">
        <is>
          <t>A 47699-2022</t>
        </is>
      </c>
      <c r="B351" s="1" t="n">
        <v>44854</v>
      </c>
      <c r="C351" s="1" t="n">
        <v>45222</v>
      </c>
      <c r="D351" t="inlineStr">
        <is>
          <t>VÄRMLANDS LÄN</t>
        </is>
      </c>
      <c r="E351" t="inlineStr">
        <is>
          <t>ARVIKA</t>
        </is>
      </c>
      <c r="G351" t="n">
        <v>20</v>
      </c>
      <c r="H351" t="n">
        <v>1</v>
      </c>
      <c r="I351" t="n">
        <v>0</v>
      </c>
      <c r="J351" t="n">
        <v>0</v>
      </c>
      <c r="K351" t="n">
        <v>0</v>
      </c>
      <c r="L351" t="n">
        <v>0</v>
      </c>
      <c r="M351" t="n">
        <v>0</v>
      </c>
      <c r="N351" t="n">
        <v>0</v>
      </c>
      <c r="O351" t="n">
        <v>0</v>
      </c>
      <c r="P351" t="n">
        <v>0</v>
      </c>
      <c r="Q351" t="n">
        <v>1</v>
      </c>
      <c r="R351" s="2" t="inlineStr">
        <is>
          <t>Blåsippa</t>
        </is>
      </c>
      <c r="S351">
        <f>HYPERLINK("https://klasma.github.io/Logging_1784/artfynd/A 47699-2022 artfynd.xlsx", "A 47699-2022")</f>
        <v/>
      </c>
      <c r="T351">
        <f>HYPERLINK("https://klasma.github.io/Logging_1784/kartor/A 47699-2022 karta.png", "A 47699-2022")</f>
        <v/>
      </c>
      <c r="V351">
        <f>HYPERLINK("https://klasma.github.io/Logging_1784/klagomål/A 47699-2022 FSC-klagomål.docx", "A 47699-2022")</f>
        <v/>
      </c>
      <c r="W351">
        <f>HYPERLINK("https://klasma.github.io/Logging_1784/klagomålsmail/A 47699-2022 FSC-klagomål mail.docx", "A 47699-2022")</f>
        <v/>
      </c>
      <c r="X351">
        <f>HYPERLINK("https://klasma.github.io/Logging_1784/tillsyn/A 47699-2022 tillsynsbegäran.docx", "A 47699-2022")</f>
        <v/>
      </c>
      <c r="Y351">
        <f>HYPERLINK("https://klasma.github.io/Logging_1784/tillsynsmail/A 47699-2022 tillsynsbegäran mail.docx", "A 47699-2022")</f>
        <v/>
      </c>
    </row>
    <row r="352" ht="15" customHeight="1">
      <c r="A352" t="inlineStr">
        <is>
          <t>A 48243-2022</t>
        </is>
      </c>
      <c r="B352" s="1" t="n">
        <v>44858</v>
      </c>
      <c r="C352" s="1" t="n">
        <v>45222</v>
      </c>
      <c r="D352" t="inlineStr">
        <is>
          <t>VÄRMLANDS LÄN</t>
        </is>
      </c>
      <c r="E352" t="inlineStr">
        <is>
          <t>STORFORS</t>
        </is>
      </c>
      <c r="F352" t="inlineStr">
        <is>
          <t>Kyrkan</t>
        </is>
      </c>
      <c r="G352" t="n">
        <v>20.9</v>
      </c>
      <c r="H352" t="n">
        <v>0</v>
      </c>
      <c r="I352" t="n">
        <v>1</v>
      </c>
      <c r="J352" t="n">
        <v>0</v>
      </c>
      <c r="K352" t="n">
        <v>0</v>
      </c>
      <c r="L352" t="n">
        <v>0</v>
      </c>
      <c r="M352" t="n">
        <v>0</v>
      </c>
      <c r="N352" t="n">
        <v>0</v>
      </c>
      <c r="O352" t="n">
        <v>0</v>
      </c>
      <c r="P352" t="n">
        <v>0</v>
      </c>
      <c r="Q352" t="n">
        <v>1</v>
      </c>
      <c r="R352" s="2" t="inlineStr">
        <is>
          <t>Svart trolldruva</t>
        </is>
      </c>
      <c r="S352">
        <f>HYPERLINK("https://klasma.github.io/Logging_1760/artfynd/A 48243-2022 artfynd.xlsx", "A 48243-2022")</f>
        <v/>
      </c>
      <c r="T352">
        <f>HYPERLINK("https://klasma.github.io/Logging_1760/kartor/A 48243-2022 karta.png", "A 48243-2022")</f>
        <v/>
      </c>
      <c r="V352">
        <f>HYPERLINK("https://klasma.github.io/Logging_1760/klagomål/A 48243-2022 FSC-klagomål.docx", "A 48243-2022")</f>
        <v/>
      </c>
      <c r="W352">
        <f>HYPERLINK("https://klasma.github.io/Logging_1760/klagomålsmail/A 48243-2022 FSC-klagomål mail.docx", "A 48243-2022")</f>
        <v/>
      </c>
      <c r="X352">
        <f>HYPERLINK("https://klasma.github.io/Logging_1760/tillsyn/A 48243-2022 tillsynsbegäran.docx", "A 48243-2022")</f>
        <v/>
      </c>
      <c r="Y352">
        <f>HYPERLINK("https://klasma.github.io/Logging_1760/tillsynsmail/A 48243-2022 tillsynsbegäran mail.docx", "A 48243-2022")</f>
        <v/>
      </c>
    </row>
    <row r="353" ht="15" customHeight="1">
      <c r="A353" t="inlineStr">
        <is>
          <t>A 50236-2022</t>
        </is>
      </c>
      <c r="B353" s="1" t="n">
        <v>44865</v>
      </c>
      <c r="C353" s="1" t="n">
        <v>45222</v>
      </c>
      <c r="D353" t="inlineStr">
        <is>
          <t>VÄRMLANDS LÄN</t>
        </is>
      </c>
      <c r="E353" t="inlineStr">
        <is>
          <t>TORSBY</t>
        </is>
      </c>
      <c r="G353" t="n">
        <v>2.3</v>
      </c>
      <c r="H353" t="n">
        <v>0</v>
      </c>
      <c r="I353" t="n">
        <v>0</v>
      </c>
      <c r="J353" t="n">
        <v>1</v>
      </c>
      <c r="K353" t="n">
        <v>0</v>
      </c>
      <c r="L353" t="n">
        <v>0</v>
      </c>
      <c r="M353" t="n">
        <v>0</v>
      </c>
      <c r="N353" t="n">
        <v>0</v>
      </c>
      <c r="O353" t="n">
        <v>1</v>
      </c>
      <c r="P353" t="n">
        <v>0</v>
      </c>
      <c r="Q353" t="n">
        <v>1</v>
      </c>
      <c r="R353" s="2" t="inlineStr">
        <is>
          <t>Garnlav</t>
        </is>
      </c>
      <c r="S353">
        <f>HYPERLINK("https://klasma.github.io/Logging_1737/artfynd/A 50236-2022 artfynd.xlsx", "A 50236-2022")</f>
        <v/>
      </c>
      <c r="T353">
        <f>HYPERLINK("https://klasma.github.io/Logging_1737/kartor/A 50236-2022 karta.png", "A 50236-2022")</f>
        <v/>
      </c>
      <c r="V353">
        <f>HYPERLINK("https://klasma.github.io/Logging_1737/klagomål/A 50236-2022 FSC-klagomål.docx", "A 50236-2022")</f>
        <v/>
      </c>
      <c r="W353">
        <f>HYPERLINK("https://klasma.github.io/Logging_1737/klagomålsmail/A 50236-2022 FSC-klagomål mail.docx", "A 50236-2022")</f>
        <v/>
      </c>
      <c r="X353">
        <f>HYPERLINK("https://klasma.github.io/Logging_1737/tillsyn/A 50236-2022 tillsynsbegäran.docx", "A 50236-2022")</f>
        <v/>
      </c>
      <c r="Y353">
        <f>HYPERLINK("https://klasma.github.io/Logging_1737/tillsynsmail/A 50236-2022 tillsynsbegäran mail.docx", "A 50236-2022")</f>
        <v/>
      </c>
    </row>
    <row r="354" ht="15" customHeight="1">
      <c r="A354" t="inlineStr">
        <is>
          <t>A 51288-2022</t>
        </is>
      </c>
      <c r="B354" s="1" t="n">
        <v>44868</v>
      </c>
      <c r="C354" s="1" t="n">
        <v>45222</v>
      </c>
      <c r="D354" t="inlineStr">
        <is>
          <t>VÄRMLANDS LÄN</t>
        </is>
      </c>
      <c r="E354" t="inlineStr">
        <is>
          <t>TORSBY</t>
        </is>
      </c>
      <c r="G354" t="n">
        <v>1.9</v>
      </c>
      <c r="H354" t="n">
        <v>1</v>
      </c>
      <c r="I354" t="n">
        <v>0</v>
      </c>
      <c r="J354" t="n">
        <v>0</v>
      </c>
      <c r="K354" t="n">
        <v>1</v>
      </c>
      <c r="L354" t="n">
        <v>0</v>
      </c>
      <c r="M354" t="n">
        <v>0</v>
      </c>
      <c r="N354" t="n">
        <v>0</v>
      </c>
      <c r="O354" t="n">
        <v>1</v>
      </c>
      <c r="P354" t="n">
        <v>1</v>
      </c>
      <c r="Q354" t="n">
        <v>1</v>
      </c>
      <c r="R354" s="2" t="inlineStr">
        <is>
          <t>Bombmurkla</t>
        </is>
      </c>
      <c r="S354">
        <f>HYPERLINK("https://klasma.github.io/Logging_1737/artfynd/A 51288-2022 artfynd.xlsx", "A 51288-2022")</f>
        <v/>
      </c>
      <c r="T354">
        <f>HYPERLINK("https://klasma.github.io/Logging_1737/kartor/A 51288-2022 karta.png", "A 51288-2022")</f>
        <v/>
      </c>
      <c r="V354">
        <f>HYPERLINK("https://klasma.github.io/Logging_1737/klagomål/A 51288-2022 FSC-klagomål.docx", "A 51288-2022")</f>
        <v/>
      </c>
      <c r="W354">
        <f>HYPERLINK("https://klasma.github.io/Logging_1737/klagomålsmail/A 51288-2022 FSC-klagomål mail.docx", "A 51288-2022")</f>
        <v/>
      </c>
      <c r="X354">
        <f>HYPERLINK("https://klasma.github.io/Logging_1737/tillsyn/A 51288-2022 tillsynsbegäran.docx", "A 51288-2022")</f>
        <v/>
      </c>
      <c r="Y354">
        <f>HYPERLINK("https://klasma.github.io/Logging_1737/tillsynsmail/A 51288-2022 tillsynsbegäran mail.docx", "A 51288-2022")</f>
        <v/>
      </c>
    </row>
    <row r="355" ht="15" customHeight="1">
      <c r="A355" t="inlineStr">
        <is>
          <t>A 51522-2022</t>
        </is>
      </c>
      <c r="B355" s="1" t="n">
        <v>44869</v>
      </c>
      <c r="C355" s="1" t="n">
        <v>45222</v>
      </c>
      <c r="D355" t="inlineStr">
        <is>
          <t>VÄRMLANDS LÄN</t>
        </is>
      </c>
      <c r="E355" t="inlineStr">
        <is>
          <t>FILIPSTAD</t>
        </is>
      </c>
      <c r="G355" t="n">
        <v>4.1</v>
      </c>
      <c r="H355" t="n">
        <v>0</v>
      </c>
      <c r="I355" t="n">
        <v>1</v>
      </c>
      <c r="J355" t="n">
        <v>0</v>
      </c>
      <c r="K355" t="n">
        <v>0</v>
      </c>
      <c r="L355" t="n">
        <v>0</v>
      </c>
      <c r="M355" t="n">
        <v>0</v>
      </c>
      <c r="N355" t="n">
        <v>0</v>
      </c>
      <c r="O355" t="n">
        <v>0</v>
      </c>
      <c r="P355" t="n">
        <v>0</v>
      </c>
      <c r="Q355" t="n">
        <v>1</v>
      </c>
      <c r="R355" s="2" t="inlineStr">
        <is>
          <t>Tibast</t>
        </is>
      </c>
      <c r="S355">
        <f>HYPERLINK("https://klasma.github.io/Logging_1782/artfynd/A 51522-2022 artfynd.xlsx", "A 51522-2022")</f>
        <v/>
      </c>
      <c r="T355">
        <f>HYPERLINK("https://klasma.github.io/Logging_1782/kartor/A 51522-2022 karta.png", "A 51522-2022")</f>
        <v/>
      </c>
      <c r="V355">
        <f>HYPERLINK("https://klasma.github.io/Logging_1782/klagomål/A 51522-2022 FSC-klagomål.docx", "A 51522-2022")</f>
        <v/>
      </c>
      <c r="W355">
        <f>HYPERLINK("https://klasma.github.io/Logging_1782/klagomålsmail/A 51522-2022 FSC-klagomål mail.docx", "A 51522-2022")</f>
        <v/>
      </c>
      <c r="X355">
        <f>HYPERLINK("https://klasma.github.io/Logging_1782/tillsyn/A 51522-2022 tillsynsbegäran.docx", "A 51522-2022")</f>
        <v/>
      </c>
      <c r="Y355">
        <f>HYPERLINK("https://klasma.github.io/Logging_1782/tillsynsmail/A 51522-2022 tillsynsbegäran mail.docx", "A 51522-2022")</f>
        <v/>
      </c>
    </row>
    <row r="356" ht="15" customHeight="1">
      <c r="A356" t="inlineStr">
        <is>
          <t>A 52166-2022</t>
        </is>
      </c>
      <c r="B356" s="1" t="n">
        <v>44873</v>
      </c>
      <c r="C356" s="1" t="n">
        <v>45222</v>
      </c>
      <c r="D356" t="inlineStr">
        <is>
          <t>VÄRMLANDS LÄN</t>
        </is>
      </c>
      <c r="E356" t="inlineStr">
        <is>
          <t>ÅRJÄNG</t>
        </is>
      </c>
      <c r="G356" t="n">
        <v>12.9</v>
      </c>
      <c r="H356" t="n">
        <v>1</v>
      </c>
      <c r="I356" t="n">
        <v>0</v>
      </c>
      <c r="J356" t="n">
        <v>0</v>
      </c>
      <c r="K356" t="n">
        <v>0</v>
      </c>
      <c r="L356" t="n">
        <v>0</v>
      </c>
      <c r="M356" t="n">
        <v>0</v>
      </c>
      <c r="N356" t="n">
        <v>0</v>
      </c>
      <c r="O356" t="n">
        <v>0</v>
      </c>
      <c r="P356" t="n">
        <v>0</v>
      </c>
      <c r="Q356" t="n">
        <v>1</v>
      </c>
      <c r="R356" s="2" t="inlineStr">
        <is>
          <t>Blåsippa</t>
        </is>
      </c>
      <c r="S356">
        <f>HYPERLINK("https://klasma.github.io/Logging_1765/artfynd/A 52166-2022 artfynd.xlsx", "A 52166-2022")</f>
        <v/>
      </c>
      <c r="T356">
        <f>HYPERLINK("https://klasma.github.io/Logging_1765/kartor/A 52166-2022 karta.png", "A 52166-2022")</f>
        <v/>
      </c>
      <c r="V356">
        <f>HYPERLINK("https://klasma.github.io/Logging_1765/klagomål/A 52166-2022 FSC-klagomål.docx", "A 52166-2022")</f>
        <v/>
      </c>
      <c r="W356">
        <f>HYPERLINK("https://klasma.github.io/Logging_1765/klagomålsmail/A 52166-2022 FSC-klagomål mail.docx", "A 52166-2022")</f>
        <v/>
      </c>
      <c r="X356">
        <f>HYPERLINK("https://klasma.github.io/Logging_1765/tillsyn/A 52166-2022 tillsynsbegäran.docx", "A 52166-2022")</f>
        <v/>
      </c>
      <c r="Y356">
        <f>HYPERLINK("https://klasma.github.io/Logging_1765/tillsynsmail/A 52166-2022 tillsynsbegäran mail.docx", "A 52166-2022")</f>
        <v/>
      </c>
    </row>
    <row r="357" ht="15" customHeight="1">
      <c r="A357" t="inlineStr">
        <is>
          <t>A 54957-2022</t>
        </is>
      </c>
      <c r="B357" s="1" t="n">
        <v>44886</v>
      </c>
      <c r="C357" s="1" t="n">
        <v>45222</v>
      </c>
      <c r="D357" t="inlineStr">
        <is>
          <t>VÄRMLANDS LÄN</t>
        </is>
      </c>
      <c r="E357" t="inlineStr">
        <is>
          <t>SÄFFLE</t>
        </is>
      </c>
      <c r="G357" t="n">
        <v>3.6</v>
      </c>
      <c r="H357" t="n">
        <v>0</v>
      </c>
      <c r="I357" t="n">
        <v>1</v>
      </c>
      <c r="J357" t="n">
        <v>0</v>
      </c>
      <c r="K357" t="n">
        <v>0</v>
      </c>
      <c r="L357" t="n">
        <v>0</v>
      </c>
      <c r="M357" t="n">
        <v>0</v>
      </c>
      <c r="N357" t="n">
        <v>0</v>
      </c>
      <c r="O357" t="n">
        <v>0</v>
      </c>
      <c r="P357" t="n">
        <v>0</v>
      </c>
      <c r="Q357" t="n">
        <v>1</v>
      </c>
      <c r="R357" s="2" t="inlineStr">
        <is>
          <t>Vätteros</t>
        </is>
      </c>
      <c r="S357">
        <f>HYPERLINK("https://klasma.github.io/Logging_1785/artfynd/A 54957-2022 artfynd.xlsx", "A 54957-2022")</f>
        <v/>
      </c>
      <c r="T357">
        <f>HYPERLINK("https://klasma.github.io/Logging_1785/kartor/A 54957-2022 karta.png", "A 54957-2022")</f>
        <v/>
      </c>
      <c r="V357">
        <f>HYPERLINK("https://klasma.github.io/Logging_1785/klagomål/A 54957-2022 FSC-klagomål.docx", "A 54957-2022")</f>
        <v/>
      </c>
      <c r="W357">
        <f>HYPERLINK("https://klasma.github.io/Logging_1785/klagomålsmail/A 54957-2022 FSC-klagomål mail.docx", "A 54957-2022")</f>
        <v/>
      </c>
      <c r="X357">
        <f>HYPERLINK("https://klasma.github.io/Logging_1785/tillsyn/A 54957-2022 tillsynsbegäran.docx", "A 54957-2022")</f>
        <v/>
      </c>
      <c r="Y357">
        <f>HYPERLINK("https://klasma.github.io/Logging_1785/tillsynsmail/A 54957-2022 tillsynsbegäran mail.docx", "A 54957-2022")</f>
        <v/>
      </c>
    </row>
    <row r="358" ht="15" customHeight="1">
      <c r="A358" t="inlineStr">
        <is>
          <t>A 56083-2022</t>
        </is>
      </c>
      <c r="B358" s="1" t="n">
        <v>44889</v>
      </c>
      <c r="C358" s="1" t="n">
        <v>45222</v>
      </c>
      <c r="D358" t="inlineStr">
        <is>
          <t>VÄRMLANDS LÄN</t>
        </is>
      </c>
      <c r="E358" t="inlineStr">
        <is>
          <t>HAGFORS</t>
        </is>
      </c>
      <c r="F358" t="inlineStr">
        <is>
          <t>Bergvik skog väst AB</t>
        </is>
      </c>
      <c r="G358" t="n">
        <v>19.1</v>
      </c>
      <c r="H358" t="n">
        <v>0</v>
      </c>
      <c r="I358" t="n">
        <v>1</v>
      </c>
      <c r="J358" t="n">
        <v>0</v>
      </c>
      <c r="K358" t="n">
        <v>0</v>
      </c>
      <c r="L358" t="n">
        <v>0</v>
      </c>
      <c r="M358" t="n">
        <v>0</v>
      </c>
      <c r="N358" t="n">
        <v>0</v>
      </c>
      <c r="O358" t="n">
        <v>0</v>
      </c>
      <c r="P358" t="n">
        <v>0</v>
      </c>
      <c r="Q358" t="n">
        <v>1</v>
      </c>
      <c r="R358" s="2" t="inlineStr">
        <is>
          <t>Dropptaggsvamp</t>
        </is>
      </c>
      <c r="S358">
        <f>HYPERLINK("https://klasma.github.io/Logging_1783/artfynd/A 56083-2022 artfynd.xlsx", "A 56083-2022")</f>
        <v/>
      </c>
      <c r="T358">
        <f>HYPERLINK("https://klasma.github.io/Logging_1783/kartor/A 56083-2022 karta.png", "A 56083-2022")</f>
        <v/>
      </c>
      <c r="V358">
        <f>HYPERLINK("https://klasma.github.io/Logging_1783/klagomål/A 56083-2022 FSC-klagomål.docx", "A 56083-2022")</f>
        <v/>
      </c>
      <c r="W358">
        <f>HYPERLINK("https://klasma.github.io/Logging_1783/klagomålsmail/A 56083-2022 FSC-klagomål mail.docx", "A 56083-2022")</f>
        <v/>
      </c>
      <c r="X358">
        <f>HYPERLINK("https://klasma.github.io/Logging_1783/tillsyn/A 56083-2022 tillsynsbegäran.docx", "A 56083-2022")</f>
        <v/>
      </c>
      <c r="Y358">
        <f>HYPERLINK("https://klasma.github.io/Logging_1783/tillsynsmail/A 56083-2022 tillsynsbegäran mail.docx", "A 56083-2022")</f>
        <v/>
      </c>
    </row>
    <row r="359" ht="15" customHeight="1">
      <c r="A359" t="inlineStr">
        <is>
          <t>A 56590-2022</t>
        </is>
      </c>
      <c r="B359" s="1" t="n">
        <v>44893</v>
      </c>
      <c r="C359" s="1" t="n">
        <v>45222</v>
      </c>
      <c r="D359" t="inlineStr">
        <is>
          <t>VÄRMLANDS LÄN</t>
        </is>
      </c>
      <c r="E359" t="inlineStr">
        <is>
          <t>KRISTINEHAMN</t>
        </is>
      </c>
      <c r="F359" t="inlineStr">
        <is>
          <t>Sveaskog</t>
        </is>
      </c>
      <c r="G359" t="n">
        <v>3.6</v>
      </c>
      <c r="H359" t="n">
        <v>1</v>
      </c>
      <c r="I359" t="n">
        <v>0</v>
      </c>
      <c r="J359" t="n">
        <v>0</v>
      </c>
      <c r="K359" t="n">
        <v>0</v>
      </c>
      <c r="L359" t="n">
        <v>0</v>
      </c>
      <c r="M359" t="n">
        <v>0</v>
      </c>
      <c r="N359" t="n">
        <v>0</v>
      </c>
      <c r="O359" t="n">
        <v>0</v>
      </c>
      <c r="P359" t="n">
        <v>0</v>
      </c>
      <c r="Q359" t="n">
        <v>1</v>
      </c>
      <c r="R359" s="2" t="inlineStr">
        <is>
          <t>Kopparödla</t>
        </is>
      </c>
      <c r="S359">
        <f>HYPERLINK("https://klasma.github.io/Logging_1781/artfynd/A 56590-2022 artfynd.xlsx", "A 56590-2022")</f>
        <v/>
      </c>
      <c r="T359">
        <f>HYPERLINK("https://klasma.github.io/Logging_1781/kartor/A 56590-2022 karta.png", "A 56590-2022")</f>
        <v/>
      </c>
      <c r="V359">
        <f>HYPERLINK("https://klasma.github.io/Logging_1781/klagomål/A 56590-2022 FSC-klagomål.docx", "A 56590-2022")</f>
        <v/>
      </c>
      <c r="W359">
        <f>HYPERLINK("https://klasma.github.io/Logging_1781/klagomålsmail/A 56590-2022 FSC-klagomål mail.docx", "A 56590-2022")</f>
        <v/>
      </c>
      <c r="X359">
        <f>HYPERLINK("https://klasma.github.io/Logging_1781/tillsyn/A 56590-2022 tillsynsbegäran.docx", "A 56590-2022")</f>
        <v/>
      </c>
      <c r="Y359">
        <f>HYPERLINK("https://klasma.github.io/Logging_1781/tillsynsmail/A 56590-2022 tillsynsbegäran mail.docx", "A 56590-2022")</f>
        <v/>
      </c>
    </row>
    <row r="360" ht="15" customHeight="1">
      <c r="A360" t="inlineStr">
        <is>
          <t>A 56642-2022</t>
        </is>
      </c>
      <c r="B360" s="1" t="n">
        <v>44893</v>
      </c>
      <c r="C360" s="1" t="n">
        <v>45222</v>
      </c>
      <c r="D360" t="inlineStr">
        <is>
          <t>VÄRMLANDS LÄN</t>
        </is>
      </c>
      <c r="E360" t="inlineStr">
        <is>
          <t>KIL</t>
        </is>
      </c>
      <c r="F360" t="inlineStr">
        <is>
          <t>Bergvik skog väst AB</t>
        </is>
      </c>
      <c r="G360" t="n">
        <v>2.5</v>
      </c>
      <c r="H360" t="n">
        <v>0</v>
      </c>
      <c r="I360" t="n">
        <v>1</v>
      </c>
      <c r="J360" t="n">
        <v>0</v>
      </c>
      <c r="K360" t="n">
        <v>0</v>
      </c>
      <c r="L360" t="n">
        <v>0</v>
      </c>
      <c r="M360" t="n">
        <v>0</v>
      </c>
      <c r="N360" t="n">
        <v>0</v>
      </c>
      <c r="O360" t="n">
        <v>0</v>
      </c>
      <c r="P360" t="n">
        <v>0</v>
      </c>
      <c r="Q360" t="n">
        <v>1</v>
      </c>
      <c r="R360" s="2" t="inlineStr">
        <is>
          <t>Svart trolldruva</t>
        </is>
      </c>
      <c r="S360">
        <f>HYPERLINK("https://klasma.github.io/Logging_1715/artfynd/A 56642-2022 artfynd.xlsx", "A 56642-2022")</f>
        <v/>
      </c>
      <c r="T360">
        <f>HYPERLINK("https://klasma.github.io/Logging_1715/kartor/A 56642-2022 karta.png", "A 56642-2022")</f>
        <v/>
      </c>
      <c r="V360">
        <f>HYPERLINK("https://klasma.github.io/Logging_1715/klagomål/A 56642-2022 FSC-klagomål.docx", "A 56642-2022")</f>
        <v/>
      </c>
      <c r="W360">
        <f>HYPERLINK("https://klasma.github.io/Logging_1715/klagomålsmail/A 56642-2022 FSC-klagomål mail.docx", "A 56642-2022")</f>
        <v/>
      </c>
      <c r="X360">
        <f>HYPERLINK("https://klasma.github.io/Logging_1715/tillsyn/A 56642-2022 tillsynsbegäran.docx", "A 56642-2022")</f>
        <v/>
      </c>
      <c r="Y360">
        <f>HYPERLINK("https://klasma.github.io/Logging_1715/tillsynsmail/A 56642-2022 tillsynsbegäran mail.docx", "A 56642-2022")</f>
        <v/>
      </c>
    </row>
    <row r="361" ht="15" customHeight="1">
      <c r="A361" t="inlineStr">
        <is>
          <t>A 56676-2022</t>
        </is>
      </c>
      <c r="B361" s="1" t="n">
        <v>44893</v>
      </c>
      <c r="C361" s="1" t="n">
        <v>45222</v>
      </c>
      <c r="D361" t="inlineStr">
        <is>
          <t>VÄRMLANDS LÄN</t>
        </is>
      </c>
      <c r="E361" t="inlineStr">
        <is>
          <t>ARVIKA</t>
        </is>
      </c>
      <c r="F361" t="inlineStr">
        <is>
          <t>Övriga Aktiebolag</t>
        </is>
      </c>
      <c r="G361" t="n">
        <v>5.2</v>
      </c>
      <c r="H361" t="n">
        <v>1</v>
      </c>
      <c r="I361" t="n">
        <v>0</v>
      </c>
      <c r="J361" t="n">
        <v>0</v>
      </c>
      <c r="K361" t="n">
        <v>1</v>
      </c>
      <c r="L361" t="n">
        <v>0</v>
      </c>
      <c r="M361" t="n">
        <v>0</v>
      </c>
      <c r="N361" t="n">
        <v>0</v>
      </c>
      <c r="O361" t="n">
        <v>1</v>
      </c>
      <c r="P361" t="n">
        <v>1</v>
      </c>
      <c r="Q361" t="n">
        <v>1</v>
      </c>
      <c r="R361" s="2" t="inlineStr">
        <is>
          <t>Knärot</t>
        </is>
      </c>
      <c r="S361">
        <f>HYPERLINK("https://klasma.github.io/Logging_1784/artfynd/A 56676-2022 artfynd.xlsx", "A 56676-2022")</f>
        <v/>
      </c>
      <c r="T361">
        <f>HYPERLINK("https://klasma.github.io/Logging_1784/kartor/A 56676-2022 karta.png", "A 56676-2022")</f>
        <v/>
      </c>
      <c r="U361">
        <f>HYPERLINK("https://klasma.github.io/Logging_1784/knärot/A 56676-2022 karta knärot.png", "A 56676-2022")</f>
        <v/>
      </c>
      <c r="V361">
        <f>HYPERLINK("https://klasma.github.io/Logging_1784/klagomål/A 56676-2022 FSC-klagomål.docx", "A 56676-2022")</f>
        <v/>
      </c>
      <c r="W361">
        <f>HYPERLINK("https://klasma.github.io/Logging_1784/klagomålsmail/A 56676-2022 FSC-klagomål mail.docx", "A 56676-2022")</f>
        <v/>
      </c>
      <c r="X361">
        <f>HYPERLINK("https://klasma.github.io/Logging_1784/tillsyn/A 56676-2022 tillsynsbegäran.docx", "A 56676-2022")</f>
        <v/>
      </c>
      <c r="Y361">
        <f>HYPERLINK("https://klasma.github.io/Logging_1784/tillsynsmail/A 56676-2022 tillsynsbegäran mail.docx", "A 56676-2022")</f>
        <v/>
      </c>
    </row>
    <row r="362" ht="15" customHeight="1">
      <c r="A362" t="inlineStr">
        <is>
          <t>A 56794-2022</t>
        </is>
      </c>
      <c r="B362" s="1" t="n">
        <v>44894</v>
      </c>
      <c r="C362" s="1" t="n">
        <v>45222</v>
      </c>
      <c r="D362" t="inlineStr">
        <is>
          <t>VÄRMLANDS LÄN</t>
        </is>
      </c>
      <c r="E362" t="inlineStr">
        <is>
          <t>SÄFFLE</t>
        </is>
      </c>
      <c r="F362" t="inlineStr">
        <is>
          <t>Bergvik skog väst AB</t>
        </is>
      </c>
      <c r="G362" t="n">
        <v>21.8</v>
      </c>
      <c r="H362" t="n">
        <v>0</v>
      </c>
      <c r="I362" t="n">
        <v>0</v>
      </c>
      <c r="J362" t="n">
        <v>1</v>
      </c>
      <c r="K362" t="n">
        <v>0</v>
      </c>
      <c r="L362" t="n">
        <v>0</v>
      </c>
      <c r="M362" t="n">
        <v>0</v>
      </c>
      <c r="N362" t="n">
        <v>0</v>
      </c>
      <c r="O362" t="n">
        <v>1</v>
      </c>
      <c r="P362" t="n">
        <v>0</v>
      </c>
      <c r="Q362" t="n">
        <v>1</v>
      </c>
      <c r="R362" s="2" t="inlineStr">
        <is>
          <t>Skogsklocka</t>
        </is>
      </c>
      <c r="S362">
        <f>HYPERLINK("https://klasma.github.io/Logging_1785/artfynd/A 56794-2022 artfynd.xlsx", "A 56794-2022")</f>
        <v/>
      </c>
      <c r="T362">
        <f>HYPERLINK("https://klasma.github.io/Logging_1785/kartor/A 56794-2022 karta.png", "A 56794-2022")</f>
        <v/>
      </c>
      <c r="V362">
        <f>HYPERLINK("https://klasma.github.io/Logging_1785/klagomål/A 56794-2022 FSC-klagomål.docx", "A 56794-2022")</f>
        <v/>
      </c>
      <c r="W362">
        <f>HYPERLINK("https://klasma.github.io/Logging_1785/klagomålsmail/A 56794-2022 FSC-klagomål mail.docx", "A 56794-2022")</f>
        <v/>
      </c>
      <c r="X362">
        <f>HYPERLINK("https://klasma.github.io/Logging_1785/tillsyn/A 56794-2022 tillsynsbegäran.docx", "A 56794-2022")</f>
        <v/>
      </c>
      <c r="Y362">
        <f>HYPERLINK("https://klasma.github.io/Logging_1785/tillsynsmail/A 56794-2022 tillsynsbegäran mail.docx", "A 56794-2022")</f>
        <v/>
      </c>
    </row>
    <row r="363" ht="15" customHeight="1">
      <c r="A363" t="inlineStr">
        <is>
          <t>A 59323-2022</t>
        </is>
      </c>
      <c r="B363" s="1" t="n">
        <v>44904</v>
      </c>
      <c r="C363" s="1" t="n">
        <v>45222</v>
      </c>
      <c r="D363" t="inlineStr">
        <is>
          <t>VÄRMLANDS LÄN</t>
        </is>
      </c>
      <c r="E363" t="inlineStr">
        <is>
          <t>SUNNE</t>
        </is>
      </c>
      <c r="G363" t="n">
        <v>1.6</v>
      </c>
      <c r="H363" t="n">
        <v>1</v>
      </c>
      <c r="I363" t="n">
        <v>0</v>
      </c>
      <c r="J363" t="n">
        <v>1</v>
      </c>
      <c r="K363" t="n">
        <v>0</v>
      </c>
      <c r="L363" t="n">
        <v>0</v>
      </c>
      <c r="M363" t="n">
        <v>0</v>
      </c>
      <c r="N363" t="n">
        <v>0</v>
      </c>
      <c r="O363" t="n">
        <v>1</v>
      </c>
      <c r="P363" t="n">
        <v>0</v>
      </c>
      <c r="Q363" t="n">
        <v>1</v>
      </c>
      <c r="R363" s="2" t="inlineStr">
        <is>
          <t>Tretåig hackspett</t>
        </is>
      </c>
      <c r="S363">
        <f>HYPERLINK("https://klasma.github.io/Logging_1766/artfynd/A 59323-2022 artfynd.xlsx", "A 59323-2022")</f>
        <v/>
      </c>
      <c r="T363">
        <f>HYPERLINK("https://klasma.github.io/Logging_1766/kartor/A 59323-2022 karta.png", "A 59323-2022")</f>
        <v/>
      </c>
      <c r="V363">
        <f>HYPERLINK("https://klasma.github.io/Logging_1766/klagomål/A 59323-2022 FSC-klagomål.docx", "A 59323-2022")</f>
        <v/>
      </c>
      <c r="W363">
        <f>HYPERLINK("https://klasma.github.io/Logging_1766/klagomålsmail/A 59323-2022 FSC-klagomål mail.docx", "A 59323-2022")</f>
        <v/>
      </c>
      <c r="X363">
        <f>HYPERLINK("https://klasma.github.io/Logging_1766/tillsyn/A 59323-2022 tillsynsbegäran.docx", "A 59323-2022")</f>
        <v/>
      </c>
      <c r="Y363">
        <f>HYPERLINK("https://klasma.github.io/Logging_1766/tillsynsmail/A 59323-2022 tillsynsbegäran mail.docx", "A 59323-2022")</f>
        <v/>
      </c>
    </row>
    <row r="364" ht="15" customHeight="1">
      <c r="A364" t="inlineStr">
        <is>
          <t>A 60736-2022</t>
        </is>
      </c>
      <c r="B364" s="1" t="n">
        <v>44913</v>
      </c>
      <c r="C364" s="1" t="n">
        <v>45222</v>
      </c>
      <c r="D364" t="inlineStr">
        <is>
          <t>VÄRMLANDS LÄN</t>
        </is>
      </c>
      <c r="E364" t="inlineStr">
        <is>
          <t>FORSHAGA</t>
        </is>
      </c>
      <c r="G364" t="n">
        <v>1.1</v>
      </c>
      <c r="H364" t="n">
        <v>1</v>
      </c>
      <c r="I364" t="n">
        <v>0</v>
      </c>
      <c r="J364" t="n">
        <v>1</v>
      </c>
      <c r="K364" t="n">
        <v>0</v>
      </c>
      <c r="L364" t="n">
        <v>0</v>
      </c>
      <c r="M364" t="n">
        <v>0</v>
      </c>
      <c r="N364" t="n">
        <v>0</v>
      </c>
      <c r="O364" t="n">
        <v>1</v>
      </c>
      <c r="P364" t="n">
        <v>0</v>
      </c>
      <c r="Q364" t="n">
        <v>1</v>
      </c>
      <c r="R364" s="2" t="inlineStr">
        <is>
          <t>Mindre hackspett</t>
        </is>
      </c>
      <c r="S364">
        <f>HYPERLINK("https://klasma.github.io/Logging_1763/artfynd/A 60736-2022 artfynd.xlsx", "A 60736-2022")</f>
        <v/>
      </c>
      <c r="T364">
        <f>HYPERLINK("https://klasma.github.io/Logging_1763/kartor/A 60736-2022 karta.png", "A 60736-2022")</f>
        <v/>
      </c>
      <c r="V364">
        <f>HYPERLINK("https://klasma.github.io/Logging_1763/klagomål/A 60736-2022 FSC-klagomål.docx", "A 60736-2022")</f>
        <v/>
      </c>
      <c r="W364">
        <f>HYPERLINK("https://klasma.github.io/Logging_1763/klagomålsmail/A 60736-2022 FSC-klagomål mail.docx", "A 60736-2022")</f>
        <v/>
      </c>
      <c r="X364">
        <f>HYPERLINK("https://klasma.github.io/Logging_1763/tillsyn/A 60736-2022 tillsynsbegäran.docx", "A 60736-2022")</f>
        <v/>
      </c>
      <c r="Y364">
        <f>HYPERLINK("https://klasma.github.io/Logging_1763/tillsynsmail/A 60736-2022 tillsynsbegäran mail.docx", "A 60736-2022")</f>
        <v/>
      </c>
    </row>
    <row r="365" ht="15" customHeight="1">
      <c r="A365" t="inlineStr">
        <is>
          <t>A 62010-2022</t>
        </is>
      </c>
      <c r="B365" s="1" t="n">
        <v>44914</v>
      </c>
      <c r="C365" s="1" t="n">
        <v>45222</v>
      </c>
      <c r="D365" t="inlineStr">
        <is>
          <t>VÄRMLANDS LÄN</t>
        </is>
      </c>
      <c r="E365" t="inlineStr">
        <is>
          <t>KIL</t>
        </is>
      </c>
      <c r="G365" t="n">
        <v>7.8</v>
      </c>
      <c r="H365" t="n">
        <v>0</v>
      </c>
      <c r="I365" t="n">
        <v>1</v>
      </c>
      <c r="J365" t="n">
        <v>0</v>
      </c>
      <c r="K365" t="n">
        <v>0</v>
      </c>
      <c r="L365" t="n">
        <v>0</v>
      </c>
      <c r="M365" t="n">
        <v>0</v>
      </c>
      <c r="N365" t="n">
        <v>0</v>
      </c>
      <c r="O365" t="n">
        <v>0</v>
      </c>
      <c r="P365" t="n">
        <v>0</v>
      </c>
      <c r="Q365" t="n">
        <v>1</v>
      </c>
      <c r="R365" s="2" t="inlineStr">
        <is>
          <t>Ögonpyrola</t>
        </is>
      </c>
      <c r="S365">
        <f>HYPERLINK("https://klasma.github.io/Logging_1715/artfynd/A 62010-2022 artfynd.xlsx", "A 62010-2022")</f>
        <v/>
      </c>
      <c r="T365">
        <f>HYPERLINK("https://klasma.github.io/Logging_1715/kartor/A 62010-2022 karta.png", "A 62010-2022")</f>
        <v/>
      </c>
      <c r="V365">
        <f>HYPERLINK("https://klasma.github.io/Logging_1715/klagomål/A 62010-2022 FSC-klagomål.docx", "A 62010-2022")</f>
        <v/>
      </c>
      <c r="W365">
        <f>HYPERLINK("https://klasma.github.io/Logging_1715/klagomålsmail/A 62010-2022 FSC-klagomål mail.docx", "A 62010-2022")</f>
        <v/>
      </c>
      <c r="X365">
        <f>HYPERLINK("https://klasma.github.io/Logging_1715/tillsyn/A 62010-2022 tillsynsbegäran.docx", "A 62010-2022")</f>
        <v/>
      </c>
      <c r="Y365">
        <f>HYPERLINK("https://klasma.github.io/Logging_1715/tillsynsmail/A 62010-2022 tillsynsbegäran mail.docx", "A 62010-2022")</f>
        <v/>
      </c>
    </row>
    <row r="366" ht="15" customHeight="1">
      <c r="A366" t="inlineStr">
        <is>
          <t>A 1823-2023</t>
        </is>
      </c>
      <c r="B366" s="1" t="n">
        <v>44938</v>
      </c>
      <c r="C366" s="1" t="n">
        <v>45222</v>
      </c>
      <c r="D366" t="inlineStr">
        <is>
          <t>VÄRMLANDS LÄN</t>
        </is>
      </c>
      <c r="E366" t="inlineStr">
        <is>
          <t>SÄFFLE</t>
        </is>
      </c>
      <c r="G366" t="n">
        <v>4.4</v>
      </c>
      <c r="H366" t="n">
        <v>0</v>
      </c>
      <c r="I366" t="n">
        <v>0</v>
      </c>
      <c r="J366" t="n">
        <v>1</v>
      </c>
      <c r="K366" t="n">
        <v>0</v>
      </c>
      <c r="L366" t="n">
        <v>0</v>
      </c>
      <c r="M366" t="n">
        <v>0</v>
      </c>
      <c r="N366" t="n">
        <v>0</v>
      </c>
      <c r="O366" t="n">
        <v>1</v>
      </c>
      <c r="P366" t="n">
        <v>0</v>
      </c>
      <c r="Q366" t="n">
        <v>1</v>
      </c>
      <c r="R366" s="2" t="inlineStr">
        <is>
          <t>Skogsklocka</t>
        </is>
      </c>
      <c r="S366">
        <f>HYPERLINK("https://klasma.github.io/Logging_1785/artfynd/A 1823-2023 artfynd.xlsx", "A 1823-2023")</f>
        <v/>
      </c>
      <c r="T366">
        <f>HYPERLINK("https://klasma.github.io/Logging_1785/kartor/A 1823-2023 karta.png", "A 1823-2023")</f>
        <v/>
      </c>
      <c r="V366">
        <f>HYPERLINK("https://klasma.github.io/Logging_1785/klagomål/A 1823-2023 FSC-klagomål.docx", "A 1823-2023")</f>
        <v/>
      </c>
      <c r="W366">
        <f>HYPERLINK("https://klasma.github.io/Logging_1785/klagomålsmail/A 1823-2023 FSC-klagomål mail.docx", "A 1823-2023")</f>
        <v/>
      </c>
      <c r="X366">
        <f>HYPERLINK("https://klasma.github.io/Logging_1785/tillsyn/A 1823-2023 tillsynsbegäran.docx", "A 1823-2023")</f>
        <v/>
      </c>
      <c r="Y366">
        <f>HYPERLINK("https://klasma.github.io/Logging_1785/tillsynsmail/A 1823-2023 tillsynsbegäran mail.docx", "A 1823-2023")</f>
        <v/>
      </c>
    </row>
    <row r="367" ht="15" customHeight="1">
      <c r="A367" t="inlineStr">
        <is>
          <t>A 6661-2023</t>
        </is>
      </c>
      <c r="B367" s="1" t="n">
        <v>44963</v>
      </c>
      <c r="C367" s="1" t="n">
        <v>45222</v>
      </c>
      <c r="D367" t="inlineStr">
        <is>
          <t>VÄRMLANDS LÄN</t>
        </is>
      </c>
      <c r="E367" t="inlineStr">
        <is>
          <t>SUNNE</t>
        </is>
      </c>
      <c r="G367" t="n">
        <v>8.800000000000001</v>
      </c>
      <c r="H367" t="n">
        <v>0</v>
      </c>
      <c r="I367" t="n">
        <v>1</v>
      </c>
      <c r="J367" t="n">
        <v>0</v>
      </c>
      <c r="K367" t="n">
        <v>0</v>
      </c>
      <c r="L367" t="n">
        <v>0</v>
      </c>
      <c r="M367" t="n">
        <v>0</v>
      </c>
      <c r="N367" t="n">
        <v>0</v>
      </c>
      <c r="O367" t="n">
        <v>0</v>
      </c>
      <c r="P367" t="n">
        <v>0</v>
      </c>
      <c r="Q367" t="n">
        <v>1</v>
      </c>
      <c r="R367" s="2" t="inlineStr">
        <is>
          <t>Bronshjon</t>
        </is>
      </c>
      <c r="S367">
        <f>HYPERLINK("https://klasma.github.io/Logging_1766/artfynd/A 6661-2023 artfynd.xlsx", "A 6661-2023")</f>
        <v/>
      </c>
      <c r="T367">
        <f>HYPERLINK("https://klasma.github.io/Logging_1766/kartor/A 6661-2023 karta.png", "A 6661-2023")</f>
        <v/>
      </c>
      <c r="V367">
        <f>HYPERLINK("https://klasma.github.io/Logging_1766/klagomål/A 6661-2023 FSC-klagomål.docx", "A 6661-2023")</f>
        <v/>
      </c>
      <c r="W367">
        <f>HYPERLINK("https://klasma.github.io/Logging_1766/klagomålsmail/A 6661-2023 FSC-klagomål mail.docx", "A 6661-2023")</f>
        <v/>
      </c>
      <c r="X367">
        <f>HYPERLINK("https://klasma.github.io/Logging_1766/tillsyn/A 6661-2023 tillsynsbegäran.docx", "A 6661-2023")</f>
        <v/>
      </c>
      <c r="Y367">
        <f>HYPERLINK("https://klasma.github.io/Logging_1766/tillsynsmail/A 6661-2023 tillsynsbegäran mail.docx", "A 6661-2023")</f>
        <v/>
      </c>
    </row>
    <row r="368" ht="15" customHeight="1">
      <c r="A368" t="inlineStr">
        <is>
          <t>A 7240-2023</t>
        </is>
      </c>
      <c r="B368" s="1" t="n">
        <v>44970</v>
      </c>
      <c r="C368" s="1" t="n">
        <v>45222</v>
      </c>
      <c r="D368" t="inlineStr">
        <is>
          <t>VÄRMLANDS LÄN</t>
        </is>
      </c>
      <c r="E368" t="inlineStr">
        <is>
          <t>EDA</t>
        </is>
      </c>
      <c r="G368" t="n">
        <v>17.4</v>
      </c>
      <c r="H368" t="n">
        <v>0</v>
      </c>
      <c r="I368" t="n">
        <v>1</v>
      </c>
      <c r="J368" t="n">
        <v>0</v>
      </c>
      <c r="K368" t="n">
        <v>0</v>
      </c>
      <c r="L368" t="n">
        <v>0</v>
      </c>
      <c r="M368" t="n">
        <v>0</v>
      </c>
      <c r="N368" t="n">
        <v>0</v>
      </c>
      <c r="O368" t="n">
        <v>0</v>
      </c>
      <c r="P368" t="n">
        <v>0</v>
      </c>
      <c r="Q368" t="n">
        <v>1</v>
      </c>
      <c r="R368" s="2" t="inlineStr">
        <is>
          <t>Sotriska</t>
        </is>
      </c>
      <c r="S368">
        <f>HYPERLINK("https://klasma.github.io/Logging_1730/artfynd/A 7240-2023 artfynd.xlsx", "A 7240-2023")</f>
        <v/>
      </c>
      <c r="T368">
        <f>HYPERLINK("https://klasma.github.io/Logging_1730/kartor/A 7240-2023 karta.png", "A 7240-2023")</f>
        <v/>
      </c>
      <c r="V368">
        <f>HYPERLINK("https://klasma.github.io/Logging_1730/klagomål/A 7240-2023 FSC-klagomål.docx", "A 7240-2023")</f>
        <v/>
      </c>
      <c r="W368">
        <f>HYPERLINK("https://klasma.github.io/Logging_1730/klagomålsmail/A 7240-2023 FSC-klagomål mail.docx", "A 7240-2023")</f>
        <v/>
      </c>
      <c r="X368">
        <f>HYPERLINK("https://klasma.github.io/Logging_1730/tillsyn/A 7240-2023 tillsynsbegäran.docx", "A 7240-2023")</f>
        <v/>
      </c>
      <c r="Y368">
        <f>HYPERLINK("https://klasma.github.io/Logging_1730/tillsynsmail/A 7240-2023 tillsynsbegäran mail.docx", "A 7240-2023")</f>
        <v/>
      </c>
    </row>
    <row r="369" ht="15" customHeight="1">
      <c r="A369" t="inlineStr">
        <is>
          <t>A 8525-2023</t>
        </is>
      </c>
      <c r="B369" s="1" t="n">
        <v>44977</v>
      </c>
      <c r="C369" s="1" t="n">
        <v>45222</v>
      </c>
      <c r="D369" t="inlineStr">
        <is>
          <t>VÄRMLANDS LÄN</t>
        </is>
      </c>
      <c r="E369" t="inlineStr">
        <is>
          <t>ARVIKA</t>
        </is>
      </c>
      <c r="G369" t="n">
        <v>2.2</v>
      </c>
      <c r="H369" t="n">
        <v>1</v>
      </c>
      <c r="I369" t="n">
        <v>0</v>
      </c>
      <c r="J369" t="n">
        <v>0</v>
      </c>
      <c r="K369" t="n">
        <v>1</v>
      </c>
      <c r="L369" t="n">
        <v>0</v>
      </c>
      <c r="M369" t="n">
        <v>0</v>
      </c>
      <c r="N369" t="n">
        <v>0</v>
      </c>
      <c r="O369" t="n">
        <v>1</v>
      </c>
      <c r="P369" t="n">
        <v>1</v>
      </c>
      <c r="Q369" t="n">
        <v>1</v>
      </c>
      <c r="R369" s="2" t="inlineStr">
        <is>
          <t>Knärot</t>
        </is>
      </c>
      <c r="S369">
        <f>HYPERLINK("https://klasma.github.io/Logging_1784/artfynd/A 8525-2023 artfynd.xlsx", "A 8525-2023")</f>
        <v/>
      </c>
      <c r="T369">
        <f>HYPERLINK("https://klasma.github.io/Logging_1784/kartor/A 8525-2023 karta.png", "A 8525-2023")</f>
        <v/>
      </c>
      <c r="U369">
        <f>HYPERLINK("https://klasma.github.io/Logging_1784/knärot/A 8525-2023 karta knärot.png", "A 8525-2023")</f>
        <v/>
      </c>
      <c r="V369">
        <f>HYPERLINK("https://klasma.github.io/Logging_1784/klagomål/A 8525-2023 FSC-klagomål.docx", "A 8525-2023")</f>
        <v/>
      </c>
      <c r="W369">
        <f>HYPERLINK("https://klasma.github.io/Logging_1784/klagomålsmail/A 8525-2023 FSC-klagomål mail.docx", "A 8525-2023")</f>
        <v/>
      </c>
      <c r="X369">
        <f>HYPERLINK("https://klasma.github.io/Logging_1784/tillsyn/A 8525-2023 tillsynsbegäran.docx", "A 8525-2023")</f>
        <v/>
      </c>
      <c r="Y369">
        <f>HYPERLINK("https://klasma.github.io/Logging_1784/tillsynsmail/A 8525-2023 tillsynsbegäran mail.docx", "A 8525-2023")</f>
        <v/>
      </c>
    </row>
    <row r="370" ht="15" customHeight="1">
      <c r="A370" t="inlineStr">
        <is>
          <t>A 8591-2023</t>
        </is>
      </c>
      <c r="B370" s="1" t="n">
        <v>44977</v>
      </c>
      <c r="C370" s="1" t="n">
        <v>45222</v>
      </c>
      <c r="D370" t="inlineStr">
        <is>
          <t>VÄRMLANDS LÄN</t>
        </is>
      </c>
      <c r="E370" t="inlineStr">
        <is>
          <t>ARVIKA</t>
        </is>
      </c>
      <c r="G370" t="n">
        <v>6</v>
      </c>
      <c r="H370" t="n">
        <v>1</v>
      </c>
      <c r="I370" t="n">
        <v>0</v>
      </c>
      <c r="J370" t="n">
        <v>0</v>
      </c>
      <c r="K370" t="n">
        <v>1</v>
      </c>
      <c r="L370" t="n">
        <v>0</v>
      </c>
      <c r="M370" t="n">
        <v>0</v>
      </c>
      <c r="N370" t="n">
        <v>0</v>
      </c>
      <c r="O370" t="n">
        <v>1</v>
      </c>
      <c r="P370" t="n">
        <v>1</v>
      </c>
      <c r="Q370" t="n">
        <v>1</v>
      </c>
      <c r="R370" s="2" t="inlineStr">
        <is>
          <t>Knärot</t>
        </is>
      </c>
      <c r="S370">
        <f>HYPERLINK("https://klasma.github.io/Logging_1784/artfynd/A 8591-2023 artfynd.xlsx", "A 8591-2023")</f>
        <v/>
      </c>
      <c r="T370">
        <f>HYPERLINK("https://klasma.github.io/Logging_1784/kartor/A 8591-2023 karta.png", "A 8591-2023")</f>
        <v/>
      </c>
      <c r="U370">
        <f>HYPERLINK("https://klasma.github.io/Logging_1784/knärot/A 8591-2023 karta knärot.png", "A 8591-2023")</f>
        <v/>
      </c>
      <c r="V370">
        <f>HYPERLINK("https://klasma.github.io/Logging_1784/klagomål/A 8591-2023 FSC-klagomål.docx", "A 8591-2023")</f>
        <v/>
      </c>
      <c r="W370">
        <f>HYPERLINK("https://klasma.github.io/Logging_1784/klagomålsmail/A 8591-2023 FSC-klagomål mail.docx", "A 8591-2023")</f>
        <v/>
      </c>
      <c r="X370">
        <f>HYPERLINK("https://klasma.github.io/Logging_1784/tillsyn/A 8591-2023 tillsynsbegäran.docx", "A 8591-2023")</f>
        <v/>
      </c>
      <c r="Y370">
        <f>HYPERLINK("https://klasma.github.io/Logging_1784/tillsynsmail/A 8591-2023 tillsynsbegäran mail.docx", "A 8591-2023")</f>
        <v/>
      </c>
    </row>
    <row r="371" ht="15" customHeight="1">
      <c r="A371" t="inlineStr">
        <is>
          <t>A 10279-2023</t>
        </is>
      </c>
      <c r="B371" s="1" t="n">
        <v>44986</v>
      </c>
      <c r="C371" s="1" t="n">
        <v>45222</v>
      </c>
      <c r="D371" t="inlineStr">
        <is>
          <t>VÄRMLANDS LÄN</t>
        </is>
      </c>
      <c r="E371" t="inlineStr">
        <is>
          <t>SUNNE</t>
        </is>
      </c>
      <c r="G371" t="n">
        <v>7.1</v>
      </c>
      <c r="H371" t="n">
        <v>0</v>
      </c>
      <c r="I371" t="n">
        <v>1</v>
      </c>
      <c r="J371" t="n">
        <v>0</v>
      </c>
      <c r="K371" t="n">
        <v>0</v>
      </c>
      <c r="L371" t="n">
        <v>0</v>
      </c>
      <c r="M371" t="n">
        <v>0</v>
      </c>
      <c r="N371" t="n">
        <v>0</v>
      </c>
      <c r="O371" t="n">
        <v>0</v>
      </c>
      <c r="P371" t="n">
        <v>0</v>
      </c>
      <c r="Q371" t="n">
        <v>1</v>
      </c>
      <c r="R371" s="2" t="inlineStr">
        <is>
          <t>Bronshjon</t>
        </is>
      </c>
      <c r="S371">
        <f>HYPERLINK("https://klasma.github.io/Logging_1766/artfynd/A 10279-2023 artfynd.xlsx", "A 10279-2023")</f>
        <v/>
      </c>
      <c r="T371">
        <f>HYPERLINK("https://klasma.github.io/Logging_1766/kartor/A 10279-2023 karta.png", "A 10279-2023")</f>
        <v/>
      </c>
      <c r="V371">
        <f>HYPERLINK("https://klasma.github.io/Logging_1766/klagomål/A 10279-2023 FSC-klagomål.docx", "A 10279-2023")</f>
        <v/>
      </c>
      <c r="W371">
        <f>HYPERLINK("https://klasma.github.io/Logging_1766/klagomålsmail/A 10279-2023 FSC-klagomål mail.docx", "A 10279-2023")</f>
        <v/>
      </c>
      <c r="X371">
        <f>HYPERLINK("https://klasma.github.io/Logging_1766/tillsyn/A 10279-2023 tillsynsbegäran.docx", "A 10279-2023")</f>
        <v/>
      </c>
      <c r="Y371">
        <f>HYPERLINK("https://klasma.github.io/Logging_1766/tillsynsmail/A 10279-2023 tillsynsbegäran mail.docx", "A 10279-2023")</f>
        <v/>
      </c>
    </row>
    <row r="372" ht="15" customHeight="1">
      <c r="A372" t="inlineStr">
        <is>
          <t>A 11849-2023</t>
        </is>
      </c>
      <c r="B372" s="1" t="n">
        <v>44995</v>
      </c>
      <c r="C372" s="1" t="n">
        <v>45222</v>
      </c>
      <c r="D372" t="inlineStr">
        <is>
          <t>VÄRMLANDS LÄN</t>
        </is>
      </c>
      <c r="E372" t="inlineStr">
        <is>
          <t>KIL</t>
        </is>
      </c>
      <c r="G372" t="n">
        <v>5</v>
      </c>
      <c r="H372" t="n">
        <v>0</v>
      </c>
      <c r="I372" t="n">
        <v>1</v>
      </c>
      <c r="J372" t="n">
        <v>0</v>
      </c>
      <c r="K372" t="n">
        <v>0</v>
      </c>
      <c r="L372" t="n">
        <v>0</v>
      </c>
      <c r="M372" t="n">
        <v>0</v>
      </c>
      <c r="N372" t="n">
        <v>0</v>
      </c>
      <c r="O372" t="n">
        <v>0</v>
      </c>
      <c r="P372" t="n">
        <v>0</v>
      </c>
      <c r="Q372" t="n">
        <v>1</v>
      </c>
      <c r="R372" s="2" t="inlineStr">
        <is>
          <t>Springkorn</t>
        </is>
      </c>
      <c r="S372">
        <f>HYPERLINK("https://klasma.github.io/Logging_1715/artfynd/A 11849-2023 artfynd.xlsx", "A 11849-2023")</f>
        <v/>
      </c>
      <c r="T372">
        <f>HYPERLINK("https://klasma.github.io/Logging_1715/kartor/A 11849-2023 karta.png", "A 11849-2023")</f>
        <v/>
      </c>
      <c r="V372">
        <f>HYPERLINK("https://klasma.github.io/Logging_1715/klagomål/A 11849-2023 FSC-klagomål.docx", "A 11849-2023")</f>
        <v/>
      </c>
      <c r="W372">
        <f>HYPERLINK("https://klasma.github.io/Logging_1715/klagomålsmail/A 11849-2023 FSC-klagomål mail.docx", "A 11849-2023")</f>
        <v/>
      </c>
      <c r="X372">
        <f>HYPERLINK("https://klasma.github.io/Logging_1715/tillsyn/A 11849-2023 tillsynsbegäran.docx", "A 11849-2023")</f>
        <v/>
      </c>
      <c r="Y372">
        <f>HYPERLINK("https://klasma.github.io/Logging_1715/tillsynsmail/A 11849-2023 tillsynsbegäran mail.docx", "A 11849-2023")</f>
        <v/>
      </c>
    </row>
    <row r="373" ht="15" customHeight="1">
      <c r="A373" t="inlineStr">
        <is>
          <t>A 13361-2023</t>
        </is>
      </c>
      <c r="B373" s="1" t="n">
        <v>45005</v>
      </c>
      <c r="C373" s="1" t="n">
        <v>45222</v>
      </c>
      <c r="D373" t="inlineStr">
        <is>
          <t>VÄRMLANDS LÄN</t>
        </is>
      </c>
      <c r="E373" t="inlineStr">
        <is>
          <t>TORSBY</t>
        </is>
      </c>
      <c r="G373" t="n">
        <v>8.5</v>
      </c>
      <c r="H373" t="n">
        <v>0</v>
      </c>
      <c r="I373" t="n">
        <v>1</v>
      </c>
      <c r="J373" t="n">
        <v>0</v>
      </c>
      <c r="K373" t="n">
        <v>0</v>
      </c>
      <c r="L373" t="n">
        <v>0</v>
      </c>
      <c r="M373" t="n">
        <v>0</v>
      </c>
      <c r="N373" t="n">
        <v>0</v>
      </c>
      <c r="O373" t="n">
        <v>0</v>
      </c>
      <c r="P373" t="n">
        <v>0</v>
      </c>
      <c r="Q373" t="n">
        <v>1</v>
      </c>
      <c r="R373" s="2" t="inlineStr">
        <is>
          <t>Dropptaggsvamp</t>
        </is>
      </c>
      <c r="S373">
        <f>HYPERLINK("https://klasma.github.io/Logging_1737/artfynd/A 13361-2023 artfynd.xlsx", "A 13361-2023")</f>
        <v/>
      </c>
      <c r="T373">
        <f>HYPERLINK("https://klasma.github.io/Logging_1737/kartor/A 13361-2023 karta.png", "A 13361-2023")</f>
        <v/>
      </c>
      <c r="V373">
        <f>HYPERLINK("https://klasma.github.io/Logging_1737/klagomål/A 13361-2023 FSC-klagomål.docx", "A 13361-2023")</f>
        <v/>
      </c>
      <c r="W373">
        <f>HYPERLINK("https://klasma.github.io/Logging_1737/klagomålsmail/A 13361-2023 FSC-klagomål mail.docx", "A 13361-2023")</f>
        <v/>
      </c>
      <c r="X373">
        <f>HYPERLINK("https://klasma.github.io/Logging_1737/tillsyn/A 13361-2023 tillsynsbegäran.docx", "A 13361-2023")</f>
        <v/>
      </c>
      <c r="Y373">
        <f>HYPERLINK("https://klasma.github.io/Logging_1737/tillsynsmail/A 13361-2023 tillsynsbegäran mail.docx", "A 13361-2023")</f>
        <v/>
      </c>
    </row>
    <row r="374" ht="15" customHeight="1">
      <c r="A374" t="inlineStr">
        <is>
          <t>A 15109-2023</t>
        </is>
      </c>
      <c r="B374" s="1" t="n">
        <v>45016</v>
      </c>
      <c r="C374" s="1" t="n">
        <v>45222</v>
      </c>
      <c r="D374" t="inlineStr">
        <is>
          <t>VÄRMLANDS LÄN</t>
        </is>
      </c>
      <c r="E374" t="inlineStr">
        <is>
          <t>SÄFFLE</t>
        </is>
      </c>
      <c r="G374" t="n">
        <v>4.9</v>
      </c>
      <c r="H374" t="n">
        <v>0</v>
      </c>
      <c r="I374" t="n">
        <v>0</v>
      </c>
      <c r="J374" t="n">
        <v>1</v>
      </c>
      <c r="K374" t="n">
        <v>0</v>
      </c>
      <c r="L374" t="n">
        <v>0</v>
      </c>
      <c r="M374" t="n">
        <v>0</v>
      </c>
      <c r="N374" t="n">
        <v>0</v>
      </c>
      <c r="O374" t="n">
        <v>1</v>
      </c>
      <c r="P374" t="n">
        <v>0</v>
      </c>
      <c r="Q374" t="n">
        <v>1</v>
      </c>
      <c r="R374" s="2" t="inlineStr">
        <is>
          <t>Skogsklocka</t>
        </is>
      </c>
      <c r="S374">
        <f>HYPERLINK("https://klasma.github.io/Logging_1785/artfynd/A 15109-2023 artfynd.xlsx", "A 15109-2023")</f>
        <v/>
      </c>
      <c r="T374">
        <f>HYPERLINK("https://klasma.github.io/Logging_1785/kartor/A 15109-2023 karta.png", "A 15109-2023")</f>
        <v/>
      </c>
      <c r="V374">
        <f>HYPERLINK("https://klasma.github.io/Logging_1785/klagomål/A 15109-2023 FSC-klagomål.docx", "A 15109-2023")</f>
        <v/>
      </c>
      <c r="W374">
        <f>HYPERLINK("https://klasma.github.io/Logging_1785/klagomålsmail/A 15109-2023 FSC-klagomål mail.docx", "A 15109-2023")</f>
        <v/>
      </c>
      <c r="X374">
        <f>HYPERLINK("https://klasma.github.io/Logging_1785/tillsyn/A 15109-2023 tillsynsbegäran.docx", "A 15109-2023")</f>
        <v/>
      </c>
      <c r="Y374">
        <f>HYPERLINK("https://klasma.github.io/Logging_1785/tillsynsmail/A 15109-2023 tillsynsbegäran mail.docx", "A 15109-2023")</f>
        <v/>
      </c>
    </row>
    <row r="375" ht="15" customHeight="1">
      <c r="A375" t="inlineStr">
        <is>
          <t>A 15145-2023</t>
        </is>
      </c>
      <c r="B375" s="1" t="n">
        <v>45016</v>
      </c>
      <c r="C375" s="1" t="n">
        <v>45222</v>
      </c>
      <c r="D375" t="inlineStr">
        <is>
          <t>VÄRMLANDS LÄN</t>
        </is>
      </c>
      <c r="E375" t="inlineStr">
        <is>
          <t>ARVIKA</t>
        </is>
      </c>
      <c r="G375" t="n">
        <v>2.9</v>
      </c>
      <c r="H375" t="n">
        <v>1</v>
      </c>
      <c r="I375" t="n">
        <v>0</v>
      </c>
      <c r="J375" t="n">
        <v>0</v>
      </c>
      <c r="K375" t="n">
        <v>1</v>
      </c>
      <c r="L375" t="n">
        <v>0</v>
      </c>
      <c r="M375" t="n">
        <v>0</v>
      </c>
      <c r="N375" t="n">
        <v>0</v>
      </c>
      <c r="O375" t="n">
        <v>1</v>
      </c>
      <c r="P375" t="n">
        <v>1</v>
      </c>
      <c r="Q375" t="n">
        <v>1</v>
      </c>
      <c r="R375" s="2" t="inlineStr">
        <is>
          <t>Knärot</t>
        </is>
      </c>
      <c r="S375">
        <f>HYPERLINK("https://klasma.github.io/Logging_1784/artfynd/A 15145-2023 artfynd.xlsx", "A 15145-2023")</f>
        <v/>
      </c>
      <c r="T375">
        <f>HYPERLINK("https://klasma.github.io/Logging_1784/kartor/A 15145-2023 karta.png", "A 15145-2023")</f>
        <v/>
      </c>
      <c r="U375">
        <f>HYPERLINK("https://klasma.github.io/Logging_1784/knärot/A 15145-2023 karta knärot.png", "A 15145-2023")</f>
        <v/>
      </c>
      <c r="V375">
        <f>HYPERLINK("https://klasma.github.io/Logging_1784/klagomål/A 15145-2023 FSC-klagomål.docx", "A 15145-2023")</f>
        <v/>
      </c>
      <c r="W375">
        <f>HYPERLINK("https://klasma.github.io/Logging_1784/klagomålsmail/A 15145-2023 FSC-klagomål mail.docx", "A 15145-2023")</f>
        <v/>
      </c>
      <c r="X375">
        <f>HYPERLINK("https://klasma.github.io/Logging_1784/tillsyn/A 15145-2023 tillsynsbegäran.docx", "A 15145-2023")</f>
        <v/>
      </c>
      <c r="Y375">
        <f>HYPERLINK("https://klasma.github.io/Logging_1784/tillsynsmail/A 15145-2023 tillsynsbegäran mail.docx", "A 15145-2023")</f>
        <v/>
      </c>
    </row>
    <row r="376" ht="15" customHeight="1">
      <c r="A376" t="inlineStr">
        <is>
          <t>A 15321-2023</t>
        </is>
      </c>
      <c r="B376" s="1" t="n">
        <v>45019</v>
      </c>
      <c r="C376" s="1" t="n">
        <v>45222</v>
      </c>
      <c r="D376" t="inlineStr">
        <is>
          <t>VÄRMLANDS LÄN</t>
        </is>
      </c>
      <c r="E376" t="inlineStr">
        <is>
          <t>GRUMS</t>
        </is>
      </c>
      <c r="G376" t="n">
        <v>5.2</v>
      </c>
      <c r="H376" t="n">
        <v>0</v>
      </c>
      <c r="I376" t="n">
        <v>1</v>
      </c>
      <c r="J376" t="n">
        <v>0</v>
      </c>
      <c r="K376" t="n">
        <v>0</v>
      </c>
      <c r="L376" t="n">
        <v>0</v>
      </c>
      <c r="M376" t="n">
        <v>0</v>
      </c>
      <c r="N376" t="n">
        <v>0</v>
      </c>
      <c r="O376" t="n">
        <v>0</v>
      </c>
      <c r="P376" t="n">
        <v>0</v>
      </c>
      <c r="Q376" t="n">
        <v>1</v>
      </c>
      <c r="R376" s="2" t="inlineStr">
        <is>
          <t>Vätteros</t>
        </is>
      </c>
      <c r="S376">
        <f>HYPERLINK("https://klasma.github.io/Logging_1764/artfynd/A 15321-2023 artfynd.xlsx", "A 15321-2023")</f>
        <v/>
      </c>
      <c r="T376">
        <f>HYPERLINK("https://klasma.github.io/Logging_1764/kartor/A 15321-2023 karta.png", "A 15321-2023")</f>
        <v/>
      </c>
      <c r="V376">
        <f>HYPERLINK("https://klasma.github.io/Logging_1764/klagomål/A 15321-2023 FSC-klagomål.docx", "A 15321-2023")</f>
        <v/>
      </c>
      <c r="W376">
        <f>HYPERLINK("https://klasma.github.io/Logging_1764/klagomålsmail/A 15321-2023 FSC-klagomål mail.docx", "A 15321-2023")</f>
        <v/>
      </c>
      <c r="X376">
        <f>HYPERLINK("https://klasma.github.io/Logging_1764/tillsyn/A 15321-2023 tillsynsbegäran.docx", "A 15321-2023")</f>
        <v/>
      </c>
      <c r="Y376">
        <f>HYPERLINK("https://klasma.github.io/Logging_1764/tillsynsmail/A 15321-2023 tillsynsbegäran mail.docx", "A 15321-2023")</f>
        <v/>
      </c>
    </row>
    <row r="377" ht="15" customHeight="1">
      <c r="A377" t="inlineStr">
        <is>
          <t>A 15548-2023</t>
        </is>
      </c>
      <c r="B377" s="1" t="n">
        <v>45020</v>
      </c>
      <c r="C377" s="1" t="n">
        <v>45222</v>
      </c>
      <c r="D377" t="inlineStr">
        <is>
          <t>VÄRMLANDS LÄN</t>
        </is>
      </c>
      <c r="E377" t="inlineStr">
        <is>
          <t>TORSBY</t>
        </is>
      </c>
      <c r="G377" t="n">
        <v>0.6</v>
      </c>
      <c r="H377" t="n">
        <v>1</v>
      </c>
      <c r="I377" t="n">
        <v>0</v>
      </c>
      <c r="J377" t="n">
        <v>1</v>
      </c>
      <c r="K377" t="n">
        <v>0</v>
      </c>
      <c r="L377" t="n">
        <v>0</v>
      </c>
      <c r="M377" t="n">
        <v>0</v>
      </c>
      <c r="N377" t="n">
        <v>0</v>
      </c>
      <c r="O377" t="n">
        <v>1</v>
      </c>
      <c r="P377" t="n">
        <v>0</v>
      </c>
      <c r="Q377" t="n">
        <v>1</v>
      </c>
      <c r="R377" s="2" t="inlineStr">
        <is>
          <t>Spillkråka</t>
        </is>
      </c>
      <c r="S377">
        <f>HYPERLINK("https://klasma.github.io/Logging_1737/artfynd/A 15548-2023 artfynd.xlsx", "A 15548-2023")</f>
        <v/>
      </c>
      <c r="T377">
        <f>HYPERLINK("https://klasma.github.io/Logging_1737/kartor/A 15548-2023 karta.png", "A 15548-2023")</f>
        <v/>
      </c>
      <c r="V377">
        <f>HYPERLINK("https://klasma.github.io/Logging_1737/klagomål/A 15548-2023 FSC-klagomål.docx", "A 15548-2023")</f>
        <v/>
      </c>
      <c r="W377">
        <f>HYPERLINK("https://klasma.github.io/Logging_1737/klagomålsmail/A 15548-2023 FSC-klagomål mail.docx", "A 15548-2023")</f>
        <v/>
      </c>
      <c r="X377">
        <f>HYPERLINK("https://klasma.github.io/Logging_1737/tillsyn/A 15548-2023 tillsynsbegäran.docx", "A 15548-2023")</f>
        <v/>
      </c>
      <c r="Y377">
        <f>HYPERLINK("https://klasma.github.io/Logging_1737/tillsynsmail/A 15548-2023 tillsynsbegäran mail.docx", "A 15548-2023")</f>
        <v/>
      </c>
    </row>
    <row r="378" ht="15" customHeight="1">
      <c r="A378" t="inlineStr">
        <is>
          <t>A 18882-2023</t>
        </is>
      </c>
      <c r="B378" s="1" t="n">
        <v>45044</v>
      </c>
      <c r="C378" s="1" t="n">
        <v>45222</v>
      </c>
      <c r="D378" t="inlineStr">
        <is>
          <t>VÄRMLANDS LÄN</t>
        </is>
      </c>
      <c r="E378" t="inlineStr">
        <is>
          <t>TORSBY</t>
        </is>
      </c>
      <c r="G378" t="n">
        <v>3</v>
      </c>
      <c r="H378" t="n">
        <v>0</v>
      </c>
      <c r="I378" t="n">
        <v>0</v>
      </c>
      <c r="J378" t="n">
        <v>1</v>
      </c>
      <c r="K378" t="n">
        <v>0</v>
      </c>
      <c r="L378" t="n">
        <v>0</v>
      </c>
      <c r="M378" t="n">
        <v>0</v>
      </c>
      <c r="N378" t="n">
        <v>0</v>
      </c>
      <c r="O378" t="n">
        <v>1</v>
      </c>
      <c r="P378" t="n">
        <v>0</v>
      </c>
      <c r="Q378" t="n">
        <v>1</v>
      </c>
      <c r="R378" s="2" t="inlineStr">
        <is>
          <t>Violettgrå tagellav</t>
        </is>
      </c>
      <c r="S378">
        <f>HYPERLINK("https://klasma.github.io/Logging_1737/artfynd/A 18882-2023 artfynd.xlsx", "A 18882-2023")</f>
        <v/>
      </c>
      <c r="T378">
        <f>HYPERLINK("https://klasma.github.io/Logging_1737/kartor/A 18882-2023 karta.png", "A 18882-2023")</f>
        <v/>
      </c>
      <c r="V378">
        <f>HYPERLINK("https://klasma.github.io/Logging_1737/klagomål/A 18882-2023 FSC-klagomål.docx", "A 18882-2023")</f>
        <v/>
      </c>
      <c r="W378">
        <f>HYPERLINK("https://klasma.github.io/Logging_1737/klagomålsmail/A 18882-2023 FSC-klagomål mail.docx", "A 18882-2023")</f>
        <v/>
      </c>
      <c r="X378">
        <f>HYPERLINK("https://klasma.github.io/Logging_1737/tillsyn/A 18882-2023 tillsynsbegäran.docx", "A 18882-2023")</f>
        <v/>
      </c>
      <c r="Y378">
        <f>HYPERLINK("https://klasma.github.io/Logging_1737/tillsynsmail/A 18882-2023 tillsynsbegäran mail.docx", "A 18882-2023")</f>
        <v/>
      </c>
    </row>
    <row r="379" ht="15" customHeight="1">
      <c r="A379" t="inlineStr">
        <is>
          <t>A 19669-2023</t>
        </is>
      </c>
      <c r="B379" s="1" t="n">
        <v>45051</v>
      </c>
      <c r="C379" s="1" t="n">
        <v>45222</v>
      </c>
      <c r="D379" t="inlineStr">
        <is>
          <t>VÄRMLANDS LÄN</t>
        </is>
      </c>
      <c r="E379" t="inlineStr">
        <is>
          <t>TORSBY</t>
        </is>
      </c>
      <c r="F379" t="inlineStr">
        <is>
          <t>Kyrkan</t>
        </is>
      </c>
      <c r="G379" t="n">
        <v>5.2</v>
      </c>
      <c r="H379" t="n">
        <v>1</v>
      </c>
      <c r="I379" t="n">
        <v>0</v>
      </c>
      <c r="J379" t="n">
        <v>1</v>
      </c>
      <c r="K379" t="n">
        <v>0</v>
      </c>
      <c r="L379" t="n">
        <v>0</v>
      </c>
      <c r="M379" t="n">
        <v>0</v>
      </c>
      <c r="N379" t="n">
        <v>0</v>
      </c>
      <c r="O379" t="n">
        <v>1</v>
      </c>
      <c r="P379" t="n">
        <v>0</v>
      </c>
      <c r="Q379" t="n">
        <v>1</v>
      </c>
      <c r="R379" s="2" t="inlineStr">
        <is>
          <t>Utter</t>
        </is>
      </c>
      <c r="S379">
        <f>HYPERLINK("https://klasma.github.io/Logging_1737/artfynd/A 19669-2023 artfynd.xlsx", "A 19669-2023")</f>
        <v/>
      </c>
      <c r="T379">
        <f>HYPERLINK("https://klasma.github.io/Logging_1737/kartor/A 19669-2023 karta.png", "A 19669-2023")</f>
        <v/>
      </c>
      <c r="V379">
        <f>HYPERLINK("https://klasma.github.io/Logging_1737/klagomål/A 19669-2023 FSC-klagomål.docx", "A 19669-2023")</f>
        <v/>
      </c>
      <c r="W379">
        <f>HYPERLINK("https://klasma.github.io/Logging_1737/klagomålsmail/A 19669-2023 FSC-klagomål mail.docx", "A 19669-2023")</f>
        <v/>
      </c>
      <c r="X379">
        <f>HYPERLINK("https://klasma.github.io/Logging_1737/tillsyn/A 19669-2023 tillsynsbegäran.docx", "A 19669-2023")</f>
        <v/>
      </c>
      <c r="Y379">
        <f>HYPERLINK("https://klasma.github.io/Logging_1737/tillsynsmail/A 19669-2023 tillsynsbegäran mail.docx", "A 19669-2023")</f>
        <v/>
      </c>
    </row>
    <row r="380" ht="15" customHeight="1">
      <c r="A380" t="inlineStr">
        <is>
          <t>A 21934-2023</t>
        </is>
      </c>
      <c r="B380" s="1" t="n">
        <v>45068</v>
      </c>
      <c r="C380" s="1" t="n">
        <v>45222</v>
      </c>
      <c r="D380" t="inlineStr">
        <is>
          <t>VÄRMLANDS LÄN</t>
        </is>
      </c>
      <c r="E380" t="inlineStr">
        <is>
          <t>KARLSTAD</t>
        </is>
      </c>
      <c r="G380" t="n">
        <v>1.7</v>
      </c>
      <c r="H380" t="n">
        <v>1</v>
      </c>
      <c r="I380" t="n">
        <v>0</v>
      </c>
      <c r="J380" t="n">
        <v>0</v>
      </c>
      <c r="K380" t="n">
        <v>0</v>
      </c>
      <c r="L380" t="n">
        <v>0</v>
      </c>
      <c r="M380" t="n">
        <v>0</v>
      </c>
      <c r="N380" t="n">
        <v>0</v>
      </c>
      <c r="O380" t="n">
        <v>0</v>
      </c>
      <c r="P380" t="n">
        <v>0</v>
      </c>
      <c r="Q380" t="n">
        <v>1</v>
      </c>
      <c r="R380" s="2" t="inlineStr">
        <is>
          <t>Revlummer</t>
        </is>
      </c>
      <c r="S380">
        <f>HYPERLINK("https://klasma.github.io/Logging_1780/artfynd/A 21934-2023 artfynd.xlsx", "A 21934-2023")</f>
        <v/>
      </c>
      <c r="T380">
        <f>HYPERLINK("https://klasma.github.io/Logging_1780/kartor/A 21934-2023 karta.png", "A 21934-2023")</f>
        <v/>
      </c>
      <c r="V380">
        <f>HYPERLINK("https://klasma.github.io/Logging_1780/klagomål/A 21934-2023 FSC-klagomål.docx", "A 21934-2023")</f>
        <v/>
      </c>
      <c r="W380">
        <f>HYPERLINK("https://klasma.github.io/Logging_1780/klagomålsmail/A 21934-2023 FSC-klagomål mail.docx", "A 21934-2023")</f>
        <v/>
      </c>
      <c r="X380">
        <f>HYPERLINK("https://klasma.github.io/Logging_1780/tillsyn/A 21934-2023 tillsynsbegäran.docx", "A 21934-2023")</f>
        <v/>
      </c>
      <c r="Y380">
        <f>HYPERLINK("https://klasma.github.io/Logging_1780/tillsynsmail/A 21934-2023 tillsynsbegäran mail.docx", "A 21934-2023")</f>
        <v/>
      </c>
    </row>
    <row r="381" ht="15" customHeight="1">
      <c r="A381" t="inlineStr">
        <is>
          <t>A 21919-2023</t>
        </is>
      </c>
      <c r="B381" s="1" t="n">
        <v>45068</v>
      </c>
      <c r="C381" s="1" t="n">
        <v>45222</v>
      </c>
      <c r="D381" t="inlineStr">
        <is>
          <t>VÄRMLANDS LÄN</t>
        </is>
      </c>
      <c r="E381" t="inlineStr">
        <is>
          <t>KARLSTAD</t>
        </is>
      </c>
      <c r="G381" t="n">
        <v>2.5</v>
      </c>
      <c r="H381" t="n">
        <v>1</v>
      </c>
      <c r="I381" t="n">
        <v>0</v>
      </c>
      <c r="J381" t="n">
        <v>0</v>
      </c>
      <c r="K381" t="n">
        <v>0</v>
      </c>
      <c r="L381" t="n">
        <v>0</v>
      </c>
      <c r="M381" t="n">
        <v>0</v>
      </c>
      <c r="N381" t="n">
        <v>0</v>
      </c>
      <c r="O381" t="n">
        <v>0</v>
      </c>
      <c r="P381" t="n">
        <v>0</v>
      </c>
      <c r="Q381" t="n">
        <v>1</v>
      </c>
      <c r="R381" s="2" t="inlineStr">
        <is>
          <t>Revlummer</t>
        </is>
      </c>
      <c r="S381">
        <f>HYPERLINK("https://klasma.github.io/Logging_1780/artfynd/A 21919-2023 artfynd.xlsx", "A 21919-2023")</f>
        <v/>
      </c>
      <c r="T381">
        <f>HYPERLINK("https://klasma.github.io/Logging_1780/kartor/A 21919-2023 karta.png", "A 21919-2023")</f>
        <v/>
      </c>
      <c r="V381">
        <f>HYPERLINK("https://klasma.github.io/Logging_1780/klagomål/A 21919-2023 FSC-klagomål.docx", "A 21919-2023")</f>
        <v/>
      </c>
      <c r="W381">
        <f>HYPERLINK("https://klasma.github.io/Logging_1780/klagomålsmail/A 21919-2023 FSC-klagomål mail.docx", "A 21919-2023")</f>
        <v/>
      </c>
      <c r="X381">
        <f>HYPERLINK("https://klasma.github.io/Logging_1780/tillsyn/A 21919-2023 tillsynsbegäran.docx", "A 21919-2023")</f>
        <v/>
      </c>
      <c r="Y381">
        <f>HYPERLINK("https://klasma.github.io/Logging_1780/tillsynsmail/A 21919-2023 tillsynsbegäran mail.docx", "A 21919-2023")</f>
        <v/>
      </c>
    </row>
    <row r="382" ht="15" customHeight="1">
      <c r="A382" t="inlineStr">
        <is>
          <t>A 24239-2023</t>
        </is>
      </c>
      <c r="B382" s="1" t="n">
        <v>45079</v>
      </c>
      <c r="C382" s="1" t="n">
        <v>45222</v>
      </c>
      <c r="D382" t="inlineStr">
        <is>
          <t>VÄRMLANDS LÄN</t>
        </is>
      </c>
      <c r="E382" t="inlineStr">
        <is>
          <t>ARVIKA</t>
        </is>
      </c>
      <c r="G382" t="n">
        <v>0.9</v>
      </c>
      <c r="H382" t="n">
        <v>1</v>
      </c>
      <c r="I382" t="n">
        <v>0</v>
      </c>
      <c r="J382" t="n">
        <v>0</v>
      </c>
      <c r="K382" t="n">
        <v>1</v>
      </c>
      <c r="L382" t="n">
        <v>0</v>
      </c>
      <c r="M382" t="n">
        <v>0</v>
      </c>
      <c r="N382" t="n">
        <v>0</v>
      </c>
      <c r="O382" t="n">
        <v>1</v>
      </c>
      <c r="P382" t="n">
        <v>1</v>
      </c>
      <c r="Q382" t="n">
        <v>1</v>
      </c>
      <c r="R382" s="2" t="inlineStr">
        <is>
          <t>Knärot</t>
        </is>
      </c>
      <c r="S382">
        <f>HYPERLINK("https://klasma.github.io/Logging_1784/artfynd/A 24239-2023 artfynd.xlsx", "A 24239-2023")</f>
        <v/>
      </c>
      <c r="T382">
        <f>HYPERLINK("https://klasma.github.io/Logging_1784/kartor/A 24239-2023 karta.png", "A 24239-2023")</f>
        <v/>
      </c>
      <c r="U382">
        <f>HYPERLINK("https://klasma.github.io/Logging_1784/knärot/A 24239-2023 karta knärot.png", "A 24239-2023")</f>
        <v/>
      </c>
      <c r="V382">
        <f>HYPERLINK("https://klasma.github.io/Logging_1784/klagomål/A 24239-2023 FSC-klagomål.docx", "A 24239-2023")</f>
        <v/>
      </c>
      <c r="W382">
        <f>HYPERLINK("https://klasma.github.io/Logging_1784/klagomålsmail/A 24239-2023 FSC-klagomål mail.docx", "A 24239-2023")</f>
        <v/>
      </c>
      <c r="X382">
        <f>HYPERLINK("https://klasma.github.io/Logging_1784/tillsyn/A 24239-2023 tillsynsbegäran.docx", "A 24239-2023")</f>
        <v/>
      </c>
      <c r="Y382">
        <f>HYPERLINK("https://klasma.github.io/Logging_1784/tillsynsmail/A 24239-2023 tillsynsbegäran mail.docx", "A 24239-2023")</f>
        <v/>
      </c>
    </row>
    <row r="383" ht="15" customHeight="1">
      <c r="A383" t="inlineStr">
        <is>
          <t>A 25144-2023</t>
        </is>
      </c>
      <c r="B383" s="1" t="n">
        <v>45086</v>
      </c>
      <c r="C383" s="1" t="n">
        <v>45222</v>
      </c>
      <c r="D383" t="inlineStr">
        <is>
          <t>VÄRMLANDS LÄN</t>
        </is>
      </c>
      <c r="E383" t="inlineStr">
        <is>
          <t>KARLSTAD</t>
        </is>
      </c>
      <c r="F383" t="inlineStr">
        <is>
          <t>Kyrkan</t>
        </is>
      </c>
      <c r="G383" t="n">
        <v>7.6</v>
      </c>
      <c r="H383" t="n">
        <v>1</v>
      </c>
      <c r="I383" t="n">
        <v>0</v>
      </c>
      <c r="J383" t="n">
        <v>0</v>
      </c>
      <c r="K383" t="n">
        <v>0</v>
      </c>
      <c r="L383" t="n">
        <v>0</v>
      </c>
      <c r="M383" t="n">
        <v>0</v>
      </c>
      <c r="N383" t="n">
        <v>0</v>
      </c>
      <c r="O383" t="n">
        <v>0</v>
      </c>
      <c r="P383" t="n">
        <v>0</v>
      </c>
      <c r="Q383" t="n">
        <v>1</v>
      </c>
      <c r="R383" s="2" t="inlineStr">
        <is>
          <t>Nattviol</t>
        </is>
      </c>
      <c r="S383">
        <f>HYPERLINK("https://klasma.github.io/Logging_1780/artfynd/A 25144-2023 artfynd.xlsx", "A 25144-2023")</f>
        <v/>
      </c>
      <c r="T383">
        <f>HYPERLINK("https://klasma.github.io/Logging_1780/kartor/A 25144-2023 karta.png", "A 25144-2023")</f>
        <v/>
      </c>
      <c r="V383">
        <f>HYPERLINK("https://klasma.github.io/Logging_1780/klagomål/A 25144-2023 FSC-klagomål.docx", "A 25144-2023")</f>
        <v/>
      </c>
      <c r="W383">
        <f>HYPERLINK("https://klasma.github.io/Logging_1780/klagomålsmail/A 25144-2023 FSC-klagomål mail.docx", "A 25144-2023")</f>
        <v/>
      </c>
      <c r="X383">
        <f>HYPERLINK("https://klasma.github.io/Logging_1780/tillsyn/A 25144-2023 tillsynsbegäran.docx", "A 25144-2023")</f>
        <v/>
      </c>
      <c r="Y383">
        <f>HYPERLINK("https://klasma.github.io/Logging_1780/tillsynsmail/A 25144-2023 tillsynsbegäran mail.docx", "A 25144-2023")</f>
        <v/>
      </c>
    </row>
    <row r="384" ht="15" customHeight="1">
      <c r="A384" t="inlineStr">
        <is>
          <t>A 29560-2023</t>
        </is>
      </c>
      <c r="B384" s="1" t="n">
        <v>45106</v>
      </c>
      <c r="C384" s="1" t="n">
        <v>45222</v>
      </c>
      <c r="D384" t="inlineStr">
        <is>
          <t>VÄRMLANDS LÄN</t>
        </is>
      </c>
      <c r="E384" t="inlineStr">
        <is>
          <t>TORSBY</t>
        </is>
      </c>
      <c r="G384" t="n">
        <v>10.3</v>
      </c>
      <c r="H384" t="n">
        <v>1</v>
      </c>
      <c r="I384" t="n">
        <v>0</v>
      </c>
      <c r="J384" t="n">
        <v>1</v>
      </c>
      <c r="K384" t="n">
        <v>0</v>
      </c>
      <c r="L384" t="n">
        <v>0</v>
      </c>
      <c r="M384" t="n">
        <v>0</v>
      </c>
      <c r="N384" t="n">
        <v>0</v>
      </c>
      <c r="O384" t="n">
        <v>1</v>
      </c>
      <c r="P384" t="n">
        <v>0</v>
      </c>
      <c r="Q384" t="n">
        <v>1</v>
      </c>
      <c r="R384" s="2" t="inlineStr">
        <is>
          <t>Spillkråka</t>
        </is>
      </c>
      <c r="S384">
        <f>HYPERLINK("https://klasma.github.io/Logging_1737/artfynd/A 29560-2023 artfynd.xlsx", "A 29560-2023")</f>
        <v/>
      </c>
      <c r="T384">
        <f>HYPERLINK("https://klasma.github.io/Logging_1737/kartor/A 29560-2023 karta.png", "A 29560-2023")</f>
        <v/>
      </c>
      <c r="V384">
        <f>HYPERLINK("https://klasma.github.io/Logging_1737/klagomål/A 29560-2023 FSC-klagomål.docx", "A 29560-2023")</f>
        <v/>
      </c>
      <c r="W384">
        <f>HYPERLINK("https://klasma.github.io/Logging_1737/klagomålsmail/A 29560-2023 FSC-klagomål mail.docx", "A 29560-2023")</f>
        <v/>
      </c>
      <c r="X384">
        <f>HYPERLINK("https://klasma.github.io/Logging_1737/tillsyn/A 29560-2023 tillsynsbegäran.docx", "A 29560-2023")</f>
        <v/>
      </c>
      <c r="Y384">
        <f>HYPERLINK("https://klasma.github.io/Logging_1737/tillsynsmail/A 29560-2023 tillsynsbegäran mail.docx", "A 29560-2023")</f>
        <v/>
      </c>
    </row>
    <row r="385" ht="15" customHeight="1">
      <c r="A385" t="inlineStr">
        <is>
          <t>A 30202-2023</t>
        </is>
      </c>
      <c r="B385" s="1" t="n">
        <v>45110</v>
      </c>
      <c r="C385" s="1" t="n">
        <v>45222</v>
      </c>
      <c r="D385" t="inlineStr">
        <is>
          <t>VÄRMLANDS LÄN</t>
        </is>
      </c>
      <c r="E385" t="inlineStr">
        <is>
          <t>KRISTINEHAMN</t>
        </is>
      </c>
      <c r="F385" t="inlineStr">
        <is>
          <t>Bergvik skog väst AB</t>
        </is>
      </c>
      <c r="G385" t="n">
        <v>9.4</v>
      </c>
      <c r="H385" t="n">
        <v>1</v>
      </c>
      <c r="I385" t="n">
        <v>0</v>
      </c>
      <c r="J385" t="n">
        <v>0</v>
      </c>
      <c r="K385" t="n">
        <v>0</v>
      </c>
      <c r="L385" t="n">
        <v>0</v>
      </c>
      <c r="M385" t="n">
        <v>0</v>
      </c>
      <c r="N385" t="n">
        <v>0</v>
      </c>
      <c r="O385" t="n">
        <v>0</v>
      </c>
      <c r="P385" t="n">
        <v>0</v>
      </c>
      <c r="Q385" t="n">
        <v>1</v>
      </c>
      <c r="R385" s="2" t="inlineStr">
        <is>
          <t>Glimmerört</t>
        </is>
      </c>
      <c r="S385">
        <f>HYPERLINK("https://klasma.github.io/Logging_1781/artfynd/A 30202-2023 artfynd.xlsx", "A 30202-2023")</f>
        <v/>
      </c>
      <c r="T385">
        <f>HYPERLINK("https://klasma.github.io/Logging_1781/kartor/A 30202-2023 karta.png", "A 30202-2023")</f>
        <v/>
      </c>
      <c r="V385">
        <f>HYPERLINK("https://klasma.github.io/Logging_1781/klagomål/A 30202-2023 FSC-klagomål.docx", "A 30202-2023")</f>
        <v/>
      </c>
      <c r="W385">
        <f>HYPERLINK("https://klasma.github.io/Logging_1781/klagomålsmail/A 30202-2023 FSC-klagomål mail.docx", "A 30202-2023")</f>
        <v/>
      </c>
      <c r="X385">
        <f>HYPERLINK("https://klasma.github.io/Logging_1781/tillsyn/A 30202-2023 tillsynsbegäran.docx", "A 30202-2023")</f>
        <v/>
      </c>
      <c r="Y385">
        <f>HYPERLINK("https://klasma.github.io/Logging_1781/tillsynsmail/A 30202-2023 tillsynsbegäran mail.docx", "A 30202-2023")</f>
        <v/>
      </c>
    </row>
    <row r="386" ht="15" customHeight="1">
      <c r="A386" t="inlineStr">
        <is>
          <t>A 30550-2023</t>
        </is>
      </c>
      <c r="B386" s="1" t="n">
        <v>45111</v>
      </c>
      <c r="C386" s="1" t="n">
        <v>45222</v>
      </c>
      <c r="D386" t="inlineStr">
        <is>
          <t>VÄRMLANDS LÄN</t>
        </is>
      </c>
      <c r="E386" t="inlineStr">
        <is>
          <t>ÅRJÄNG</t>
        </is>
      </c>
      <c r="G386" t="n">
        <v>3</v>
      </c>
      <c r="H386" t="n">
        <v>0</v>
      </c>
      <c r="I386" t="n">
        <v>0</v>
      </c>
      <c r="J386" t="n">
        <v>1</v>
      </c>
      <c r="K386" t="n">
        <v>0</v>
      </c>
      <c r="L386" t="n">
        <v>0</v>
      </c>
      <c r="M386" t="n">
        <v>0</v>
      </c>
      <c r="N386" t="n">
        <v>0</v>
      </c>
      <c r="O386" t="n">
        <v>1</v>
      </c>
      <c r="P386" t="n">
        <v>0</v>
      </c>
      <c r="Q386" t="n">
        <v>1</v>
      </c>
      <c r="R386" s="2" t="inlineStr">
        <is>
          <t>Lunglav</t>
        </is>
      </c>
      <c r="S386">
        <f>HYPERLINK("https://klasma.github.io/Logging_1765/artfynd/A 30550-2023 artfynd.xlsx", "A 30550-2023")</f>
        <v/>
      </c>
      <c r="T386">
        <f>HYPERLINK("https://klasma.github.io/Logging_1765/kartor/A 30550-2023 karta.png", "A 30550-2023")</f>
        <v/>
      </c>
      <c r="V386">
        <f>HYPERLINK("https://klasma.github.io/Logging_1765/klagomål/A 30550-2023 FSC-klagomål.docx", "A 30550-2023")</f>
        <v/>
      </c>
      <c r="W386">
        <f>HYPERLINK("https://klasma.github.io/Logging_1765/klagomålsmail/A 30550-2023 FSC-klagomål mail.docx", "A 30550-2023")</f>
        <v/>
      </c>
      <c r="X386">
        <f>HYPERLINK("https://klasma.github.io/Logging_1765/tillsyn/A 30550-2023 tillsynsbegäran.docx", "A 30550-2023")</f>
        <v/>
      </c>
      <c r="Y386">
        <f>HYPERLINK("https://klasma.github.io/Logging_1765/tillsynsmail/A 30550-2023 tillsynsbegäran mail.docx", "A 30550-2023")</f>
        <v/>
      </c>
    </row>
    <row r="387" ht="15" customHeight="1">
      <c r="A387" t="inlineStr">
        <is>
          <t>A 32877-2023</t>
        </is>
      </c>
      <c r="B387" s="1" t="n">
        <v>45124</v>
      </c>
      <c r="C387" s="1" t="n">
        <v>45222</v>
      </c>
      <c r="D387" t="inlineStr">
        <is>
          <t>VÄRMLANDS LÄN</t>
        </is>
      </c>
      <c r="E387" t="inlineStr">
        <is>
          <t>ARVIKA</t>
        </is>
      </c>
      <c r="G387" t="n">
        <v>1.1</v>
      </c>
      <c r="H387" t="n">
        <v>0</v>
      </c>
      <c r="I387" t="n">
        <v>0</v>
      </c>
      <c r="J387" t="n">
        <v>1</v>
      </c>
      <c r="K387" t="n">
        <v>0</v>
      </c>
      <c r="L387" t="n">
        <v>0</v>
      </c>
      <c r="M387" t="n">
        <v>0</v>
      </c>
      <c r="N387" t="n">
        <v>0</v>
      </c>
      <c r="O387" t="n">
        <v>1</v>
      </c>
      <c r="P387" t="n">
        <v>0</v>
      </c>
      <c r="Q387" t="n">
        <v>1</v>
      </c>
      <c r="R387" s="2" t="inlineStr">
        <is>
          <t>Gultoppig fingersvamp</t>
        </is>
      </c>
      <c r="S387">
        <f>HYPERLINK("https://klasma.github.io/Logging_1784/artfynd/A 32877-2023 artfynd.xlsx", "A 32877-2023")</f>
        <v/>
      </c>
      <c r="T387">
        <f>HYPERLINK("https://klasma.github.io/Logging_1784/kartor/A 32877-2023 karta.png", "A 32877-2023")</f>
        <v/>
      </c>
      <c r="U387">
        <f>HYPERLINK("https://klasma.github.io/Logging_1784/knärot/A 32877-2023 karta knärot.png", "A 32877-2023")</f>
        <v/>
      </c>
      <c r="V387">
        <f>HYPERLINK("https://klasma.github.io/Logging_1784/klagomål/A 32877-2023 FSC-klagomål.docx", "A 32877-2023")</f>
        <v/>
      </c>
      <c r="W387">
        <f>HYPERLINK("https://klasma.github.io/Logging_1784/klagomålsmail/A 32877-2023 FSC-klagomål mail.docx", "A 32877-2023")</f>
        <v/>
      </c>
      <c r="X387">
        <f>HYPERLINK("https://klasma.github.io/Logging_1784/tillsyn/A 32877-2023 tillsynsbegäran.docx", "A 32877-2023")</f>
        <v/>
      </c>
      <c r="Y387">
        <f>HYPERLINK("https://klasma.github.io/Logging_1784/tillsynsmail/A 32877-2023 tillsynsbegäran mail.docx", "A 32877-2023")</f>
        <v/>
      </c>
    </row>
    <row r="388" ht="15" customHeight="1">
      <c r="A388" t="inlineStr">
        <is>
          <t>A 35809-2023</t>
        </is>
      </c>
      <c r="B388" s="1" t="n">
        <v>45147</v>
      </c>
      <c r="C388" s="1" t="n">
        <v>45222</v>
      </c>
      <c r="D388" t="inlineStr">
        <is>
          <t>VÄRMLANDS LÄN</t>
        </is>
      </c>
      <c r="E388" t="inlineStr">
        <is>
          <t>TORSBY</t>
        </is>
      </c>
      <c r="F388" t="inlineStr">
        <is>
          <t>Övriga statliga verk och myndigheter</t>
        </is>
      </c>
      <c r="G388" t="n">
        <v>7.2</v>
      </c>
      <c r="H388" t="n">
        <v>1</v>
      </c>
      <c r="I388" t="n">
        <v>0</v>
      </c>
      <c r="J388" t="n">
        <v>0</v>
      </c>
      <c r="K388" t="n">
        <v>0</v>
      </c>
      <c r="L388" t="n">
        <v>0</v>
      </c>
      <c r="M388" t="n">
        <v>0</v>
      </c>
      <c r="N388" t="n">
        <v>0</v>
      </c>
      <c r="O388" t="n">
        <v>0</v>
      </c>
      <c r="P388" t="n">
        <v>0</v>
      </c>
      <c r="Q388" t="n">
        <v>1</v>
      </c>
      <c r="R388" s="2" t="inlineStr">
        <is>
          <t>Fläcknycklar</t>
        </is>
      </c>
      <c r="S388">
        <f>HYPERLINK("https://klasma.github.io/Logging_1737/artfynd/A 35809-2023 artfynd.xlsx", "A 35809-2023")</f>
        <v/>
      </c>
      <c r="T388">
        <f>HYPERLINK("https://klasma.github.io/Logging_1737/kartor/A 35809-2023 karta.png", "A 35809-2023")</f>
        <v/>
      </c>
      <c r="V388">
        <f>HYPERLINK("https://klasma.github.io/Logging_1737/klagomål/A 35809-2023 FSC-klagomål.docx", "A 35809-2023")</f>
        <v/>
      </c>
      <c r="W388">
        <f>HYPERLINK("https://klasma.github.io/Logging_1737/klagomålsmail/A 35809-2023 FSC-klagomål mail.docx", "A 35809-2023")</f>
        <v/>
      </c>
      <c r="X388">
        <f>HYPERLINK("https://klasma.github.io/Logging_1737/tillsyn/A 35809-2023 tillsynsbegäran.docx", "A 35809-2023")</f>
        <v/>
      </c>
      <c r="Y388">
        <f>HYPERLINK("https://klasma.github.io/Logging_1737/tillsynsmail/A 35809-2023 tillsynsbegäran mail.docx", "A 35809-2023")</f>
        <v/>
      </c>
    </row>
    <row r="389" ht="15" customHeight="1">
      <c r="A389" t="inlineStr">
        <is>
          <t>A 36666-2023</t>
        </is>
      </c>
      <c r="B389" s="1" t="n">
        <v>45153</v>
      </c>
      <c r="C389" s="1" t="n">
        <v>45222</v>
      </c>
      <c r="D389" t="inlineStr">
        <is>
          <t>VÄRMLANDS LÄN</t>
        </is>
      </c>
      <c r="E389" t="inlineStr">
        <is>
          <t>SUNNE</t>
        </is>
      </c>
      <c r="G389" t="n">
        <v>5.6</v>
      </c>
      <c r="H389" t="n">
        <v>0</v>
      </c>
      <c r="I389" t="n">
        <v>0</v>
      </c>
      <c r="J389" t="n">
        <v>1</v>
      </c>
      <c r="K389" t="n">
        <v>0</v>
      </c>
      <c r="L389" t="n">
        <v>0</v>
      </c>
      <c r="M389" t="n">
        <v>0</v>
      </c>
      <c r="N389" t="n">
        <v>0</v>
      </c>
      <c r="O389" t="n">
        <v>1</v>
      </c>
      <c r="P389" t="n">
        <v>0</v>
      </c>
      <c r="Q389" t="n">
        <v>1</v>
      </c>
      <c r="R389" s="2" t="inlineStr">
        <is>
          <t>Garnlav</t>
        </is>
      </c>
      <c r="S389">
        <f>HYPERLINK("https://klasma.github.io/Logging_1766/artfynd/A 36666-2023 artfynd.xlsx", "A 36666-2023")</f>
        <v/>
      </c>
      <c r="T389">
        <f>HYPERLINK("https://klasma.github.io/Logging_1766/kartor/A 36666-2023 karta.png", "A 36666-2023")</f>
        <v/>
      </c>
      <c r="V389">
        <f>HYPERLINK("https://klasma.github.io/Logging_1766/klagomål/A 36666-2023 FSC-klagomål.docx", "A 36666-2023")</f>
        <v/>
      </c>
      <c r="W389">
        <f>HYPERLINK("https://klasma.github.io/Logging_1766/klagomålsmail/A 36666-2023 FSC-klagomål mail.docx", "A 36666-2023")</f>
        <v/>
      </c>
      <c r="X389">
        <f>HYPERLINK("https://klasma.github.io/Logging_1766/tillsyn/A 36666-2023 tillsynsbegäran.docx", "A 36666-2023")</f>
        <v/>
      </c>
      <c r="Y389">
        <f>HYPERLINK("https://klasma.github.io/Logging_1766/tillsynsmail/A 36666-2023 tillsynsbegäran mail.docx", "A 36666-2023")</f>
        <v/>
      </c>
    </row>
    <row r="390" ht="15" customHeight="1">
      <c r="A390" t="inlineStr">
        <is>
          <t>A 37427-2023</t>
        </is>
      </c>
      <c r="B390" s="1" t="n">
        <v>45156</v>
      </c>
      <c r="C390" s="1" t="n">
        <v>45222</v>
      </c>
      <c r="D390" t="inlineStr">
        <is>
          <t>VÄRMLANDS LÄN</t>
        </is>
      </c>
      <c r="E390" t="inlineStr">
        <is>
          <t>FILIPSTAD</t>
        </is>
      </c>
      <c r="F390" t="inlineStr">
        <is>
          <t>Bergvik skog väst AB</t>
        </is>
      </c>
      <c r="G390" t="n">
        <v>2.7</v>
      </c>
      <c r="H390" t="n">
        <v>1</v>
      </c>
      <c r="I390" t="n">
        <v>1</v>
      </c>
      <c r="J390" t="n">
        <v>0</v>
      </c>
      <c r="K390" t="n">
        <v>0</v>
      </c>
      <c r="L390" t="n">
        <v>0</v>
      </c>
      <c r="M390" t="n">
        <v>0</v>
      </c>
      <c r="N390" t="n">
        <v>0</v>
      </c>
      <c r="O390" t="n">
        <v>0</v>
      </c>
      <c r="P390" t="n">
        <v>0</v>
      </c>
      <c r="Q390" t="n">
        <v>1</v>
      </c>
      <c r="R390" s="2" t="inlineStr">
        <is>
          <t>Purpurknipprot</t>
        </is>
      </c>
      <c r="S390">
        <f>HYPERLINK("https://klasma.github.io/Logging_1782/artfynd/A 37427-2023 artfynd.xlsx", "A 37427-2023")</f>
        <v/>
      </c>
      <c r="T390">
        <f>HYPERLINK("https://klasma.github.io/Logging_1782/kartor/A 37427-2023 karta.png", "A 37427-2023")</f>
        <v/>
      </c>
      <c r="V390">
        <f>HYPERLINK("https://klasma.github.io/Logging_1782/klagomål/A 37427-2023 FSC-klagomål.docx", "A 37427-2023")</f>
        <v/>
      </c>
      <c r="W390">
        <f>HYPERLINK("https://klasma.github.io/Logging_1782/klagomålsmail/A 37427-2023 FSC-klagomål mail.docx", "A 37427-2023")</f>
        <v/>
      </c>
      <c r="X390">
        <f>HYPERLINK("https://klasma.github.io/Logging_1782/tillsyn/A 37427-2023 tillsynsbegäran.docx", "A 37427-2023")</f>
        <v/>
      </c>
      <c r="Y390">
        <f>HYPERLINK("https://klasma.github.io/Logging_1782/tillsynsmail/A 37427-2023 tillsynsbegäran mail.docx", "A 37427-2023")</f>
        <v/>
      </c>
    </row>
    <row r="391" ht="15" customHeight="1">
      <c r="A391" t="inlineStr">
        <is>
          <t>A 41484-2023</t>
        </is>
      </c>
      <c r="B391" s="1" t="n">
        <v>45175</v>
      </c>
      <c r="C391" s="1" t="n">
        <v>45222</v>
      </c>
      <c r="D391" t="inlineStr">
        <is>
          <t>VÄRMLANDS LÄN</t>
        </is>
      </c>
      <c r="E391" t="inlineStr">
        <is>
          <t>KARLSTAD</t>
        </is>
      </c>
      <c r="G391" t="n">
        <v>8.699999999999999</v>
      </c>
      <c r="H391" t="n">
        <v>1</v>
      </c>
      <c r="I391" t="n">
        <v>0</v>
      </c>
      <c r="J391" t="n">
        <v>1</v>
      </c>
      <c r="K391" t="n">
        <v>0</v>
      </c>
      <c r="L391" t="n">
        <v>0</v>
      </c>
      <c r="M391" t="n">
        <v>0</v>
      </c>
      <c r="N391" t="n">
        <v>0</v>
      </c>
      <c r="O391" t="n">
        <v>1</v>
      </c>
      <c r="P391" t="n">
        <v>0</v>
      </c>
      <c r="Q391" t="n">
        <v>1</v>
      </c>
      <c r="R391" s="2" t="inlineStr">
        <is>
          <t>Spillkråka</t>
        </is>
      </c>
      <c r="S391">
        <f>HYPERLINK("https://klasma.github.io/Logging_1780/artfynd/A 41484-2023 artfynd.xlsx", "A 41484-2023")</f>
        <v/>
      </c>
      <c r="T391">
        <f>HYPERLINK("https://klasma.github.io/Logging_1780/kartor/A 41484-2023 karta.png", "A 41484-2023")</f>
        <v/>
      </c>
      <c r="V391">
        <f>HYPERLINK("https://klasma.github.io/Logging_1780/klagomål/A 41484-2023 FSC-klagomål.docx", "A 41484-2023")</f>
        <v/>
      </c>
      <c r="W391">
        <f>HYPERLINK("https://klasma.github.io/Logging_1780/klagomålsmail/A 41484-2023 FSC-klagomål mail.docx", "A 41484-2023")</f>
        <v/>
      </c>
      <c r="X391">
        <f>HYPERLINK("https://klasma.github.io/Logging_1780/tillsyn/A 41484-2023 tillsynsbegäran.docx", "A 41484-2023")</f>
        <v/>
      </c>
      <c r="Y391">
        <f>HYPERLINK("https://klasma.github.io/Logging_1780/tillsynsmail/A 41484-2023 tillsynsbegäran mail.docx", "A 41484-2023")</f>
        <v/>
      </c>
    </row>
    <row r="392" ht="15" customHeight="1">
      <c r="A392" t="inlineStr">
        <is>
          <t>A 44095-2023</t>
        </is>
      </c>
      <c r="B392" s="1" t="n">
        <v>45188</v>
      </c>
      <c r="C392" s="1" t="n">
        <v>45222</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 artfynd.xlsx", "A 44095-2023")</f>
        <v/>
      </c>
      <c r="T392">
        <f>HYPERLINK("https://klasma.github.io/Logging_1783/kartor/A 44095-2023 karta.png", "A 44095-2023")</f>
        <v/>
      </c>
      <c r="V392">
        <f>HYPERLINK("https://klasma.github.io/Logging_1783/klagomål/A 44095-2023 FSC-klagomål.docx", "A 44095-2023")</f>
        <v/>
      </c>
      <c r="W392">
        <f>HYPERLINK("https://klasma.github.io/Logging_1783/klagomålsmail/A 44095-2023 FSC-klagomål mail.docx", "A 44095-2023")</f>
        <v/>
      </c>
      <c r="X392">
        <f>HYPERLINK("https://klasma.github.io/Logging_1783/tillsyn/A 44095-2023 tillsynsbegäran.docx", "A 44095-2023")</f>
        <v/>
      </c>
      <c r="Y392">
        <f>HYPERLINK("https://klasma.github.io/Logging_1783/tillsynsmail/A 44095-2023 tillsynsbegäran mail.docx", "A 44095-2023")</f>
        <v/>
      </c>
    </row>
    <row r="393" ht="15" customHeight="1">
      <c r="A393" t="inlineStr">
        <is>
          <t>A 44111-2023</t>
        </is>
      </c>
      <c r="B393" s="1" t="n">
        <v>45188</v>
      </c>
      <c r="C393" s="1" t="n">
        <v>45222</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 artfynd.xlsx", "A 44111-2023")</f>
        <v/>
      </c>
      <c r="T393">
        <f>HYPERLINK("https://klasma.github.io/Logging_1762/kartor/A 44111-2023 karta.png", "A 44111-2023")</f>
        <v/>
      </c>
      <c r="V393">
        <f>HYPERLINK("https://klasma.github.io/Logging_1762/klagomål/A 44111-2023 FSC-klagomål.docx", "A 44111-2023")</f>
        <v/>
      </c>
      <c r="W393">
        <f>HYPERLINK("https://klasma.github.io/Logging_1762/klagomålsmail/A 44111-2023 FSC-klagomål mail.docx", "A 44111-2023")</f>
        <v/>
      </c>
      <c r="X393">
        <f>HYPERLINK("https://klasma.github.io/Logging_1762/tillsyn/A 44111-2023 tillsynsbegäran.docx", "A 44111-2023")</f>
        <v/>
      </c>
      <c r="Y393">
        <f>HYPERLINK("https://klasma.github.io/Logging_1762/tillsynsmail/A 44111-2023 tillsynsbegäran mail.docx", "A 44111-2023")</f>
        <v/>
      </c>
    </row>
    <row r="394" ht="15" customHeight="1">
      <c r="A394" t="inlineStr">
        <is>
          <t>A 46099-2023</t>
        </is>
      </c>
      <c r="B394" s="1" t="n">
        <v>45196</v>
      </c>
      <c r="C394" s="1" t="n">
        <v>45222</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 artfynd.xlsx", "A 46099-2023")</f>
        <v/>
      </c>
      <c r="T394">
        <f>HYPERLINK("https://klasma.github.io/Logging_1737/kartor/A 46099-2023 karta.png", "A 46099-2023")</f>
        <v/>
      </c>
      <c r="V394">
        <f>HYPERLINK("https://klasma.github.io/Logging_1737/klagomål/A 46099-2023 FSC-klagomål.docx", "A 46099-2023")</f>
        <v/>
      </c>
      <c r="W394">
        <f>HYPERLINK("https://klasma.github.io/Logging_1737/klagomålsmail/A 46099-2023 FSC-klagomål mail.docx", "A 46099-2023")</f>
        <v/>
      </c>
      <c r="X394">
        <f>HYPERLINK("https://klasma.github.io/Logging_1737/tillsyn/A 46099-2023 tillsynsbegäran.docx", "A 46099-2023")</f>
        <v/>
      </c>
      <c r="Y394">
        <f>HYPERLINK("https://klasma.github.io/Logging_1737/tillsynsmail/A 46099-2023 tillsynsbegäran mail.docx", "A 46099-2023")</f>
        <v/>
      </c>
    </row>
    <row r="395" ht="15" customHeight="1">
      <c r="A395" t="inlineStr">
        <is>
          <t>A 47141-2023</t>
        </is>
      </c>
      <c r="B395" s="1" t="n">
        <v>45201</v>
      </c>
      <c r="C395" s="1" t="n">
        <v>45222</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 artfynd.xlsx", "A 47141-2023")</f>
        <v/>
      </c>
      <c r="T395">
        <f>HYPERLINK("https://klasma.github.io/Logging_1784/kartor/A 47141-2023 karta.png", "A 47141-2023")</f>
        <v/>
      </c>
      <c r="U395">
        <f>HYPERLINK("https://klasma.github.io/Logging_1784/knärot/A 47141-2023 karta knärot.png", "A 47141-2023")</f>
        <v/>
      </c>
      <c r="V395">
        <f>HYPERLINK("https://klasma.github.io/Logging_1784/klagomål/A 47141-2023 FSC-klagomål.docx", "A 47141-2023")</f>
        <v/>
      </c>
      <c r="W395">
        <f>HYPERLINK("https://klasma.github.io/Logging_1784/klagomålsmail/A 47141-2023 FSC-klagomål mail.docx", "A 47141-2023")</f>
        <v/>
      </c>
      <c r="X395">
        <f>HYPERLINK("https://klasma.github.io/Logging_1784/tillsyn/A 47141-2023 tillsynsbegäran.docx", "A 47141-2023")</f>
        <v/>
      </c>
      <c r="Y395">
        <f>HYPERLINK("https://klasma.github.io/Logging_1784/tillsynsmail/A 47141-2023 tillsynsbegäran mail.docx", "A 47141-2023")</f>
        <v/>
      </c>
    </row>
    <row r="396" ht="15" customHeight="1">
      <c r="A396" t="inlineStr">
        <is>
          <t>A 33955-2018</t>
        </is>
      </c>
      <c r="B396" s="1" t="n">
        <v>43314</v>
      </c>
      <c r="C396" s="1" t="n">
        <v>45222</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45222</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45222</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45222</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45222</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45222</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45222</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45222</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45222</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45222</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45222</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45222</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45222</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45222</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45222</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45222</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45222</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45222</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45222</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45222</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45222</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45222</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45222</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45222</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45222</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45222</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45222</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45222</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45222</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45222</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45222</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45222</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45222</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45222</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45222</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45222</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45222</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45222</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45222</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45222</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45222</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45222</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45222</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45222</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45222</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45222</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45222</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45222</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45222</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45222</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45222</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45222</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45222</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45222</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45222</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45222</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45222</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45222</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45222</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45222</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45222</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45222</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45222</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45222</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45222</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45222</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45222</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45222</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45222</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45222</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45222</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45222</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45222</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45222</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45222</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45222</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45222</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45222</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45222</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45222</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45222</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45222</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45222</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45222</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45222</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45222</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45222</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45222</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45222</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45222</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45222</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45222</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45222</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45222</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45222</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45222</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45222</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45222</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45222</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45222</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45222</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45222</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45222</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45222</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45222</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45222</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45222</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45222</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45222</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45222</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45222</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45222</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45222</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45222</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45222</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45222</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45222</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45222</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45222</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45222</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45222</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45222</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45222</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45222</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45222</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45222</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45222</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45222</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45222</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45222</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45222</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45222</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45222</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45222</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45222</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45222</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45222</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45222</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45222</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45222</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45222</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45222</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45222</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45222</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45222</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45222</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45222</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45222</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45222</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45222</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45222</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45222</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45222</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45222</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45222</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45222</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45222</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45222</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45222</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45222</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45222</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45222</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45222</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45222</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45222</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45222</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45222</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45222</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45222</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45222</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45222</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45222</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45222</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45222</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45222</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45222</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45222</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45222</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45222</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45222</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45222</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45222</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45222</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45222</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45222</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45222</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45222</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45222</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45222</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45222</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45222</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45222</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45222</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45222</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45222</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45222</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45222</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45222</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45222</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45222</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45222</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45222</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45222</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45222</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45222</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45222</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45222</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45222</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45222</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45222</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45222</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45222</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45222</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45222</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45222</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45222</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45222</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45222</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45222</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45222</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45222</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45222</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45222</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45222</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45222</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45222</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45222</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45222</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45222</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45222</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45222</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45222</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45222</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45222</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45222</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45222</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45222</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45222</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45222</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45222</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45222</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45222</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45222</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45222</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45222</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45222</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45222</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45222</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45222</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45222</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45222</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45222</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45222</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45222</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45222</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45222</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45222</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45222</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45222</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45222</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45222</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45222</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45222</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45222</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45222</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45222</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45222</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45222</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45222</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45222</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45222</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45222</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45222</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45222</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45222</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45222</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45222</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45222</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45222</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45222</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45222</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45222</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45222</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45222</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45222</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45222</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45222</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45222</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45222</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45222</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45222</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45222</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45222</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45222</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45222</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45222</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45222</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45222</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45222</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45222</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45222</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45222</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45222</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45222</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45222</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45222</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45222</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45222</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45222</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45222</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45222</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45222</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45222</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45222</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45222</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45222</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45222</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45222</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45222</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45222</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45222</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45222</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45222</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45222</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45222</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45222</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45222</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45222</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45222</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45222</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45222</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45222</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45222</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45222</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45222</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45222</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45222</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45222</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45222</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45222</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45222</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45222</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45222</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45222</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45222</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45222</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45222</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45222</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45222</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45222</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45222</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45222</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45222</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45222</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45222</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45222</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45222</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45222</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45222</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45222</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45222</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45222</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45222</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45222</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45222</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45222</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45222</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45222</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45222</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45222</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45222</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45222</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45222</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45222</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45222</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45222</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45222</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45222</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45222</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45222</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45222</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45222</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45222</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45222</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45222</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45222</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45222</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45222</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45222</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45222</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45222</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45222</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45222</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45222</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45222</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45222</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45222</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45222</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45222</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45222</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45222</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45222</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45222</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45222</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45222</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45222</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45222</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45222</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45222</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45222</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45222</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45222</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45222</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45222</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45222</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45222</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45222</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45222</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45222</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45222</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45222</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45222</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45222</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45222</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45222</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45222</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45222</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45222</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45222</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45222</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45222</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45222</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45222</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45222</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45222</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45222</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45222</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45222</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45222</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45222</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45222</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45222</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45222</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45222</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45222</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45222</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45222</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45222</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45222</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45222</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45222</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45222</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45222</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45222</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45222</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45222</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45222</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45222</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45222</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45222</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45222</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45222</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45222</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45222</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45222</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45222</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45222</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45222</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45222</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45222</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45222</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45222</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45222</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45222</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45222</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45222</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45222</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45222</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45222</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45222</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45222</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45222</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45222</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45222</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45222</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45222</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45222</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45222</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45222</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45222</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45222</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45222</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45222</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45222</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45222</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45222</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45222</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45222</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45222</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45222</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45222</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45222</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45222</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45222</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45222</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45222</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45222</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45222</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45222</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45222</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45222</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45222</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45222</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45222</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45222</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45222</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45222</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45222</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45222</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45222</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45222</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45222</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45222</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45222</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45222</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45222</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45222</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45222</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45222</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45222</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45222</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45222</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45222</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45222</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45222</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45222</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45222</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45222</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45222</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45222</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45222</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45222</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45222</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45222</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45222</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45222</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45222</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45222</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45222</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45222</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45222</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45222</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45222</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45222</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45222</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45222</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45222</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45222</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45222</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45222</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45222</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45222</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45222</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45222</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45222</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45222</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45222</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45222</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45222</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45222</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45222</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45222</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45222</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45222</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45222</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45222</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45222</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45222</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45222</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45222</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45222</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45222</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45222</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45222</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45222</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45222</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45222</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45222</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45222</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45222</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45222</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45222</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45222</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45222</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45222</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45222</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45222</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45222</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45222</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45222</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45222</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45222</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45222</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45222</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45222</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45222</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45222</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45222</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45222</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45222</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45222</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45222</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45222</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45222</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45222</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45222</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45222</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45222</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45222</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45222</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45222</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45222</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45222</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45222</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45222</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45222</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45222</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45222</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45222</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45222</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45222</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45222</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45222</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45222</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45222</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45222</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45222</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45222</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45222</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45222</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45222</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45222</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45222</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45222</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45222</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45222</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45222</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45222</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45222</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45222</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45222</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45222</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45222</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45222</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45222</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45222</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45222</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45222</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45222</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45222</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45222</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45222</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45222</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45222</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45222</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45222</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45222</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45222</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45222</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45222</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45222</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45222</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45222</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45222</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45222</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45222</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45222</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45222</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45222</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45222</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45222</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45222</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45222</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45222</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45222</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45222</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45222</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45222</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45222</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45222</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45222</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45222</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45222</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45222</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45222</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45222</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45222</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45222</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45222</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45222</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45222</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45222</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45222</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45222</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45222</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45222</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45222</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45222</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45222</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45222</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45222</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45222</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45222</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45222</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45222</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45222</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45222</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45222</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45222</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45222</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45222</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45222</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45222</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45222</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45222</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45222</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45222</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45222</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45222</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45222</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45222</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45222</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45222</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45222</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45222</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45222</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45222</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45222</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45222</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45222</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45222</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45222</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45222</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45222</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45222</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45222</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45222</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45222</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45222</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45222</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45222</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45222</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45222</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45222</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45222</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45222</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45222</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45222</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45222</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45222</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45222</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45222</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45222</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45222</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45222</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45222</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45222</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45222</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45222</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45222</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45222</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45222</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45222</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45222</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45222</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45222</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45222</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45222</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45222</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45222</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45222</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45222</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45222</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45222</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45222</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45222</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45222</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45222</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45222</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45222</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45222</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45222</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45222</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45222</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45222</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45222</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45222</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45222</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45222</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45222</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45222</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45222</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45222</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45222</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45222</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45222</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45222</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45222</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45222</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45222</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45222</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45222</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45222</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45222</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45222</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45222</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45222</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45222</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45222</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45222</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45222</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45222</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45222</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45222</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45222</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45222</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45222</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45222</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45222</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45222</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45222</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45222</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45222</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45222</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45222</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45222</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45222</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45222</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45222</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45222</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45222</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45222</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45222</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45222</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45222</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45222</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45222</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45222</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45222</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45222</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45222</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45222</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45222</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45222</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45222</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45222</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45222</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45222</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45222</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45222</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45222</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45222</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45222</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45222</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45222</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45222</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45222</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45222</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45222</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45222</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45222</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45222</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45222</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45222</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45222</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45222</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45222</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45222</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45222</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45222</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45222</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45222</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45222</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45222</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45222</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45222</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45222</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45222</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45222</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45222</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45222</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45222</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45222</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45222</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45222</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45222</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45222</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45222</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45222</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45222</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45222</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45222</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45222</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45222</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45222</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45222</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45222</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45222</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45222</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45222</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45222</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45222</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45222</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45222</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45222</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45222</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45222</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45222</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45222</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45222</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45222</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45222</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45222</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45222</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45222</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45222</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45222</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45222</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45222</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45222</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45222</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45222</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45222</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45222</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45222</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45222</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45222</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45222</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45222</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45222</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45222</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45222</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45222</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45222</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45222</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45222</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45222</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45222</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45222</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45222</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45222</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45222</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45222</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45222</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45222</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45222</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45222</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45222</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45222</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45222</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45222</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45222</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45222</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45222</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45222</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45222</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45222</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45222</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45222</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45222</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45222</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45222</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45222</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45222</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45222</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45222</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45222</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45222</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45222</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45222</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45222</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45222</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45222</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45222</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45222</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45222</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45222</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45222</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45222</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45222</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45222</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45222</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45222</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45222</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45222</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45222</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45222</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45222</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45222</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45222</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45222</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45222</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45222</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45222</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45222</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45222</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45222</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45222</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45222</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45222</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45222</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45222</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45222</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45222</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45222</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45222</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45222</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45222</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45222</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45222</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45222</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45222</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45222</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45222</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45222</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45222</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45222</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45222</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45222</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45222</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45222</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45222</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45222</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45222</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45222</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45222</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45222</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45222</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45222</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45222</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45222</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45222</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45222</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45222</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45222</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45222</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45222</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45222</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45222</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45222</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45222</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45222</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45222</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45222</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45222</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45222</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45222</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45222</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45222</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45222</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45222</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45222</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45222</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45222</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45222</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45222</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45222</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45222</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45222</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45222</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45222</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45222</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45222</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45222</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45222</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45222</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45222</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45222</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45222</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45222</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45222</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45222</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45222</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45222</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45222</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45222</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45222</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45222</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45222</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45222</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45222</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45222</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45222</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45222</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45222</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45222</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45222</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45222</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45222</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45222</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45222</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45222</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45222</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45222</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45222</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45222</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45222</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45222</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45222</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45222</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45222</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45222</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45222</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45222</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45222</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45222</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45222</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45222</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45222</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45222</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45222</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45222</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45222</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45222</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45222</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45222</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45222</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45222</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45222</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45222</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45222</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45222</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45222</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45222</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45222</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45222</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45222</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45222</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45222</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45222</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45222</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45222</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45222</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45222</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45222</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45222</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45222</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45222</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45222</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45222</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45222</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45222</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45222</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45222</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45222</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45222</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45222</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45222</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45222</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45222</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45222</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45222</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45222</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45222</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45222</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45222</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45222</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45222</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45222</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45222</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45222</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45222</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45222</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45222</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45222</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45222</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45222</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45222</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45222</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45222</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45222</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45222</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45222</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45222</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45222</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45222</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45222</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45222</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45222</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45222</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45222</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45222</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45222</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45222</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45222</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45222</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45222</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45222</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45222</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45222</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45222</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45222</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45222</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45222</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45222</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45222</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45222</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45222</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45222</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45222</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45222</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45222</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45222</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45222</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45222</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45222</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45222</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45222</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45222</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45222</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45222</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45222</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45222</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45222</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45222</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45222</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45222</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45222</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45222</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45222</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45222</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45222</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45222</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45222</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45222</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45222</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45222</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45222</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45222</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45222</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45222</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45222</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45222</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45222</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45222</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45222</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45222</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45222</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45222</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45222</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45222</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45222</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45222</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45222</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45222</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45222</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45222</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45222</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45222</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45222</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45222</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45222</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45222</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45222</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45222</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45222</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45222</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45222</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45222</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45222</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45222</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45222</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45222</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45222</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45222</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45222</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45222</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45222</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45222</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45222</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45222</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45222</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45222</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45222</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45222</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45222</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45222</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45222</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45222</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45222</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45222</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45222</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45222</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45222</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45222</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45222</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45222</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45222</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45222</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45222</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45222</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45222</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45222</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45222</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45222</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45222</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45222</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45222</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45222</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45222</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45222</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45222</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45222</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45222</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45222</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45222</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45222</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45222</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45222</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45222</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45222</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45222</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45222</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45222</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45222</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45222</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45222</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45222</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45222</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45222</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45222</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45222</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45222</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45222</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45222</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45222</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45222</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45222</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45222</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45222</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45222</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45222</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45222</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45222</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45222</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45222</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45222</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45222</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45222</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45222</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45222</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45222</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45222</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45222</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45222</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45222</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45222</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HYPERLINK("https://klasma.github.io/Logging_1780/knärot/A 22869-2019 karta knärot.png", "A 22869-2019")</f>
        <v/>
      </c>
      <c r="V1752">
        <f>HYPERLINK("https://klasma.github.io/Logging_1780/klagomål/A 22869-2019 FSC-klagomål.docx", "A 22869-2019")</f>
        <v/>
      </c>
      <c r="W1752">
        <f>HYPERLINK("https://klasma.github.io/Logging_1780/klagomålsmail/A 22869-2019 FSC-klagomål mail.docx", "A 22869-2019")</f>
        <v/>
      </c>
      <c r="X1752">
        <f>HYPERLINK("https://klasma.github.io/Logging_1780/tillsyn/A 22869-2019 tillsynsbegäran.docx", "A 22869-2019")</f>
        <v/>
      </c>
      <c r="Y1752">
        <f>HYPERLINK("https://klasma.github.io/Logging_1780/tillsynsmail/A 22869-2019 tillsynsbegäran mail.docx", "A 22869-2019")</f>
        <v/>
      </c>
    </row>
    <row r="1753" ht="15" customHeight="1">
      <c r="A1753" t="inlineStr">
        <is>
          <t>A 22914-2019</t>
        </is>
      </c>
      <c r="B1753" s="1" t="n">
        <v>43591</v>
      </c>
      <c r="C1753" s="1" t="n">
        <v>45222</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45222</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45222</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45222</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45222</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45222</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45222</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45222</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45222</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45222</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45222</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45222</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45222</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45222</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45222</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45222</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45222</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45222</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45222</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45222</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45222</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45222</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45222</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45222</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45222</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45222</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45222</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45222</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45222</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45222</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45222</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45222</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45222</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45222</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45222</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45222</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45222</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45222</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45222</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45222</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45222</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45222</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45222</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45222</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45222</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45222</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45222</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45222</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45222</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45222</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45222</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45222</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45222</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45222</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45222</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45222</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45222</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45222</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45222</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45222</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45222</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45222</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45222</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45222</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45222</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45222</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45222</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45222</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45222</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45222</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45222</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45222</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45222</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45222</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45222</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45222</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45222</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45222</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45222</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45222</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45222</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45222</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45222</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45222</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45222</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45222</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45222</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45222</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45222</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45222</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45222</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45222</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45222</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45222</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45222</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45222</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45222</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45222</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45222</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45222</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45222</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45222</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45222</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45222</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45222</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45222</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45222</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45222</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45222</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45222</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45222</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45222</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45222</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45222</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45222</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45222</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45222</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45222</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45222</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45222</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45222</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45222</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45222</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45222</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45222</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45222</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45222</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45222</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45222</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45222</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45222</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45222</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45222</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45222</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45222</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45222</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45222</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45222</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45222</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45222</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45222</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45222</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45222</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45222</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45222</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45222</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45222</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45222</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45222</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45222</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45222</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45222</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45222</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45222</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45222</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45222</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45222</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45222</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45222</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45222</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45222</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45222</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45222</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45222</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45222</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45222</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45222</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45222</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45222</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45222</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45222</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45222</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45222</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45222</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45222</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45222</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45222</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45222</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45222</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45222</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45222</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45222</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45222</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45222</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45222</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45222</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45222</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45222</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45222</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45222</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45222</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45222</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45222</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45222</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45222</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45222</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45222</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45222</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45222</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45222</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45222</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45222</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45222</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45222</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45222</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45222</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45222</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45222</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45222</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45222</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45222</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45222</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45222</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45222</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45222</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45222</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45222</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45222</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45222</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45222</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45222</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45222</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45222</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45222</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45222</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45222</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45222</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45222</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45222</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45222</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45222</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45222</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45222</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45222</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45222</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45222</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45222</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45222</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45222</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45222</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45222</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45222</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45222</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45222</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45222</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45222</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45222</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45222</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45222</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45222</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45222</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45222</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45222</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45222</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45222</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45222</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45222</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45222</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45222</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45222</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45222</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45222</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45222</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45222</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45222</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45222</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45222</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45222</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45222</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45222</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45222</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45222</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45222</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45222</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45222</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45222</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45222</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45222</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45222</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45222</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45222</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45222</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45222</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45222</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45222</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45222</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45222</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45222</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45222</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45222</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45222</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45222</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45222</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45222</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45222</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45222</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45222</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45222</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45222</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45222</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45222</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45222</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45222</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45222</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45222</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45222</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45222</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45222</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45222</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45222</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45222</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45222</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45222</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45222</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45222</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45222</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45222</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45222</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45222</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45222</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45222</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45222</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45222</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45222</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45222</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45222</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45222</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45222</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45222</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45222</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45222</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45222</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45222</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45222</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45222</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45222</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45222</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45222</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45222</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45222</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45222</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45222</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45222</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45222</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45222</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45222</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45222</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45222</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45222</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45222</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45222</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45222</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45222</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45222</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45222</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45222</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45222</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45222</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45222</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45222</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45222</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45222</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45222</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45222</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45222</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45222</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45222</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45222</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45222</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45222</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45222</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45222</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45222</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45222</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45222</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45222</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45222</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45222</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45222</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45222</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45222</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45222</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45222</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45222</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45222</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45222</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45222</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45222</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45222</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45222</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45222</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45222</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45222</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45222</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45222</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45222</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45222</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45222</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45222</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45222</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45222</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45222</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45222</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45222</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45222</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45222</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45222</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45222</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45222</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45222</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45222</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45222</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45222</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45222</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45222</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45222</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45222</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45222</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45222</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45222</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45222</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45222</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45222</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45222</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45222</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45222</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45222</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45222</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45222</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45222</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45222</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45222</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45222</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45222</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45222</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45222</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45222</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45222</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45222</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45222</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45222</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45222</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45222</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45222</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45222</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45222</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45222</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45222</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45222</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45222</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45222</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45222</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45222</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45222</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45222</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45222</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45222</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45222</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45222</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45222</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45222</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45222</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45222</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45222</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45222</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45222</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45222</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45222</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45222</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45222</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45222</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45222</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45222</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45222</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45222</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45222</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45222</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45222</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45222</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45222</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45222</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45222</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45222</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45222</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45222</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45222</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45222</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45222</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45222</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45222</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45222</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45222</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45222</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45222</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45222</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45222</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45222</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45222</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45222</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45222</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45222</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45222</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45222</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45222</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45222</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45222</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45222</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45222</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45222</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45222</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45222</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45222</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45222</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45222</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45222</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45222</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45222</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45222</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45222</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45222</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45222</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45222</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45222</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45222</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45222</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45222</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45222</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45222</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45222</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45222</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45222</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45222</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45222</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45222</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45222</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45222</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45222</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45222</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45222</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45222</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45222</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45222</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45222</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45222</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45222</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45222</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45222</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45222</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45222</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45222</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45222</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45222</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45222</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45222</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45222</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45222</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45222</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45222</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45222</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45222</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45222</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45222</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45222</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45222</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45222</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45222</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45222</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45222</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45222</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45222</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45222</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45222</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45222</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45222</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45222</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45222</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45222</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45222</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45222</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45222</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45222</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45222</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45222</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45222</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45222</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45222</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45222</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45222</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45222</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45222</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45222</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45222</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45222</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45222</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45222</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45222</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45222</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45222</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45222</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45222</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45222</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45222</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45222</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45222</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45222</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45222</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45222</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45222</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45222</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45222</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45222</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45222</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45222</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45222</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45222</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45222</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45222</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45222</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45222</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45222</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45222</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45222</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45222</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45222</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45222</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45222</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45222</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45222</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45222</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45222</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45222</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45222</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45222</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45222</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45222</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45222</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45222</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45222</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45222</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45222</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45222</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45222</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45222</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45222</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45222</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45222</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45222</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45222</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45222</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45222</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45222</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45222</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45222</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45222</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45222</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45222</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45222</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45222</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45222</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45222</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45222</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45222</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45222</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45222</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45222</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45222</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45222</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45222</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45222</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45222</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45222</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45222</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45222</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45222</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45222</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45222</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45222</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45222</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45222</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45222</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45222</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45222</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45222</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45222</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45222</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45222</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45222</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45222</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45222</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45222</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45222</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45222</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45222</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45222</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45222</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45222</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45222</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45222</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45222</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45222</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45222</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45222</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45222</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45222</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45222</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45222</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45222</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45222</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45222</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45222</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45222</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45222</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45222</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45222</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45222</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45222</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45222</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45222</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45222</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45222</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45222</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45222</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45222</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45222</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45222</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45222</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45222</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45222</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45222</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45222</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45222</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45222</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45222</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45222</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45222</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45222</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45222</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45222</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45222</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45222</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45222</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45222</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45222</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45222</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45222</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45222</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45222</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45222</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45222</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45222</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45222</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45222</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45222</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45222</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45222</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45222</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45222</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45222</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45222</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45222</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45222</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45222</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45222</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45222</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45222</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45222</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45222</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45222</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45222</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45222</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45222</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45222</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45222</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45222</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45222</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45222</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45222</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45222</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45222</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45222</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45222</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45222</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45222</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45222</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45222</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45222</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45222</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45222</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45222</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45222</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45222</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45222</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45222</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45222</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45222</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45222</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45222</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45222</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45222</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45222</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45222</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45222</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45222</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45222</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45222</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45222</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45222</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45222</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45222</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45222</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45222</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45222</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45222</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45222</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45222</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45222</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45222</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45222</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45222</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45222</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45222</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45222</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45222</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45222</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45222</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45222</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45222</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45222</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45222</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45222</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45222</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45222</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45222</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45222</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45222</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45222</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45222</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45222</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45222</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45222</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45222</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45222</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45222</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45222</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45222</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45222</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45222</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45222</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45222</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45222</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45222</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45222</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45222</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45222</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45222</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45222</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45222</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45222</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45222</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45222</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45222</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45222</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45222</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45222</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45222</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45222</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45222</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45222</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45222</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45222</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45222</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45222</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45222</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45222</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45222</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45222</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45222</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45222</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45222</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45222</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45222</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45222</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45222</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45222</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45222</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45222</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45222</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45222</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45222</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45222</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45222</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45222</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45222</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45222</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45222</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45222</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45222</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45222</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45222</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45222</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45222</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45222</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45222</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45222</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45222</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45222</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45222</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45222</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45222</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45222</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45222</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45222</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45222</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45222</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45222</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45222</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45222</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45222</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45222</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45222</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45222</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45222</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45222</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45222</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45222</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45222</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45222</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45222</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45222</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45222</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45222</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45222</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45222</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45222</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45222</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45222</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45222</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45222</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45222</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45222</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45222</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45222</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45222</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45222</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45222</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45222</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45222</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45222</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45222</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45222</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45222</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45222</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45222</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45222</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45222</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45222</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45222</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45222</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45222</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45222</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45222</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45222</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45222</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45222</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45222</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45222</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45222</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45222</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45222</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45222</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45222</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45222</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45222</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45222</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45222</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45222</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45222</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45222</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45222</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45222</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45222</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45222</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45222</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45222</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45222</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45222</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45222</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45222</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45222</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45222</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45222</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45222</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45222</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45222</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45222</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45222</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45222</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45222</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45222</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45222</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45222</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45222</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45222</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45222</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45222</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45222</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45222</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45222</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45222</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45222</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45222</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45222</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45222</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45222</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45222</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45222</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45222</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45222</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45222</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45222</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45222</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45222</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45222</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45222</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45222</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45222</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45222</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45222</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45222</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45222</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45222</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45222</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45222</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45222</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45222</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45222</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45222</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45222</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45222</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45222</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45222</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45222</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45222</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45222</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45222</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45222</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45222</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45222</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45222</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45222</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45222</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45222</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45222</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45222</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45222</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45222</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45222</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45222</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45222</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45222</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45222</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45222</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45222</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45222</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45222</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45222</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45222</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45222</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45222</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45222</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45222</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45222</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45222</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45222</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45222</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45222</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45222</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45222</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45222</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45222</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45222</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45222</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45222</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45222</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45222</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45222</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45222</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45222</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45222</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45222</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45222</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45222</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45222</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45222</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45222</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45222</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45222</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45222</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45222</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45222</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45222</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45222</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45222</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45222</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45222</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45222</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45222</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45222</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45222</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45222</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45222</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45222</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45222</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45222</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45222</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45222</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45222</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45222</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45222</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45222</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45222</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45222</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45222</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45222</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45222</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45222</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45222</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45222</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45222</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45222</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45222</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45222</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45222</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45222</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45222</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45222</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45222</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45222</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45222</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45222</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45222</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45222</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45222</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45222</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45222</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45222</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45222</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45222</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45222</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45222</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45222</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45222</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45222</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45222</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45222</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45222</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45222</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45222</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45222</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45222</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45222</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45222</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45222</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45222</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45222</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45222</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45222</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45222</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45222</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45222</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45222</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45222</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45222</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45222</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45222</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45222</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45222</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45222</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45222</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45222</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45222</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45222</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45222</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45222</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45222</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45222</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45222</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45222</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45222</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45222</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45222</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45222</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45222</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45222</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45222</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45222</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45222</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45222</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45222</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45222</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45222</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45222</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45222</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45222</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45222</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45222</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45222</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45222</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45222</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45222</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45222</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45222</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45222</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45222</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45222</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45222</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45222</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45222</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45222</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45222</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45222</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45222</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45222</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45222</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45222</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45222</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45222</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45222</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45222</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45222</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45222</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45222</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45222</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45222</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45222</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45222</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45222</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45222</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45222</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45222</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45222</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45222</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45222</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45222</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45222</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45222</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45222</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45222</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45222</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45222</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45222</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45222</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45222</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45222</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45222</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45222</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45222</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45222</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45222</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45222</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45222</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45222</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45222</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45222</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45222</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45222</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45222</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45222</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45222</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45222</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45222</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45222</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45222</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45222</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45222</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45222</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45222</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45222</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45222</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45222</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45222</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45222</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45222</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45222</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45222</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45222</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45222</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45222</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45222</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45222</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45222</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45222</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45222</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45222</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45222</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45222</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45222</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45222</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45222</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45222</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45222</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45222</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45222</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45222</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45222</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45222</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45222</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45222</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45222</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45222</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45222</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45222</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45222</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45222</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45222</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45222</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45222</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45222</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45222</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45222</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45222</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45222</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45222</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45222</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45222</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45222</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45222</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45222</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45222</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45222</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45222</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45222</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45222</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45222</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45222</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45222</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45222</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45222</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45222</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45222</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45222</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45222</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45222</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45222</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45222</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45222</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45222</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45222</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45222</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45222</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45222</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45222</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45222</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45222</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45222</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45222</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45222</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45222</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45222</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45222</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45222</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45222</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45222</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45222</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45222</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45222</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45222</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45222</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45222</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45222</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45222</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45222</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45222</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45222</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45222</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45222</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45222</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45222</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45222</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45222</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45222</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45222</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45222</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45222</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45222</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45222</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45222</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45222</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45222</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45222</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45222</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45222</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45222</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45222</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45222</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45222</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45222</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45222</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45222</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45222</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45222</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45222</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45222</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45222</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45222</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45222</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45222</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45222</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45222</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45222</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45222</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45222</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45222</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45222</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45222</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45222</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45222</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45222</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45222</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45222</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45222</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45222</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45222</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45222</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45222</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45222</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45222</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45222</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45222</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45222</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45222</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45222</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45222</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45222</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45222</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45222</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45222</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45222</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45222</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45222</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45222</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45222</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45222</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45222</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45222</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45222</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45222</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45222</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45222</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45222</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45222</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45222</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45222</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45222</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45222</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45222</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45222</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45222</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45222</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45222</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45222</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45222</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45222</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45222</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45222</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45222</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45222</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45222</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45222</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45222</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45222</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45222</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45222</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45222</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45222</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45222</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45222</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45222</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45222</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45222</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45222</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45222</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45222</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45222</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45222</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45222</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45222</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45222</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45222</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45222</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45222</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45222</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45222</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45222</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45222</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45222</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45222</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45222</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45222</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45222</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45222</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45222</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45222</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45222</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45222</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45222</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45222</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45222</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45222</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45222</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45222</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45222</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45222</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45222</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45222</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45222</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45222</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45222</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45222</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45222</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45222</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45222</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45222</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45222</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45222</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45222</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45222</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45222</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45222</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45222</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45222</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45222</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45222</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45222</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45222</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45222</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45222</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45222</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45222</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45222</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45222</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45222</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45222</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45222</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45222</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45222</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45222</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45222</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45222</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45222</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45222</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45222</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45222</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45222</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45222</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45222</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45222</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45222</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45222</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45222</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45222</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45222</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45222</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45222</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45222</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45222</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45222</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45222</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45222</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45222</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45222</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45222</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45222</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45222</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45222</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45222</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45222</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45222</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45222</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45222</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45222</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45222</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45222</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45222</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45222</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45222</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45222</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45222</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45222</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45222</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45222</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45222</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45222</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45222</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45222</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45222</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45222</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45222</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45222</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45222</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45222</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45222</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45222</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45222</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45222</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45222</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45222</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45222</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45222</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45222</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45222</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45222</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45222</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45222</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45222</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45222</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45222</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45222</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45222</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45222</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45222</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45222</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45222</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45222</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45222</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45222</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45222</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45222</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45222</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45222</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45222</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45222</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45222</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45222</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45222</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45222</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45222</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45222</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45222</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45222</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45222</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45222</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45222</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45222</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45222</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45222</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45222</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45222</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45222</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45222</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45222</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45222</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45222</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45222</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45222</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45222</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45222</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45222</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45222</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45222</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45222</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45222</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45222</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45222</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45222</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45222</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45222</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45222</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45222</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45222</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45222</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45222</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45222</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45222</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45222</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45222</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45222</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45222</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45222</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45222</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45222</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45222</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45222</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45222</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45222</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45222</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45222</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45222</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45222</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45222</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45222</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45222</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45222</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45222</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45222</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45222</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45222</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45222</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45222</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45222</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45222</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45222</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45222</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45222</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45222</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45222</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45222</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45222</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45222</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45222</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45222</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45222</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45222</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45222</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45222</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45222</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45222</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45222</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45222</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45222</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45222</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45222</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45222</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45222</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45222</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45222</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45222</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45222</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45222</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45222</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45222</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45222</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45222</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45222</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45222</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45222</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45222</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45222</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45222</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45222</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45222</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45222</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45222</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45222</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45222</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45222</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45222</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45222</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45222</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45222</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45222</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45222</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45222</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45222</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45222</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45222</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45222</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45222</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45222</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45222</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45222</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45222</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45222</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45222</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45222</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45222</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45222</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45222</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45222</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45222</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45222</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45222</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45222</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45222</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45222</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45222</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45222</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45222</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45222</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45222</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45222</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45222</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45222</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45222</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45222</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45222</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45222</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45222</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45222</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45222</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45222</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45222</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45222</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45222</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45222</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45222</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45222</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45222</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45222</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45222</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45222</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45222</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45222</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45222</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45222</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45222</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45222</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45222</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45222</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45222</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45222</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45222</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45222</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45222</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45222</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45222</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45222</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45222</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45222</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45222</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45222</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45222</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45222</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45222</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45222</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45222</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45222</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45222</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45222</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45222</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45222</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45222</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45222</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45222</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45222</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45222</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45222</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45222</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45222</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45222</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45222</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45222</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45222</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45222</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45222</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45222</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45222</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45222</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45222</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45222</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45222</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45222</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45222</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45222</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45222</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45222</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45222</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45222</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45222</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45222</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45222</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45222</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45222</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45222</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45222</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45222</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45222</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45222</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45222</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45222</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45222</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45222</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45222</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45222</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45222</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45222</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45222</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45222</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45222</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45222</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45222</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45222</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45222</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45222</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45222</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45222</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45222</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45222</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45222</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45222</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45222</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45222</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45222</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45222</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45222</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45222</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45222</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45222</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45222</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45222</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45222</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45222</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45222</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45222</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45222</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45222</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45222</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45222</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45222</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45222</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45222</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45222</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45222</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45222</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45222</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45222</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45222</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45222</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45222</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45222</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45222</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45222</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45222</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45222</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45222</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45222</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45222</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45222</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45222</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45222</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45222</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45222</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45222</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45222</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45222</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45222</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45222</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45222</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45222</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45222</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45222</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45222</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45222</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45222</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45222</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45222</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45222</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45222</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45222</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45222</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45222</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45222</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45222</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45222</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45222</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45222</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45222</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45222</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45222</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45222</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45222</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45222</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45222</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45222</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45222</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45222</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45222</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45222</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45222</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45222</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45222</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45222</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45222</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45222</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45222</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45222</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45222</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45222</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45222</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45222</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45222</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45222</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45222</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45222</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45222</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45222</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45222</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45222</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45222</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45222</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45222</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45222</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45222</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45222</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45222</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45222</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45222</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45222</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45222</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45222</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45222</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45222</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45222</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45222</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45222</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45222</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45222</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45222</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45222</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45222</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45222</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45222</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45222</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45222</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45222</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45222</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45222</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45222</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45222</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45222</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45222</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45222</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45222</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45222</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45222</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45222</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45222</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45222</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45222</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45222</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45222</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45222</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45222</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45222</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45222</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45222</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45222</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45222</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45222</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45222</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45222</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45222</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45222</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45222</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45222</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45222</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45222</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45222</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45222</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45222</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45222</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45222</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45222</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45222</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45222</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45222</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45222</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45222</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45222</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45222</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45222</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45222</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45222</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45222</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45222</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45222</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45222</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45222</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45222</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45222</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45222</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45222</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45222</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45222</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45222</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45222</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45222</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45222</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45222</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45222</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45222</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45222</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45222</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45222</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45222</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45222</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45222</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45222</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45222</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45222</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45222</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45222</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45222</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45222</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45222</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45222</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45222</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45222</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45222</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45222</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45222</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45222</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45222</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45222</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45222</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45222</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45222</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45222</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45222</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45222</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45222</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45222</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45222</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45222</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45222</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45222</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45222</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45222</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45222</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45222</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45222</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45222</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45222</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45222</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45222</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45222</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45222</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45222</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45222</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45222</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45222</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45222</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45222</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45222</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45222</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45222</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45222</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45222</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45222</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45222</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45222</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45222</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45222</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45222</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45222</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45222</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45222</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45222</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45222</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45222</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45222</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45222</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45222</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45222</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45222</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45222</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45222</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45222</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45222</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45222</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45222</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45222</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45222</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45222</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45222</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45222</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45222</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45222</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45222</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45222</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45222</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45222</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45222</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45222</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45222</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45222</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45222</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45222</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45222</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45222</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45222</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45222</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45222</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45222</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45222</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45222</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45222</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45222</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45222</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45222</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45222</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45222</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45222</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45222</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45222</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45222</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45222</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45222</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45222</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45222</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45222</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45222</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45222</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45222</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45222</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45222</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45222</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45222</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45222</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45222</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45222</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45222</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45222</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45222</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45222</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45222</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45222</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45222</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45222</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45222</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45222</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45222</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45222</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45222</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45222</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45222</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45222</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45222</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45222</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45222</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45222</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45222</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45222</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45222</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45222</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45222</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45222</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45222</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45222</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45222</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45222</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45222</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45222</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45222</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45222</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45222</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45222</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45222</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45222</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45222</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45222</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45222</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45222</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45222</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45222</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45222</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45222</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45222</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45222</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45222</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45222</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45222</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45222</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45222</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45222</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45222</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45222</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45222</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45222</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45222</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45222</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45222</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45222</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45222</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45222</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45222</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45222</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45222</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45222</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45222</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45222</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45222</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45222</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45222</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45222</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45222</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45222</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45222</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45222</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45222</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45222</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45222</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45222</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45222</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45222</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45222</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45222</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45222</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45222</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45222</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45222</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45222</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45222</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45222</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45222</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45222</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45222</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45222</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45222</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45222</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45222</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45222</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45222</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45222</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45222</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45222</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45222</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45222</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45222</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45222</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45222</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45222</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45222</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45222</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45222</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45222</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45222</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45222</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45222</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45222</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45222</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45222</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45222</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45222</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45222</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45222</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45222</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45222</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45222</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45222</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45222</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45222</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45222</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45222</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45222</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45222</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45222</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45222</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45222</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45222</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45222</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45222</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45222</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45222</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45222</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45222</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45222</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45222</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45222</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45222</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45222</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45222</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45222</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45222</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45222</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45222</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45222</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45222</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45222</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45222</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45222</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45222</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45222</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45222</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45222</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45222</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45222</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45222</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45222</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45222</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45222</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45222</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45222</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45222</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45222</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45222</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45222</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45222</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45222</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45222</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45222</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45222</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45222</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45222</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45222</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45222</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45222</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45222</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45222</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45222</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45222</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45222</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45222</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45222</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45222</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45222</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45222</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45222</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45222</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45222</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45222</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45222</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45222</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45222</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45222</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45222</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45222</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45222</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45222</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45222</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45222</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45222</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45222</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45222</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45222</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45222</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45222</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45222</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45222</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45222</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45222</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45222</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45222</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45222</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45222</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45222</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45222</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45222</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45222</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45222</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45222</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45222</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45222</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45222</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45222</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45222</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45222</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45222</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45222</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45222</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45222</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45222</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45222</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45222</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45222</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45222</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45222</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45222</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45222</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45222</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45222</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45222</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45222</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45222</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45222</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45222</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45222</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45222</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45222</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45222</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45222</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45222</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45222</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45222</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45222</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45222</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45222</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45222</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45222</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45222</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45222</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45222</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45222</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45222</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45222</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45222</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45222</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45222</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45222</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45222</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45222</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45222</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45222</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45222</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45222</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45222</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45222</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45222</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45222</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45222</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45222</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45222</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45222</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45222</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45222</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45222</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45222</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45222</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45222</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45222</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45222</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45222</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45222</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45222</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45222</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45222</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45222</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45222</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45222</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45222</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45222</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45222</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45222</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45222</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45222</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45222</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45222</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45222</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45222</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45222</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45222</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45222</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45222</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45222</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45222</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45222</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45222</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45222</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45222</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45222</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45222</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45222</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45222</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45222</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45222</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45222</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45222</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45222</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45222</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45222</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45222</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45222</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45222</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45222</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45222</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45222</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45222</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45222</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45222</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45222</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45222</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45222</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45222</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45222</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45222</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45222</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45222</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45222</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45222</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45222</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45222</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45222</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45222</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45222</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45222</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45222</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45222</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45222</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45222</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45222</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45222</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45222</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45222</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45222</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45222</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45222</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45222</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45222</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45222</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45222</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45222</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45222</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45222</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45222</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45222</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45222</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45222</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45222</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45222</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45222</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45222</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45222</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45222</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45222</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45222</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45222</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45222</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45222</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45222</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45222</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45222</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45222</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45222</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45222</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45222</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45222</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45222</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45222</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45222</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45222</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45222</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45222</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45222</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45222</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45222</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45222</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45222</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45222</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45222</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45222</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45222</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45222</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45222</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45222</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45222</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45222</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45222</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45222</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45222</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45222</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45222</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45222</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45222</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45222</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45222</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45222</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45222</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45222</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45222</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45222</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45222</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45222</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45222</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45222</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45222</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45222</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45222</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45222</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45222</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45222</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45222</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45222</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45222</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45222</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45222</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45222</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45222</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45222</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45222</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45222</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45222</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45222</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45222</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45222</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45222</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45222</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45222</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45222</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45222</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45222</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45222</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45222</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45222</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45222</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45222</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45222</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45222</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45222</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45222</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45222</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45222</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45222</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45222</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45222</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45222</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45222</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45222</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45222</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45222</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45222</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45222</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45222</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45222</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45222</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45222</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45222</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45222</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45222</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45222</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45222</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45222</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45222</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45222</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45222</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45222</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45222</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45222</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45222</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45222</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45222</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45222</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45222</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45222</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45222</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45222</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45222</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45222</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45222</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45222</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45222</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45222</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45222</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45222</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45222</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45222</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45222</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45222</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45222</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45222</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45222</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45222</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45222</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45222</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45222</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45222</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45222</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45222</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45222</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45222</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45222</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45222</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45222</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45222</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45222</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45222</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45222</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45222</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45222</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45222</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45222</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45222</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45222</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45222</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45222</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45222</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45222</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45222</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45222</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45222</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45222</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45222</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45222</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45222</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45222</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45222</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HYPERLINK("https://klasma.github.io/Logging_1715/knärot/A 1269-2021 karta knärot.png", "A 1269-2021")</f>
        <v/>
      </c>
      <c r="V4527">
        <f>HYPERLINK("https://klasma.github.io/Logging_1715/klagomål/A 1269-2021 FSC-klagomål.docx", "A 1269-2021")</f>
        <v/>
      </c>
      <c r="W4527">
        <f>HYPERLINK("https://klasma.github.io/Logging_1715/klagomålsmail/A 1269-2021 FSC-klagomål mail.docx", "A 1269-2021")</f>
        <v/>
      </c>
      <c r="X4527">
        <f>HYPERLINK("https://klasma.github.io/Logging_1715/tillsyn/A 1269-2021 tillsynsbegäran.docx", "A 1269-2021")</f>
        <v/>
      </c>
      <c r="Y4527">
        <f>HYPERLINK("https://klasma.github.io/Logging_1715/tillsynsmail/A 1269-2021 tillsynsbegäran mail.docx", "A 1269-2021")</f>
        <v/>
      </c>
    </row>
    <row r="4528" ht="15" customHeight="1">
      <c r="A4528" t="inlineStr">
        <is>
          <t>A 1516-2021</t>
        </is>
      </c>
      <c r="B4528" s="1" t="n">
        <v>44209</v>
      </c>
      <c r="C4528" s="1" t="n">
        <v>45222</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45222</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45222</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45222</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45222</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45222</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45222</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45222</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45222</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45222</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45222</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45222</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45222</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45222</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45222</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45222</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45222</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45222</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45222</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45222</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45222</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45222</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45222</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45222</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45222</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45222</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45222</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45222</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45222</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45222</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45222</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45222</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45222</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45222</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45222</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45222</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45222</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45222</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45222</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45222</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45222</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45222</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45222</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45222</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45222</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45222</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45222</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45222</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45222</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45222</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45222</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45222</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45222</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45222</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45222</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45222</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45222</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45222</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45222</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45222</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45222</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45222</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45222</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45222</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45222</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45222</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45222</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45222</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45222</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45222</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45222</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45222</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45222</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45222</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45222</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45222</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45222</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45222</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45222</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45222</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45222</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45222</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45222</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45222</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45222</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45222</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45222</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45222</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45222</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45222</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45222</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45222</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45222</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45222</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45222</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45222</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45222</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45222</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45222</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45222</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45222</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45222</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45222</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45222</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45222</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45222</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45222</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45222</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45222</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45222</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45222</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45222</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45222</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45222</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45222</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45222</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45222</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45222</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45222</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45222</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45222</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45222</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45222</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45222</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45222</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45222</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45222</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45222</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45222</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45222</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45222</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45222</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45222</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45222</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45222</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45222</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45222</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45222</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45222</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45222</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45222</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45222</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45222</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45222</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45222</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45222</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45222</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45222</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45222</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45222</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45222</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45222</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45222</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45222</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45222</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45222</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45222</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45222</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45222</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45222</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45222</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45222</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45222</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45222</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45222</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45222</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45222</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45222</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45222</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45222</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45222</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45222</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45222</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45222</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45222</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45222</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45222</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45222</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45222</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45222</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45222</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45222</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45222</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45222</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45222</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45222</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45222</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45222</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45222</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45222</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45222</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45222</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45222</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45222</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45222</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45222</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45222</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45222</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45222</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45222</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45222</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45222</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45222</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45222</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45222</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45222</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45222</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45222</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45222</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45222</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45222</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45222</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45222</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45222</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45222</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45222</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45222</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45222</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45222</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45222</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45222</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45222</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45222</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45222</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45222</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45222</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45222</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45222</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45222</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45222</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45222</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45222</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45222</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45222</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45222</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45222</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45222</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45222</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45222</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45222</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45222</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45222</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45222</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45222</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45222</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45222</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45222</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45222</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45222</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45222</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45222</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45222</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45222</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45222</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45222</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45222</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45222</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45222</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45222</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45222</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45222</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45222</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45222</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45222</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45222</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45222</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45222</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45222</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45222</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45222</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45222</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45222</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45222</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45222</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45222</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45222</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45222</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45222</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45222</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45222</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45222</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45222</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45222</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45222</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45222</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45222</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45222</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45222</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45222</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45222</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45222</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45222</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45222</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45222</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45222</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45222</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45222</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45222</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45222</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45222</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45222</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45222</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45222</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45222</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45222</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45222</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45222</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45222</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45222</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45222</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45222</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45222</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45222</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45222</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45222</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45222</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45222</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45222</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45222</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45222</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45222</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45222</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45222</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45222</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45222</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45222</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45222</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45222</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45222</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45222</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45222</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45222</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45222</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45222</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45222</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45222</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45222</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45222</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45222</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45222</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45222</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45222</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45222</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45222</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45222</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45222</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45222</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45222</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45222</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45222</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45222</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45222</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45222</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45222</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45222</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45222</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45222</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45222</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45222</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45222</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45222</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45222</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45222</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45222</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45222</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45222</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45222</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45222</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45222</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45222</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45222</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45222</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45222</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45222</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45222</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45222</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45222</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45222</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45222</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45222</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45222</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45222</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45222</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45222</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45222</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45222</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45222</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45222</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45222</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45222</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45222</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45222</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45222</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45222</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45222</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45222</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45222</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45222</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45222</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45222</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45222</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45222</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45222</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45222</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45222</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45222</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45222</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45222</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45222</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45222</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45222</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45222</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45222</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45222</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45222</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45222</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45222</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45222</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45222</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45222</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45222</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45222</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45222</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45222</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45222</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45222</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45222</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45222</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45222</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45222</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45222</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45222</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45222</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45222</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45222</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45222</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45222</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45222</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45222</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45222</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45222</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45222</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45222</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45222</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45222</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45222</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45222</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45222</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45222</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45222</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45222</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45222</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45222</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45222</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45222</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45222</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45222</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45222</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45222</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45222</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45222</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45222</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45222</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45222</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45222</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45222</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45222</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45222</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45222</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45222</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45222</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45222</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45222</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45222</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45222</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45222</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45222</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45222</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45222</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45222</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45222</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45222</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45222</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45222</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45222</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45222</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45222</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45222</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45222</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45222</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45222</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45222</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45222</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45222</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45222</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45222</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45222</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45222</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45222</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45222</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45222</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45222</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45222</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45222</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45222</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45222</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45222</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45222</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45222</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45222</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45222</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45222</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45222</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45222</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45222</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45222</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45222</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45222</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45222</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45222</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45222</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45222</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45222</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45222</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45222</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45222</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45222</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45222</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45222</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45222</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45222</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45222</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45222</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45222</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45222</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45222</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45222</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45222</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45222</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45222</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45222</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45222</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45222</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45222</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45222</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45222</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45222</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45222</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45222</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45222</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45222</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45222</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45222</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45222</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45222</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45222</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45222</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45222</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45222</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45222</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45222</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45222</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45222</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45222</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45222</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45222</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45222</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45222</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45222</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45222</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45222</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45222</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45222</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45222</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45222</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45222</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45222</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45222</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45222</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45222</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45222</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45222</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45222</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45222</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45222</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45222</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45222</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45222</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45222</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45222</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45222</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45222</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45222</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45222</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45222</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45222</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45222</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45222</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45222</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45222</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45222</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45222</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45222</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45222</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45222</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45222</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45222</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45222</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45222</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45222</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45222</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45222</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45222</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45222</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45222</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45222</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45222</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45222</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45222</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45222</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45222</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45222</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45222</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45222</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45222</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45222</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45222</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45222</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45222</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45222</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45222</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45222</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45222</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45222</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45222</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45222</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45222</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45222</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45222</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45222</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45222</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45222</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45222</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45222</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45222</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45222</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45222</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45222</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45222</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45222</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45222</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45222</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45222</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45222</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45222</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45222</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45222</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45222</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45222</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45222</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45222</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45222</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45222</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45222</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45222</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45222</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45222</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45222</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45222</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45222</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45222</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45222</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45222</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45222</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45222</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45222</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45222</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45222</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45222</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45222</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45222</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45222</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45222</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45222</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45222</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45222</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45222</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45222</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45222</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45222</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45222</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45222</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45222</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45222</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45222</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45222</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45222</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45222</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45222</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45222</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45222</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45222</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45222</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45222</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45222</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45222</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45222</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45222</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45222</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45222</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45222</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45222</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45222</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45222</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45222</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45222</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45222</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45222</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45222</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45222</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45222</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45222</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45222</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45222</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45222</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45222</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45222</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45222</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45222</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45222</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45222</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45222</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45222</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45222</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45222</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45222</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45222</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45222</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45222</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45222</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45222</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45222</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45222</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45222</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45222</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45222</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45222</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45222</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45222</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45222</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45222</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45222</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45222</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45222</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45222</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45222</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45222</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45222</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45222</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45222</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45222</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45222</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45222</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45222</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45222</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45222</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45222</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45222</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45222</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45222</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45222</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45222</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45222</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45222</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45222</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45222</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45222</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45222</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45222</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45222</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45222</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45222</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45222</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45222</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45222</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45222</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45222</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45222</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45222</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45222</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45222</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45222</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45222</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45222</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45222</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HYPERLINK("https://klasma.github.io/Logging_1784/knärot/A 41686-2021 karta knärot.png", "A 41686-2021")</f>
        <v/>
      </c>
      <c r="V5322">
        <f>HYPERLINK("https://klasma.github.io/Logging_1784/klagomål/A 41686-2021 FSC-klagomål.docx", "A 41686-2021")</f>
        <v/>
      </c>
      <c r="W5322">
        <f>HYPERLINK("https://klasma.github.io/Logging_1784/klagomålsmail/A 41686-2021 FSC-klagomål mail.docx", "A 41686-2021")</f>
        <v/>
      </c>
      <c r="X5322">
        <f>HYPERLINK("https://klasma.github.io/Logging_1784/tillsyn/A 41686-2021 tillsynsbegäran.docx", "A 41686-2021")</f>
        <v/>
      </c>
      <c r="Y5322">
        <f>HYPERLINK("https://klasma.github.io/Logging_1784/tillsynsmail/A 41686-2021 tillsynsbegäran mail.docx", "A 41686-2021")</f>
        <v/>
      </c>
    </row>
    <row r="5323" ht="15" customHeight="1">
      <c r="A5323" t="inlineStr">
        <is>
          <t>A 41808-2021</t>
        </is>
      </c>
      <c r="B5323" s="1" t="n">
        <v>44425</v>
      </c>
      <c r="C5323" s="1" t="n">
        <v>45222</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45222</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45222</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45222</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45222</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45222</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45222</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45222</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45222</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45222</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45222</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45222</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45222</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45222</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45222</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45222</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45222</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45222</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45222</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45222</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45222</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45222</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45222</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45222</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45222</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45222</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45222</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45222</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45222</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45222</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45222</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45222</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45222</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45222</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45222</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45222</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45222</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45222</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45222</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45222</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45222</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45222</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45222</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45222</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45222</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45222</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45222</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45222</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45222</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45222</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45222</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45222</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45222</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45222</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45222</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45222</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45222</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45222</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45222</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45222</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45222</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45222</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45222</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45222</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45222</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45222</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45222</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45222</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45222</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45222</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45222</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45222</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45222</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45222</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45222</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45222</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45222</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45222</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45222</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45222</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45222</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45222</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45222</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45222</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45222</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45222</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45222</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45222</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45222</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45222</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45222</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45222</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45222</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45222</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45222</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45222</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45222</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45222</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45222</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45222</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45222</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45222</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45222</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45222</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45222</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45222</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45222</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45222</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45222</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45222</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45222</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45222</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45222</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45222</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45222</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45222</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45222</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45222</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45222</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45222</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45222</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45222</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45222</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45222</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45222</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45222</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45222</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45222</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45222</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45222</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45222</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45222</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45222</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45222</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45222</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45222</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45222</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45222</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45222</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45222</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45222</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45222</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45222</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45222</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45222</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45222</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45222</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45222</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45222</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45222</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45222</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45222</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45222</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45222</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45222</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45222</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45222</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45222</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45222</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45222</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45222</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45222</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45222</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45222</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45222</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45222</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45222</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45222</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45222</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45222</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45222</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45222</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45222</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45222</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45222</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45222</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45222</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45222</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45222</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45222</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45222</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45222</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45222</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45222</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45222</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45222</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45222</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45222</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45222</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45222</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45222</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45222</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45222</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45222</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45222</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45222</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45222</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45222</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45222</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45222</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45222</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45222</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45222</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45222</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45222</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45222</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45222</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45222</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45222</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45222</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45222</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45222</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45222</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45222</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45222</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45222</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45222</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45222</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45222</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45222</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45222</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45222</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45222</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45222</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45222</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45222</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45222</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45222</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45222</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45222</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45222</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45222</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45222</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45222</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45222</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45222</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45222</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45222</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45222</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45222</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45222</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45222</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45222</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45222</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45222</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45222</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45222</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45222</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45222</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45222</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45222</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45222</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45222</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45222</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45222</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45222</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45222</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45222</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45222</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45222</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45222</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45222</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45222</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45222</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45222</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45222</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45222</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45222</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45222</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45222</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45222</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45222</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45222</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45222</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45222</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45222</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45222</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45222</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45222</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45222</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45222</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45222</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45222</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45222</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45222</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45222</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45222</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45222</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45222</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45222</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45222</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45222</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45222</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45222</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45222</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45222</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45222</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45222</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45222</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45222</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45222</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45222</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45222</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45222</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45222</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45222</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45222</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45222</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45222</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45222</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45222</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45222</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45222</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45222</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45222</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45222</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45222</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45222</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45222</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45222</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45222</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45222</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45222</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45222</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45222</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45222</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45222</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45222</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45222</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45222</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45222</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45222</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45222</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45222</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45222</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45222</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45222</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45222</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45222</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45222</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45222</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45222</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45222</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45222</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45222</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45222</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45222</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45222</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45222</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45222</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45222</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45222</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45222</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45222</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45222</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45222</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45222</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45222</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45222</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45222</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45222</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45222</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45222</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45222</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45222</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45222</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45222</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45222</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45222</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45222</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45222</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45222</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45222</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45222</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45222</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45222</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45222</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45222</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45222</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45222</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45222</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45222</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45222</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45222</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45222</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45222</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45222</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45222</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45222</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45222</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45222</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45222</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45222</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45222</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45222</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45222</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45222</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45222</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45222</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45222</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45222</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45222</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45222</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45222</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45222</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45222</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45222</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45222</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45222</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45222</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45222</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45222</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45222</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45222</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45222</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45222</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45222</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45222</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45222</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45222</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45222</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45222</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45222</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45222</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45222</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45222</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45222</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45222</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45222</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45222</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45222</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45222</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45222</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45222</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45222</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45222</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45222</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45222</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45222</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45222</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45222</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45222</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45222</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45222</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45222</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45222</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45222</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45222</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45222</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45222</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45222</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45222</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45222</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45222</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45222</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45222</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45222</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45222</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45222</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45222</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45222</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45222</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45222</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45222</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45222</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45222</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45222</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45222</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45222</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45222</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45222</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45222</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45222</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45222</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45222</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45222</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45222</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45222</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45222</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45222</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45222</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45222</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45222</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45222</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45222</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45222</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45222</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45222</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45222</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45222</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45222</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45222</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45222</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45222</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45222</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45222</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45222</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45222</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45222</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45222</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45222</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45222</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45222</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45222</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45222</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45222</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45222</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45222</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45222</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45222</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45222</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45222</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45222</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45222</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45222</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45222</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45222</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45222</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45222</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45222</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45222</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45222</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45222</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45222</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45222</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45222</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45222</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45222</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45222</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45222</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45222</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45222</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45222</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45222</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45222</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45222</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45222</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45222</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45222</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45222</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45222</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45222</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45222</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45222</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45222</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45222</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45222</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45222</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45222</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45222</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45222</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45222</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45222</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45222</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45222</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45222</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45222</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45222</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45222</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45222</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45222</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45222</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45222</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45222</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45222</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45222</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45222</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45222</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45222</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45222</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45222</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45222</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45222</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45222</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45222</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45222</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45222</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45222</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45222</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45222</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45222</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45222</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45222</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45222</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45222</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45222</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45222</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45222</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45222</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45222</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45222</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45222</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45222</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45222</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45222</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45222</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45222</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45222</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45222</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45222</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45222</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45222</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45222</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45222</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45222</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45222</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45222</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45222</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45222</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45222</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45222</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45222</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45222</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45222</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45222</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45222</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45222</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45222</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45222</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45222</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45222</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45222</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45222</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45222</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45222</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45222</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45222</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45222</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45222</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45222</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45222</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45222</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45222</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45222</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45222</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45222</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45222</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45222</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45222</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45222</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45222</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45222</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45222</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45222</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45222</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45222</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45222</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45222</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45222</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45222</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45222</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45222</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45222</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45222</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45222</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45222</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45222</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45222</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45222</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45222</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45222</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45222</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45222</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45222</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45222</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45222</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45222</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45222</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45222</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45222</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45222</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45222</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45222</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45222</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45222</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45222</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45222</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45222</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45222</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45222</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45222</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45222</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45222</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45222</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45222</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45222</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45222</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45222</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45222</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45222</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45222</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45222</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45222</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45222</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45222</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45222</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45222</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45222</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45222</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45222</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45222</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45222</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45222</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45222</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45222</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45222</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45222</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45222</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45222</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45222</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45222</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45222</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45222</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45222</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45222</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45222</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45222</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45222</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45222</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45222</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45222</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45222</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45222</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45222</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45222</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45222</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45222</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45222</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45222</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45222</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45222</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45222</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45222</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45222</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45222</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45222</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45222</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45222</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45222</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45222</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45222</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45222</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45222</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45222</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45222</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45222</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45222</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45222</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45222</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45222</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45222</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45222</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45222</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45222</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45222</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45222</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45222</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45222</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45222</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45222</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45222</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45222</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45222</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45222</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45222</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45222</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45222</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45222</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45222</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45222</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45222</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45222</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45222</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45222</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45222</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45222</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45222</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45222</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45222</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45222</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45222</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45222</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45222</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45222</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45222</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45222</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45222</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45222</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45222</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45222</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45222</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45222</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45222</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45222</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45222</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45222</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45222</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45222</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45222</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45222</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45222</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45222</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45222</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45222</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45222</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45222</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45222</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45222</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45222</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45222</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45222</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45222</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45222</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45222</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45222</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45222</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45222</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45222</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45222</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45222</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45222</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45222</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45222</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45222</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45222</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45222</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45222</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45222</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45222</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45222</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45222</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45222</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45222</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45222</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45222</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45222</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45222</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45222</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45222</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45222</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45222</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45222</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45222</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45222</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45222</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45222</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45222</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45222</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45222</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45222</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45222</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45222</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45222</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45222</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45222</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45222</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45222</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45222</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45222</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45222</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45222</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45222</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45222</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45222</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45222</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45222</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45222</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45222</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45222</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45222</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45222</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45222</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45222</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45222</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45222</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45222</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45222</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45222</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45222</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45222</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45222</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45222</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45222</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45222</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45222</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45222</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45222</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45222</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45222</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45222</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45222</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45222</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45222</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45222</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45222</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45222</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45222</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45222</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45222</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45222</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45222</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45222</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45222</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45222</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45222</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45222</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45222</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45222</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45222</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45222</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45222</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45222</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45222</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45222</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45222</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45222</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45222</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45222</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45222</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45222</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45222</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45222</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45222</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45222</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45222</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45222</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45222</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45222</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45222</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45222</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45222</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45222</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45222</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45222</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45222</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45222</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45222</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45222</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45222</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45222</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45222</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45222</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45222</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45222</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45222</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45222</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45222</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45222</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45222</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45222</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45222</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45222</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45222</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45222</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45222</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45222</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45222</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45222</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45222</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45222</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45222</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45222</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45222</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45222</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45222</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45222</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45222</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45222</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45222</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45222</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45222</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45222</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45222</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45222</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45222</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45222</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45222</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45222</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45222</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45222</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45222</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45222</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45222</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45222</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45222</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45222</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45222</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45222</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45222</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45222</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45222</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45222</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45222</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45222</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45222</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45222</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45222</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45222</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45222</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45222</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45222</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45222</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45222</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45222</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45222</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45222</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45222</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45222</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45222</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45222</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45222</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45222</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45222</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45222</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45222</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45222</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45222</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45222</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45222</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45222</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45222</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45222</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45222</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45222</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45222</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45222</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45222</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45222</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45222</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45222</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45222</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45222</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45222</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45222</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45222</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45222</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45222</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45222</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45222</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45222</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45222</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45222</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45222</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45222</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45222</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45222</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45222</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45222</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45222</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45222</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45222</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45222</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45222</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45222</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45222</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45222</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45222</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45222</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45222</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45222</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45222</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45222</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45222</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45222</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45222</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45222</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45222</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45222</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45222</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45222</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45222</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45222</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45222</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45222</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45222</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45222</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45222</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45222</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45222</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45222</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45222</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45222</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45222</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45222</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45222</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45222</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45222</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45222</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45222</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45222</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45222</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45222</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45222</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45222</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45222</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45222</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45222</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45222</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45222</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45222</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45222</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45222</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45222</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45222</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45222</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45222</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45222</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45222</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45222</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45222</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45222</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45222</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45222</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45222</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45222</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45222</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45222</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45222</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45222</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45222</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45222</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45222</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45222</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45222</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45222</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45222</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45222</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45222</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45222</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45222</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45222</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45222</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45222</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45222</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45222</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45222</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45222</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45222</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45222</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45222</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45222</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45222</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45222</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45222</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45222</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45222</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45222</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45222</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45222</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45222</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45222</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45222</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45222</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45222</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45222</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45222</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45222</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45222</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45222</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45222</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45222</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45222</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HYPERLINK("https://klasma.github.io/Logging_1784/knärot/A 16240-2022 karta knärot.png", "A 16240-2022")</f>
        <v/>
      </c>
      <c r="V6484">
        <f>HYPERLINK("https://klasma.github.io/Logging_1784/klagomål/A 16240-2022 FSC-klagomål.docx", "A 16240-2022")</f>
        <v/>
      </c>
      <c r="W6484">
        <f>HYPERLINK("https://klasma.github.io/Logging_1784/klagomålsmail/A 16240-2022 FSC-klagomål mail.docx", "A 16240-2022")</f>
        <v/>
      </c>
      <c r="X6484">
        <f>HYPERLINK("https://klasma.github.io/Logging_1784/tillsyn/A 16240-2022 tillsynsbegäran.docx", "A 16240-2022")</f>
        <v/>
      </c>
      <c r="Y6484">
        <f>HYPERLINK("https://klasma.github.io/Logging_1784/tillsynsmail/A 16240-2022 tillsynsbegäran mail.docx", "A 16240-2022")</f>
        <v/>
      </c>
    </row>
    <row r="6485" ht="15" customHeight="1">
      <c r="A6485" t="inlineStr">
        <is>
          <t>A 16217-2022</t>
        </is>
      </c>
      <c r="B6485" s="1" t="n">
        <v>44669</v>
      </c>
      <c r="C6485" s="1" t="n">
        <v>45222</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45222</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45222</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45222</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45222</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45222</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45222</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45222</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45222</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45222</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45222</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45222</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45222</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45222</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45222</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45222</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45222</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45222</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45222</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45222</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45222</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45222</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45222</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45222</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45222</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45222</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45222</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45222</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45222</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45222</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45222</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45222</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45222</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45222</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45222</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45222</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45222</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45222</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45222</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45222</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45222</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45222</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45222</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45222</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45222</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45222</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45222</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45222</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45222</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45222</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45222</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45222</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45222</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45222</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45222</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45222</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45222</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45222</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45222</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45222</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45222</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45222</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45222</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45222</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45222</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45222</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45222</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45222</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45222</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45222</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45222</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45222</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45222</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45222</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45222</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45222</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45222</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45222</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45222</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45222</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45222</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45222</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45222</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45222</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45222</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45222</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45222</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45222</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45222</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45222</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45222</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45222</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45222</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45222</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45222</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45222</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45222</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45222</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45222</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45222</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45222</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45222</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45222</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45222</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45222</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45222</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45222</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45222</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45222</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45222</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45222</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45222</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45222</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45222</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45222</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45222</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45222</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45222</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45222</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45222</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45222</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45222</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45222</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45222</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45222</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45222</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45222</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45222</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45222</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45222</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45222</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45222</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45222</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45222</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45222</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45222</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45222</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45222</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45222</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45222</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45222</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45222</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45222</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45222</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45222</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45222</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45222</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45222</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45222</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45222</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45222</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45222</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45222</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45222</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45222</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45222</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45222</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45222</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45222</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45222</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45222</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45222</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45222</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45222</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45222</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45222</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45222</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45222</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45222</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45222</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45222</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45222</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45222</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45222</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45222</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45222</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45222</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45222</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45222</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45222</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45222</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45222</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45222</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45222</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45222</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45222</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45222</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45222</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45222</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45222</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45222</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45222</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45222</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45222</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45222</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45222</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45222</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45222</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45222</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45222</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45222</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45222</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45222</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45222</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45222</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45222</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45222</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45222</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45222</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45222</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45222</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45222</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45222</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45222</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45222</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45222</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45222</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45222</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45222</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45222</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45222</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45222</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45222</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45222</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45222</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45222</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45222</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45222</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45222</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45222</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45222</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45222</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45222</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45222</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45222</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45222</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45222</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45222</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45222</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45222</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45222</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45222</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45222</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45222</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45222</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45222</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45222</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45222</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45222</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45222</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45222</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45222</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45222</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45222</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45222</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45222</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45222</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45222</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45222</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45222</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45222</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45222</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45222</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45222</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45222</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45222</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45222</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45222</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45222</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45222</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45222</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45222</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45222</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45222</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45222</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45222</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45222</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45222</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45222</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45222</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45222</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45222</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45222</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45222</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45222</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45222</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45222</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45222</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45222</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45222</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45222</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45222</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45222</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45222</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45222</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45222</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45222</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45222</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45222</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45222</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45222</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45222</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45222</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45222</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45222</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45222</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45222</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45222</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45222</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45222</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45222</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45222</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45222</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45222</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45222</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45222</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45222</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45222</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45222</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45222</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45222</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45222</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45222</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45222</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45222</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45222</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45222</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45222</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45222</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45222</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45222</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45222</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45222</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45222</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45222</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45222</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45222</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45222</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45222</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45222</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45222</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45222</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45222</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45222</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45222</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45222</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45222</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45222</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45222</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45222</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45222</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45222</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45222</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45222</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45222</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45222</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45222</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45222</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45222</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45222</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45222</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45222</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45222</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45222</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45222</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45222</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45222</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45222</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45222</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45222</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45222</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45222</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45222</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45222</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45222</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45222</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45222</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45222</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45222</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45222</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45222</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45222</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45222</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45222</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45222</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45222</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45222</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45222</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45222</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45222</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45222</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45222</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45222</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45222</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45222</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45222</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45222</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45222</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45222</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45222</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45222</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45222</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45222</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45222</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45222</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45222</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45222</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45222</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45222</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45222</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45222</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45222</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45222</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45222</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45222</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45222</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45222</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45222</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45222</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45222</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45222</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45222</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45222</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45222</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45222</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45222</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45222</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45222</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45222</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45222</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45222</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45222</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45222</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45222</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45222</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45222</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45222</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45222</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45222</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45222</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45222</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45222</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45222</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45222</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45222</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45222</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45222</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45222</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45222</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45222</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45222</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45222</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45222</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45222</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45222</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45222</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45222</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45222</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45222</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45222</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45222</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45222</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45222</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45222</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45222</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45222</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45222</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45222</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45222</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45222</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45222</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45222</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45222</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45222</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45222</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45222</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45222</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45222</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45222</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45222</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45222</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45222</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45222</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45222</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45222</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45222</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45222</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45222</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45222</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45222</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45222</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45222</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45222</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45222</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45222</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45222</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45222</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45222</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45222</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45222</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45222</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45222</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45222</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45222</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45222</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45222</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45222</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45222</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45222</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45222</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45222</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45222</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45222</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45222</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45222</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45222</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45222</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45222</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45222</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45222</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45222</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45222</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45222</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45222</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45222</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45222</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45222</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45222</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45222</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45222</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45222</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45222</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45222</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45222</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45222</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45222</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45222</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45222</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45222</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45222</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45222</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45222</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45222</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45222</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45222</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45222</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45222</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45222</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45222</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45222</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45222</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45222</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45222</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45222</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45222</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45222</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45222</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45222</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45222</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45222</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45222</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45222</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45222</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45222</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45222</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45222</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45222</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45222</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45222</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45222</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45222</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45222</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45222</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45222</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45222</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45222</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45222</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45222</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45222</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45222</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45222</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45222</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45222</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45222</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45222</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45222</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45222</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45222</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45222</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45222</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45222</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45222</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45222</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45222</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45222</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45222</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45222</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45222</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45222</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45222</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45222</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45222</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45222</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45222</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45222</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45222</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45222</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45222</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45222</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45222</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45222</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45222</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45222</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45222</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45222</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45222</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45222</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45222</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45222</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45222</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45222</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45222</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45222</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45222</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45222</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45222</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45222</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45222</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45222</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45222</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45222</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45222</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45222</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45222</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45222</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45222</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45222</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45222</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45222</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45222</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45222</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45222</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45222</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45222</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45222</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45222</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45222</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45222</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45222</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45222</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45222</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45222</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45222</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45222</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45222</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45222</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45222</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45222</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45222</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45222</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45222</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45222</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45222</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45222</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45222</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45222</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45222</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45222</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45222</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45222</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45222</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45222</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45222</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45222</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45222</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45222</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45222</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45222</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45222</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45222</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45222</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45222</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45222</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45222</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45222</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45222</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45222</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45222</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45222</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45222</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45222</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45222</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45222</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45222</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45222</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45222</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45222</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45222</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45222</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45222</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45222</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45222</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45222</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45222</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45222</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45222</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45222</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45222</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45222</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45222</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45222</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45222</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45222</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45222</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45222</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45222</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45222</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45222</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45222</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45222</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45222</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45222</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45222</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45222</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45222</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45222</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45222</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45222</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45222</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45222</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45222</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45222</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45222</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45222</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45222</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45222</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45222</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45222</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45222</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45222</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45222</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45222</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45222</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45222</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45222</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45222</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45222</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45222</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45222</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45222</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45222</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45222</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45222</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45222</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45222</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45222</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45222</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45222</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45222</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45222</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45222</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45222</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45222</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45222</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45222</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45222</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45222</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45222</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45222</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45222</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45222</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45222</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45222</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45222</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45222</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45222</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45222</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45222</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45222</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45222</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45222</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45222</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45222</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45222</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45222</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45222</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45222</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45222</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45222</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45222</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45222</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45222</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45222</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45222</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45222</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45222</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45222</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45222</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45222</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45222</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45222</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45222</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45222</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45222</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45222</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45222</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45222</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45222</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45222</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45222</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45222</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45222</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45222</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45222</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45222</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45222</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45222</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45222</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45222</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45222</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45222</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45222</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45222</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45222</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45222</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45222</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45222</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45222</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45222</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45222</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45222</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45222</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45222</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45222</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45222</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45222</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45222</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45222</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45222</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45222</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45222</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45222</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45222</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45222</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45222</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45222</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45222</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45222</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45222</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45222</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45222</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45222</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45222</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45222</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45222</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45222</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45222</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45222</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45222</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45222</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45222</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45222</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45222</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45222</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45222</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45222</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45222</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45222</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45222</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45222</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45222</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45222</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45222</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45222</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45222</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45222</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45222</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45222</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45222</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45222</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45222</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45222</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45222</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45222</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45222</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45222</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45222</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45222</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45222</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45222</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45222</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HYPERLINK("https://klasma.github.io/Logging_1780/knärot/A 55764-2022 karta knärot.png", "A 55764-2022")</f>
        <v/>
      </c>
      <c r="V7375">
        <f>HYPERLINK("https://klasma.github.io/Logging_1780/klagomål/A 55764-2022 FSC-klagomål.docx", "A 55764-2022")</f>
        <v/>
      </c>
      <c r="W7375">
        <f>HYPERLINK("https://klasma.github.io/Logging_1780/klagomålsmail/A 55764-2022 FSC-klagomål mail.docx", "A 55764-2022")</f>
        <v/>
      </c>
      <c r="X7375">
        <f>HYPERLINK("https://klasma.github.io/Logging_1780/tillsyn/A 55764-2022 tillsynsbegäran.docx", "A 55764-2022")</f>
        <v/>
      </c>
      <c r="Y7375">
        <f>HYPERLINK("https://klasma.github.io/Logging_1780/tillsynsmail/A 55764-2022 tillsynsbegäran mail.docx", "A 55764-2022")</f>
        <v/>
      </c>
    </row>
    <row r="7376" ht="15" customHeight="1">
      <c r="A7376" t="inlineStr">
        <is>
          <t>A 55819-2022</t>
        </is>
      </c>
      <c r="B7376" s="1" t="n">
        <v>44888</v>
      </c>
      <c r="C7376" s="1" t="n">
        <v>45222</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45222</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45222</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45222</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45222</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45222</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45222</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45222</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45222</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45222</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45222</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45222</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45222</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45222</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45222</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45222</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45222</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45222</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45222</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45222</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45222</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45222</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45222</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45222</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45222</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45222</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45222</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45222</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45222</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45222</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45222</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45222</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45222</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45222</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45222</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45222</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45222</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45222</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45222</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45222</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45222</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45222</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45222</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45222</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45222</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45222</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45222</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45222</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45222</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45222</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45222</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45222</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45222</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45222</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45222</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45222</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45222</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45222</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45222</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45222</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45222</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45222</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45222</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45222</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45222</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45222</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45222</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45222</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45222</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45222</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45222</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45222</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45222</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45222</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45222</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45222</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45222</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45222</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45222</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45222</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45222</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45222</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45222</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45222</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45222</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45222</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45222</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45222</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45222</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45222</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45222</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45222</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45222</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45222</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45222</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45222</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45222</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45222</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45222</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45222</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45222</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45222</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45222</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45222</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45222</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45222</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45222</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45222</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45222</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45222</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45222</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45222</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45222</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45222</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45222</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45222</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45222</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45222</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45222</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45222</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45222</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45222</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45222</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45222</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45222</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45222</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45222</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45222</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45222</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45222</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45222</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45222</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45222</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45222</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45222</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45222</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45222</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45222</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45222</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45222</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45222</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45222</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45222</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45222</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45222</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45222</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45222</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45222</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45222</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45222</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45222</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45222</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45222</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45222</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45222</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45222</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45222</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45222</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45222</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45222</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45222</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45222</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45222</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45222</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45222</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45222</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45222</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45222</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45222</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45222</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45222</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45222</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45222</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45222</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45222</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45222</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45222</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45222</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45222</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45222</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45222</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45222</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45222</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45222</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45222</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45222</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45222</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45222</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45222</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45222</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45222</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45222</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45222</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45222</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45222</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45222</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45222</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45222</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45222</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45222</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45222</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45222</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45222</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45222</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45222</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45222</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45222</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45222</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45222</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45222</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45222</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45222</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45222</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45222</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45222</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45222</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45222</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45222</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45222</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45222</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45222</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45222</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45222</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45222</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45222</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45222</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45222</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45222</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45222</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45222</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45222</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45222</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45222</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45222</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45222</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45222</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45222</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45222</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45222</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45222</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45222</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45222</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45222</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45222</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45222</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45222</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45222</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45222</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45222</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45222</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45222</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45222</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45222</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45222</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45222</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45222</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45222</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45222</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45222</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45222</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45222</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45222</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45222</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45222</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45222</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45222</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45222</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45222</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45222</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45222</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45222</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45222</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45222</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45222</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45222</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45222</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45222</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45222</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45222</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45222</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45222</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45222</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45222</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45222</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45222</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45222</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45222</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45222</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45222</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45222</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45222</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45222</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45222</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45222</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45222</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45222</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45222</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45222</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45222</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45222</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45222</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45222</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45222</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45222</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45222</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45222</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45222</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45222</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45222</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45222</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45222</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45222</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45222</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45222</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45222</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45222</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45222</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45222</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45222</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45222</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45222</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45222</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45222</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45222</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45222</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45222</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45222</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45222</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45222</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45222</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45222</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45222</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45222</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45222</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45222</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45222</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45222</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45222</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45222</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45222</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45222</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45222</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45222</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45222</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45222</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45222</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45222</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45222</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45222</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45222</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45222</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45222</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45222</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45222</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45222</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45222</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45222</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45222</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45222</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45222</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45222</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45222</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45222</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45222</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45222</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45222</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45222</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45222</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45222</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45222</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45222</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45222</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45222</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45222</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45222</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45222</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45222</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45222</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45222</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45222</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45222</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45222</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45222</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45222</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45222</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45222</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45222</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45222</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45222</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45222</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45222</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45222</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45222</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45222</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45222</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45222</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45222</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45222</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45222</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45222</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45222</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45222</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45222</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45222</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45222</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45222</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45222</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45222</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45222</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45222</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45222</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45222</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45222</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45222</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45222</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45222</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45222</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45222</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45222</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45222</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45222</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45222</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45222</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45222</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45222</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45222</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45222</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45222</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45222</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45222</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45222</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45222</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45222</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45222</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45222</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45222</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45222</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45222</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45222</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45222</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45222</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45222</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45222</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45222</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45222</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45222</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45222</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45222</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45222</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45222</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45222</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45222</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45222</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45222</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45222</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45222</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45222</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45222</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45222</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45222</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45222</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45222</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45222</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45222</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45222</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45222</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45222</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45222</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45222</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45222</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45222</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45222</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45222</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45222</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45222</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45222</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45222</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45222</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45222</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45222</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45222</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45222</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45222</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45222</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45222</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45222</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45222</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45222</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45222</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45222</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45222</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45222</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45222</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45222</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45222</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45222</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45222</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45222</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45222</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45222</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45222</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45222</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45222</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45222</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45222</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45222</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45222</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45222</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45222</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45222</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45222</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45222</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45222</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45222</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45222</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45222</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45222</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45222</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45222</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45222</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45222</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45222</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45222</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45222</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45222</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45222</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45222</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45222</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45222</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45222</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45222</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45222</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45222</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45222</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45222</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45222</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45222</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45222</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45222</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45222</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45222</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45222</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45222</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45222</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45222</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45222</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45222</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45222</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45222</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45222</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45222</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45222</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45222</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45222</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45222</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45222</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45222</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45222</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45222</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45222</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45222</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45222</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45222</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45222</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45222</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45222</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45222</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45222</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45222</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45222</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45222</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45222</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45222</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45222</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45222</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45222</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45222</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45222</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45222</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45222</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45222</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45222</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45222</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45222</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45222</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45222</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45222</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45222</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45222</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45222</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45222</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45222</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45222</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45222</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45222</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45222</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45222</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45222</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45222</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45222</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45222</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45222</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45222</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45222</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45222</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45222</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45222</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45222</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45222</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45222</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45222</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45222</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45222</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45222</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45222</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45222</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45222</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45222</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45222</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45222</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45222</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45222</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45222</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45222</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45222</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45222</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45222</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45222</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45222</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45222</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45222</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45222</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45222</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45222</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45222</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45222</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45222</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45222</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45222</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45222</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45222</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45222</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45222</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45222</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45222</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45222</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45222</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45222</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45222</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45222</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45222</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45222</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45222</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45222</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45222</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45222</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45222</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45222</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45222</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45222</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45222</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45222</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45222</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45222</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45222</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45222</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45222</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45222</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45222</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45222</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45222</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45222</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45222</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45222</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45222</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45222</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45222</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45222</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45222</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45222</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45222</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45222</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45222</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45222</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45222</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45222</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45222</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45222</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45222</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45222</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45222</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45222</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45222</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45222</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45222</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45222</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45222</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45222</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45222</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45222</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45222</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45222</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45222</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45222</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45222</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45222</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45222</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45222</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45222</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45222</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45222</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45222</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45222</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45222</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45222</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45222</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45222</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45222</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45222</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45222</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45222</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45222</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45222</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45222</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45222</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45222</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45222</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45222</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45222</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45222</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45222</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45222</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45222</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45222</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45222</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45222</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45222</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45222</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45222</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45222</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45222</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45222</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45222</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45222</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45222</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45222</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45222</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45222</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45222</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45222</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45222</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45222</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45222</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45222</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45222</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45222</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45222</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45222</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45222</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45222</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45222</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45222</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45222</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45222</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45222</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45222</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45222</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45222</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45222</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45222</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45222</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45222</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45222</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45222</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45222</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45222</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45222</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45222</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45222</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45222</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45222</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45222</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45222</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45222</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45222</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45222</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45222</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45222</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45222</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45222</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45222</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45222</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45222</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45222</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45222</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45222</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45222</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45222</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45222</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45222</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45222</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45222</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45222</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45222</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45222</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45222</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45222</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45222</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45222</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45222</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45222</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45222</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45222</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45222</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45222</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45222</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45222</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45222</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45222</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45222</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45222</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45222</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45222</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45222</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45222</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45222</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45222</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45222</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45222</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45222</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45222</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45222</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45222</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45222</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45222</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45222</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45222</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45222</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45222</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45222</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45222</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45222</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45222</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45222</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45222</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45222</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45222</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45222</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45222</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45222</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45222</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45222</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45222</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45222</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45222</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45222</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45222</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45222</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45222</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45222</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45222</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45222</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45222</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45222</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45222</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45222</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45222</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45222</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45222</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45222</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45222</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45222</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45222</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45222</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45222</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45222</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45222</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45222</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45222</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45222</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45222</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45222</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45222</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45222</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45222</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45222</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45222</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45222</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45222</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45222</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45222</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45222</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45222</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45222</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45222</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45222</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45222</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45222</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45222</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45222</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45222</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45222</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45222</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45222</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45222</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45222</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45222</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45222</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45222</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45222</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45222</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45222</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45222</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45222</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45222</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45222</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45222</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45222</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45222</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45222</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45222</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45222</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45222</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45222</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45222</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45222</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45222</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45222</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45222</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45222</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45222</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45222</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45222</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45222</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45222</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45222</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45222</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45222</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45222</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45222</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45222</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45222</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45222</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45222</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45222</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45222</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45222</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45222</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45222</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45222</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45222</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45222</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45222</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45222</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45222</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45222</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45222</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45222</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45222</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45222</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45222</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45222</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45222</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45222</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45222</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45222</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45222</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45222</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45222</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45222</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45222</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45222</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45222</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45222</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45222</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45222</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45222</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45222</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45222</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45222</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45222</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45222</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45222</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45222</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45222</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45222</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45222</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45222</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45222</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45222</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45222</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45222</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45222</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45222</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45222</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45222</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45222</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45222</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45222</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45222</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45222</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45222</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45222</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45222</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45222</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45222</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45222</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45222</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45222</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45222</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45222</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45222</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45222</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45222</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45222</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45222</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HYPERLINK("https://klasma.github.io/Logging_1782/knärot/A 23045-2023 karta knärot.png", "A 23045-2023")</f>
        <v/>
      </c>
      <c r="V8391">
        <f>HYPERLINK("https://klasma.github.io/Logging_1782/klagomål/A 23045-2023 FSC-klagomål.docx", "A 23045-2023")</f>
        <v/>
      </c>
      <c r="W8391">
        <f>HYPERLINK("https://klasma.github.io/Logging_1782/klagomålsmail/A 23045-2023 FSC-klagomål mail.docx", "A 23045-2023")</f>
        <v/>
      </c>
      <c r="X8391">
        <f>HYPERLINK("https://klasma.github.io/Logging_1782/tillsyn/A 23045-2023 tillsynsbegäran.docx", "A 23045-2023")</f>
        <v/>
      </c>
      <c r="Y8391">
        <f>HYPERLINK("https://klasma.github.io/Logging_1782/tillsynsmail/A 23045-2023 tillsynsbegäran mail.docx", "A 23045-2023")</f>
        <v/>
      </c>
    </row>
    <row r="8392" ht="15" customHeight="1">
      <c r="A8392" t="inlineStr">
        <is>
          <t>A 23055-2023</t>
        </is>
      </c>
      <c r="B8392" s="1" t="n">
        <v>45075</v>
      </c>
      <c r="C8392" s="1" t="n">
        <v>45222</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45222</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45222</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45222</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45222</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45222</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45222</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HYPERLINK("https://klasma.github.io/Logging_1782/knärot/A 23046-2023 karta knärot.png", "A 23046-2023")</f>
        <v/>
      </c>
      <c r="V8398">
        <f>HYPERLINK("https://klasma.github.io/Logging_1782/klagomål/A 23046-2023 FSC-klagomål.docx", "A 23046-2023")</f>
        <v/>
      </c>
      <c r="W8398">
        <f>HYPERLINK("https://klasma.github.io/Logging_1782/klagomålsmail/A 23046-2023 FSC-klagomål mail.docx", "A 23046-2023")</f>
        <v/>
      </c>
      <c r="X8398">
        <f>HYPERLINK("https://klasma.github.io/Logging_1782/tillsyn/A 23046-2023 tillsynsbegäran.docx", "A 23046-2023")</f>
        <v/>
      </c>
      <c r="Y8398">
        <f>HYPERLINK("https://klasma.github.io/Logging_1782/tillsynsmail/A 23046-2023 tillsynsbegäran mail.docx", "A 23046-2023")</f>
        <v/>
      </c>
    </row>
    <row r="8399" ht="15" customHeight="1">
      <c r="A8399" t="inlineStr">
        <is>
          <t>A 23150-2023</t>
        </is>
      </c>
      <c r="B8399" s="1" t="n">
        <v>45075</v>
      </c>
      <c r="C8399" s="1" t="n">
        <v>45222</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45222</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45222</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45222</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45222</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45222</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45222</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45222</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45222</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45222</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45222</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45222</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45222</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45222</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45222</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45222</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45222</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45222</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45222</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45222</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45222</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45222</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45222</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45222</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45222</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45222</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45222</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45222</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45222</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45222</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45222</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45222</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45222</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45222</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45222</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45222</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45222</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45222</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45222</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45222</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45222</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45222</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45222</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45222</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45222</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45222</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45222</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45222</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45222</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45222</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45222</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45222</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45222</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45222</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45222</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45222</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45222</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45222</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45222</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45222</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45222</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45222</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45222</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45222</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45222</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45222</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45222</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45222</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45222</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45222</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45222</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45222</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45222</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45222</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45222</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45222</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45222</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45222</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45222</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45222</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45222</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45222</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45222</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45222</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45222</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45222</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45222</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45222</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45222</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45222</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45222</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45222</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45222</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45222</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45222</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45222</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45222</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45222</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45222</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45222</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45222</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45222</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45222</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45222</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45222</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45222</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45222</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45222</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45222</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45222</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45222</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45222</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45222</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45222</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45222</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45222</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45222</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45222</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45222</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45222</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45222</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45222</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45222</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45222</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45222</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45222</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45222</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45222</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45222</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45222</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45222</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45222</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45222</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45222</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45222</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45222</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45222</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45222</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45222</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45222</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45222</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45222</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45222</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45222</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45222</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45222</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45222</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45222</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45222</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45222</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45222</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45222</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45222</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45222</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45222</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45222</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45222</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45222</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45222</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45222</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45222</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45222</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45222</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45222</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45222</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45222</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45222</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45222</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45222</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45222</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45222</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45222</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45222</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45222</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45222</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45222</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45222</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45222</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45222</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45222</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45222</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45222</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45222</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45222</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45222</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45222</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45222</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45222</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45222</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45222</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45222</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45222</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45222</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45222</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45222</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45222</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45222</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45222</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45222</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45222</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45222</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45222</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45222</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45222</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45222</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45222</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45222</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45222</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45222</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45222</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45222</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45222</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45222</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45222</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45222</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45222</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45222</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45222</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45222</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45222</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45222</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45222</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45222</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45222</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45222</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45222</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45222</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45222</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45222</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45222</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45222</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45222</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45222</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45222</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45222</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45222</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45222</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45222</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45222</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45222</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45222</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45222</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45222</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45222</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45222</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45222</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45222</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45222</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45222</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45222</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45222</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45222</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45222</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45222</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45222</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45222</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45222</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45222</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45222</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45222</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45222</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45222</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45222</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45222</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45222</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45222</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45222</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45222</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45222</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45222</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45222</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45222</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45222</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45222</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45222</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45222</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45222</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45222</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45222</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45222</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45222</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45222</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45222</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45222</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45222</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45222</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45222</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45222</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45222</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45222</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45222</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45222</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45222</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45222</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45222</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45222</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45222</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45222</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45222</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45222</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45222</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45222</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45222</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45222</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45222</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45222</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45222</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45222</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45222</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45222</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45222</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45222</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45222</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45222</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45222</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45222</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45222</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45222</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45222</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45222</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45222</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45222</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45222</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45222</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45222</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45222</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45222</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45222</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45222</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45222</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45222</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45222</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45222</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45222</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45222</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45222</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45222</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45222</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45222</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45222</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45222</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45222</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45222</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45222</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45222</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45222</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45222</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45222</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45222</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45222</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45222</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45222</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45222</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45222</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45222</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45222</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45222</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45222</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45222</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45222</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45222</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45222</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45222</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45222</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45222</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45222</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45222</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45222</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45222</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45222</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45222</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45222</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45222</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45222</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45222</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45222</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45222</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45222</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45222</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45222</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45222</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45222</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45222</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45222</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45222</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45222</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45222</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45222</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45222</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45222</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45222</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45222</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45222</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45222</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45222</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45222</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45222</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45222</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45222</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45222</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45222</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45222</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45222</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45222</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45222</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45222</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45222</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45222</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45222</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45222</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45222</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45222</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45222</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45222</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45222</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45222</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45222</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45222</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45222</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45222</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45222</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45222</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45222</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45222</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45222</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45222</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45222</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45222</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45222</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45222</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45222</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45222</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45222</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45222</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45222</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45222</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45222</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45222</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45222</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45222</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45222</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45222</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45222</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45222</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45222</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45222</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45222</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45222</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45222</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45222</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45222</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45222</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45222</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45222</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45222</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45222</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45222</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45222</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45222</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45222</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45222</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45222</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45222</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45222</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45222</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45222</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45222</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45222</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45222</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45222</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45222</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45222</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45222</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45222</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45222</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45222</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45222</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45222</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45222</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45222</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45222</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45222</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45222</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45222</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45222</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45222</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45222</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45222</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45222</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45222</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45222</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45222</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45222</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45222</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45222</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45222</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45222</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45222</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45222</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45222</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45222</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45222</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45222</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45222</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45222</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45222</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45222</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45222</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45222</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45222</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45222</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45222</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45222</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45222</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45222</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45222</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45222</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45222</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45222</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45222</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45222</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45222</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45222</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45222</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45222</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45222</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45222</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45222</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45222</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45222</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45222</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45222</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45222</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45222</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45222</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45222</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45222</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45222</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45222</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45222</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45222</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45222</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45222</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45222</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45222</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45222</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45222</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45222</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45222</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45222</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45222</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45222</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45222</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45222</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45222</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45222</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45222</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45222</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45222</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45222</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45222</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45222</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45222</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45222</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45222</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45222</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45222</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45222</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45222</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45222</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45222</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45222</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45222</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45222</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45222</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45222</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45222</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45222</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45222</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45222</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45222</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45222</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45222</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45222</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45222</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45222</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45222</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45222</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45222</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45222</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45222</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45222</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45222</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45222</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45222</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45222</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45222</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45222</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45222</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45222</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45222</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45222</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45222</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45222</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45222</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45222</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45222</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45222</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45222</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45222</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45222</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45222</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45222</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45222</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45222</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45222</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45222</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45222</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45222</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45222</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45222</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45222</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45222</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45222</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45222</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45222</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45222</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45222</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45222</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45222</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45222</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45222</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45222</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45222</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45222</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45222</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45222</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45222</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45222</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45222</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45222</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45222</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45222</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45222</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45222</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45222</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45222</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45222</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45222</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45222</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45222</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45222</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45222</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45222</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45222</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45222</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45222</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45222</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45222</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45222</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45222</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45222</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45222</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45222</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45222</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45222</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45222</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45222</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45222</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45222</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45222</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45222</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45222</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45222</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45222</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45222</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45222</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45222</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45222</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45222</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45222</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45222</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45222</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45222</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45222</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45222</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45222</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45222</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45222</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45222</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45222</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45222</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45222</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45222</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45222</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45222</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45222</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45222</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45222</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45222</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45222</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45222</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45222</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45222</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45222</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45222</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45222</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45222</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45222</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45222</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45222</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45222</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45222</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45222</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45222</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45222</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45222</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45222</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45222</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45222</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45222</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45222</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45222</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45222</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45222</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45222</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45222</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45222</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45222</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45222</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45222</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45222</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45222</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45222</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45222</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45222</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45222</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45222</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45222</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45222</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45222</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45222</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45222</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45222</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45222</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45222</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45222</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45222</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45222</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45222</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45222</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45222</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45222</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45222</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45222</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45222</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45222</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45222</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45222</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45222</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45222</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45222</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45222</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45222</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45222</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45222</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45222</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45222</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ht="15" customHeight="1">
      <c r="A9167" t="inlineStr">
        <is>
          <t>A 48294-2023</t>
        </is>
      </c>
      <c r="B9167" s="1" t="n">
        <v>45205</v>
      </c>
      <c r="C9167" s="1" t="n">
        <v>45222</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row r="9168" ht="15" customHeight="1">
      <c r="A9168" t="inlineStr">
        <is>
          <t>A 48510-2023</t>
        </is>
      </c>
      <c r="B9168" s="1" t="n">
        <v>45207</v>
      </c>
      <c r="C9168" s="1" t="n">
        <v>45222</v>
      </c>
      <c r="D9168" t="inlineStr">
        <is>
          <t>VÄRMLANDS LÄN</t>
        </is>
      </c>
      <c r="E9168" t="inlineStr">
        <is>
          <t>ARVIKA</t>
        </is>
      </c>
      <c r="G9168" t="n">
        <v>0.3</v>
      </c>
      <c r="H9168" t="n">
        <v>0</v>
      </c>
      <c r="I9168" t="n">
        <v>0</v>
      </c>
      <c r="J9168" t="n">
        <v>0</v>
      </c>
      <c r="K9168" t="n">
        <v>0</v>
      </c>
      <c r="L9168" t="n">
        <v>0</v>
      </c>
      <c r="M9168" t="n">
        <v>0</v>
      </c>
      <c r="N9168" t="n">
        <v>0</v>
      </c>
      <c r="O9168" t="n">
        <v>0</v>
      </c>
      <c r="P9168" t="n">
        <v>0</v>
      </c>
      <c r="Q9168" t="n">
        <v>0</v>
      </c>
      <c r="R9168" s="2" t="inlineStr"/>
    </row>
    <row r="9169" ht="15" customHeight="1">
      <c r="A9169" t="inlineStr">
        <is>
          <t>A 48524-2023</t>
        </is>
      </c>
      <c r="B9169" s="1" t="n">
        <v>45208</v>
      </c>
      <c r="C9169" s="1" t="n">
        <v>45222</v>
      </c>
      <c r="D9169" t="inlineStr">
        <is>
          <t>VÄRMLANDS LÄN</t>
        </is>
      </c>
      <c r="E9169" t="inlineStr">
        <is>
          <t>FILIPSTAD</t>
        </is>
      </c>
      <c r="G9169" t="n">
        <v>2.1</v>
      </c>
      <c r="H9169" t="n">
        <v>0</v>
      </c>
      <c r="I9169" t="n">
        <v>0</v>
      </c>
      <c r="J9169" t="n">
        <v>0</v>
      </c>
      <c r="K9169" t="n">
        <v>0</v>
      </c>
      <c r="L9169" t="n">
        <v>0</v>
      </c>
      <c r="M9169" t="n">
        <v>0</v>
      </c>
      <c r="N9169" t="n">
        <v>0</v>
      </c>
      <c r="O9169" t="n">
        <v>0</v>
      </c>
      <c r="P9169" t="n">
        <v>0</v>
      </c>
      <c r="Q9169" t="n">
        <v>0</v>
      </c>
      <c r="R9169" s="2" t="inlineStr"/>
    </row>
    <row r="9170" ht="15" customHeight="1">
      <c r="A9170" t="inlineStr">
        <is>
          <t>A 48805-2023</t>
        </is>
      </c>
      <c r="B9170" s="1" t="n">
        <v>45209</v>
      </c>
      <c r="C9170" s="1" t="n">
        <v>45222</v>
      </c>
      <c r="D9170" t="inlineStr">
        <is>
          <t>VÄRMLANDS LÄN</t>
        </is>
      </c>
      <c r="E9170" t="inlineStr">
        <is>
          <t>TORSBY</t>
        </is>
      </c>
      <c r="G9170" t="n">
        <v>2.8</v>
      </c>
      <c r="H9170" t="n">
        <v>0</v>
      </c>
      <c r="I9170" t="n">
        <v>0</v>
      </c>
      <c r="J9170" t="n">
        <v>0</v>
      </c>
      <c r="K9170" t="n">
        <v>0</v>
      </c>
      <c r="L9170" t="n">
        <v>0</v>
      </c>
      <c r="M9170" t="n">
        <v>0</v>
      </c>
      <c r="N9170" t="n">
        <v>0</v>
      </c>
      <c r="O9170" t="n">
        <v>0</v>
      </c>
      <c r="P9170" t="n">
        <v>0</v>
      </c>
      <c r="Q9170" t="n">
        <v>0</v>
      </c>
      <c r="R9170" s="2" t="inlineStr"/>
    </row>
    <row r="9171" ht="15" customHeight="1">
      <c r="A9171" t="inlineStr">
        <is>
          <t>A 48975-2023</t>
        </is>
      </c>
      <c r="B9171" s="1" t="n">
        <v>45209</v>
      </c>
      <c r="C9171" s="1" t="n">
        <v>45222</v>
      </c>
      <c r="D9171" t="inlineStr">
        <is>
          <t>VÄRMLANDS LÄN</t>
        </is>
      </c>
      <c r="E9171" t="inlineStr">
        <is>
          <t>ARVIKA</t>
        </is>
      </c>
      <c r="G9171" t="n">
        <v>0.8</v>
      </c>
      <c r="H9171" t="n">
        <v>0</v>
      </c>
      <c r="I9171" t="n">
        <v>0</v>
      </c>
      <c r="J9171" t="n">
        <v>0</v>
      </c>
      <c r="K9171" t="n">
        <v>0</v>
      </c>
      <c r="L9171" t="n">
        <v>0</v>
      </c>
      <c r="M9171" t="n">
        <v>0</v>
      </c>
      <c r="N9171" t="n">
        <v>0</v>
      </c>
      <c r="O9171" t="n">
        <v>0</v>
      </c>
      <c r="P9171" t="n">
        <v>0</v>
      </c>
      <c r="Q9171" t="n">
        <v>0</v>
      </c>
      <c r="R9171" s="2" t="inlineStr"/>
    </row>
    <row r="9172" ht="15" customHeight="1">
      <c r="A9172" t="inlineStr">
        <is>
          <t>A 48842-2023</t>
        </is>
      </c>
      <c r="B9172" s="1" t="n">
        <v>45209</v>
      </c>
      <c r="C9172" s="1" t="n">
        <v>45222</v>
      </c>
      <c r="D9172" t="inlineStr">
        <is>
          <t>VÄRMLANDS LÄN</t>
        </is>
      </c>
      <c r="E9172" t="inlineStr">
        <is>
          <t>TORSBY</t>
        </is>
      </c>
      <c r="G9172" t="n">
        <v>2.6</v>
      </c>
      <c r="H9172" t="n">
        <v>0</v>
      </c>
      <c r="I9172" t="n">
        <v>0</v>
      </c>
      <c r="J9172" t="n">
        <v>0</v>
      </c>
      <c r="K9172" t="n">
        <v>0</v>
      </c>
      <c r="L9172" t="n">
        <v>0</v>
      </c>
      <c r="M9172" t="n">
        <v>0</v>
      </c>
      <c r="N9172" t="n">
        <v>0</v>
      </c>
      <c r="O9172" t="n">
        <v>0</v>
      </c>
      <c r="P9172" t="n">
        <v>0</v>
      </c>
      <c r="Q9172" t="n">
        <v>0</v>
      </c>
      <c r="R9172" s="2" t="inlineStr"/>
    </row>
    <row r="9173" ht="15" customHeight="1">
      <c r="A9173" t="inlineStr">
        <is>
          <t>A 48967-2023</t>
        </is>
      </c>
      <c r="B9173" s="1" t="n">
        <v>45209</v>
      </c>
      <c r="C9173" s="1" t="n">
        <v>45222</v>
      </c>
      <c r="D9173" t="inlineStr">
        <is>
          <t>VÄRMLANDS LÄN</t>
        </is>
      </c>
      <c r="E9173" t="inlineStr">
        <is>
          <t>MUNKFORS</t>
        </is>
      </c>
      <c r="F9173" t="inlineStr">
        <is>
          <t>Bergvik skog väst AB</t>
        </is>
      </c>
      <c r="G9173" t="n">
        <v>8.699999999999999</v>
      </c>
      <c r="H9173" t="n">
        <v>0</v>
      </c>
      <c r="I9173" t="n">
        <v>0</v>
      </c>
      <c r="J9173" t="n">
        <v>0</v>
      </c>
      <c r="K9173" t="n">
        <v>0</v>
      </c>
      <c r="L9173" t="n">
        <v>0</v>
      </c>
      <c r="M9173" t="n">
        <v>0</v>
      </c>
      <c r="N9173" t="n">
        <v>0</v>
      </c>
      <c r="O9173" t="n">
        <v>0</v>
      </c>
      <c r="P9173" t="n">
        <v>0</v>
      </c>
      <c r="Q9173" t="n">
        <v>0</v>
      </c>
      <c r="R9173" s="2" t="inlineStr"/>
    </row>
    <row r="9174" ht="15" customHeight="1">
      <c r="A9174" t="inlineStr">
        <is>
          <t>A 49054-2023</t>
        </is>
      </c>
      <c r="B9174" s="1" t="n">
        <v>45210</v>
      </c>
      <c r="C9174" s="1" t="n">
        <v>45222</v>
      </c>
      <c r="D9174" t="inlineStr">
        <is>
          <t>VÄRMLANDS LÄN</t>
        </is>
      </c>
      <c r="E9174" t="inlineStr">
        <is>
          <t>ARVIKA</t>
        </is>
      </c>
      <c r="G9174" t="n">
        <v>1.1</v>
      </c>
      <c r="H9174" t="n">
        <v>0</v>
      </c>
      <c r="I9174" t="n">
        <v>0</v>
      </c>
      <c r="J9174" t="n">
        <v>0</v>
      </c>
      <c r="K9174" t="n">
        <v>0</v>
      </c>
      <c r="L9174" t="n">
        <v>0</v>
      </c>
      <c r="M9174" t="n">
        <v>0</v>
      </c>
      <c r="N9174" t="n">
        <v>0</v>
      </c>
      <c r="O9174" t="n">
        <v>0</v>
      </c>
      <c r="P9174" t="n">
        <v>0</v>
      </c>
      <c r="Q9174" t="n">
        <v>0</v>
      </c>
      <c r="R9174" s="2" t="inlineStr"/>
    </row>
    <row r="9175" ht="15" customHeight="1">
      <c r="A9175" t="inlineStr">
        <is>
          <t>A 49295-2023</t>
        </is>
      </c>
      <c r="B9175" s="1" t="n">
        <v>45210</v>
      </c>
      <c r="C9175" s="1" t="n">
        <v>45222</v>
      </c>
      <c r="D9175" t="inlineStr">
        <is>
          <t>VÄRMLANDS LÄN</t>
        </is>
      </c>
      <c r="E9175" t="inlineStr">
        <is>
          <t>ARVIKA</t>
        </is>
      </c>
      <c r="G9175" t="n">
        <v>0.2</v>
      </c>
      <c r="H9175" t="n">
        <v>0</v>
      </c>
      <c r="I9175" t="n">
        <v>0</v>
      </c>
      <c r="J9175" t="n">
        <v>0</v>
      </c>
      <c r="K9175" t="n">
        <v>0</v>
      </c>
      <c r="L9175" t="n">
        <v>0</v>
      </c>
      <c r="M9175" t="n">
        <v>0</v>
      </c>
      <c r="N9175" t="n">
        <v>0</v>
      </c>
      <c r="O9175" t="n">
        <v>0</v>
      </c>
      <c r="P9175" t="n">
        <v>0</v>
      </c>
      <c r="Q9175" t="n">
        <v>0</v>
      </c>
      <c r="R9175" s="2" t="inlineStr"/>
    </row>
    <row r="9176" ht="15" customHeight="1">
      <c r="A9176" t="inlineStr">
        <is>
          <t>A 49312-2023</t>
        </is>
      </c>
      <c r="B9176" s="1" t="n">
        <v>45210</v>
      </c>
      <c r="C9176" s="1" t="n">
        <v>45222</v>
      </c>
      <c r="D9176" t="inlineStr">
        <is>
          <t>VÄRMLANDS LÄN</t>
        </is>
      </c>
      <c r="E9176" t="inlineStr">
        <is>
          <t>ARVIKA</t>
        </is>
      </c>
      <c r="G9176" t="n">
        <v>1.3</v>
      </c>
      <c r="H9176" t="n">
        <v>0</v>
      </c>
      <c r="I9176" t="n">
        <v>0</v>
      </c>
      <c r="J9176" t="n">
        <v>0</v>
      </c>
      <c r="K9176" t="n">
        <v>0</v>
      </c>
      <c r="L9176" t="n">
        <v>0</v>
      </c>
      <c r="M9176" t="n">
        <v>0</v>
      </c>
      <c r="N9176" t="n">
        <v>0</v>
      </c>
      <c r="O9176" t="n">
        <v>0</v>
      </c>
      <c r="P9176" t="n">
        <v>0</v>
      </c>
      <c r="Q9176" t="n">
        <v>0</v>
      </c>
      <c r="R9176" s="2" t="inlineStr"/>
    </row>
    <row r="9177" ht="15" customHeight="1">
      <c r="A9177" t="inlineStr">
        <is>
          <t>A 49149-2023</t>
        </is>
      </c>
      <c r="B9177" s="1" t="n">
        <v>45210</v>
      </c>
      <c r="C9177" s="1" t="n">
        <v>45222</v>
      </c>
      <c r="D9177" t="inlineStr">
        <is>
          <t>VÄRMLANDS LÄN</t>
        </is>
      </c>
      <c r="E9177" t="inlineStr">
        <is>
          <t>KRISTINEHAMN</t>
        </is>
      </c>
      <c r="G9177" t="n">
        <v>1</v>
      </c>
      <c r="H9177" t="n">
        <v>0</v>
      </c>
      <c r="I9177" t="n">
        <v>0</v>
      </c>
      <c r="J9177" t="n">
        <v>0</v>
      </c>
      <c r="K9177" t="n">
        <v>0</v>
      </c>
      <c r="L9177" t="n">
        <v>0</v>
      </c>
      <c r="M9177" t="n">
        <v>0</v>
      </c>
      <c r="N9177" t="n">
        <v>0</v>
      </c>
      <c r="O9177" t="n">
        <v>0</v>
      </c>
      <c r="P9177" t="n">
        <v>0</v>
      </c>
      <c r="Q9177" t="n">
        <v>0</v>
      </c>
      <c r="R9177" s="2" t="inlineStr"/>
    </row>
    <row r="9178" ht="15" customHeight="1">
      <c r="A9178" t="inlineStr">
        <is>
          <t>A 49167-2023</t>
        </is>
      </c>
      <c r="B9178" s="1" t="n">
        <v>45210</v>
      </c>
      <c r="C9178" s="1" t="n">
        <v>45222</v>
      </c>
      <c r="D9178" t="inlineStr">
        <is>
          <t>VÄRMLANDS LÄN</t>
        </is>
      </c>
      <c r="E9178" t="inlineStr">
        <is>
          <t>FILIPSTAD</t>
        </is>
      </c>
      <c r="F9178" t="inlineStr">
        <is>
          <t>Bergvik skog väst AB</t>
        </is>
      </c>
      <c r="G9178" t="n">
        <v>27.4</v>
      </c>
      <c r="H9178" t="n">
        <v>0</v>
      </c>
      <c r="I9178" t="n">
        <v>0</v>
      </c>
      <c r="J9178" t="n">
        <v>0</v>
      </c>
      <c r="K9178" t="n">
        <v>0</v>
      </c>
      <c r="L9178" t="n">
        <v>0</v>
      </c>
      <c r="M9178" t="n">
        <v>0</v>
      </c>
      <c r="N9178" t="n">
        <v>0</v>
      </c>
      <c r="O9178" t="n">
        <v>0</v>
      </c>
      <c r="P9178" t="n">
        <v>0</v>
      </c>
      <c r="Q9178" t="n">
        <v>0</v>
      </c>
      <c r="R9178" s="2" t="inlineStr"/>
    </row>
    <row r="9179" ht="15" customHeight="1">
      <c r="A9179" t="inlineStr">
        <is>
          <t>A 49145-2023</t>
        </is>
      </c>
      <c r="B9179" s="1" t="n">
        <v>45210</v>
      </c>
      <c r="C9179" s="1" t="n">
        <v>45222</v>
      </c>
      <c r="D9179" t="inlineStr">
        <is>
          <t>VÄRMLANDS LÄN</t>
        </is>
      </c>
      <c r="E9179" t="inlineStr">
        <is>
          <t>KRISTINEHAMN</t>
        </is>
      </c>
      <c r="G9179" t="n">
        <v>0.8</v>
      </c>
      <c r="H9179" t="n">
        <v>0</v>
      </c>
      <c r="I9179" t="n">
        <v>0</v>
      </c>
      <c r="J9179" t="n">
        <v>0</v>
      </c>
      <c r="K9179" t="n">
        <v>0</v>
      </c>
      <c r="L9179" t="n">
        <v>0</v>
      </c>
      <c r="M9179" t="n">
        <v>0</v>
      </c>
      <c r="N9179" t="n">
        <v>0</v>
      </c>
      <c r="O9179" t="n">
        <v>0</v>
      </c>
      <c r="P9179" t="n">
        <v>0</v>
      </c>
      <c r="Q9179" t="n">
        <v>0</v>
      </c>
      <c r="R9179" s="2" t="inlineStr"/>
    </row>
    <row r="9180" ht="15" customHeight="1">
      <c r="A9180" t="inlineStr">
        <is>
          <t>A 49628-2023</t>
        </is>
      </c>
      <c r="B9180" s="1" t="n">
        <v>45211</v>
      </c>
      <c r="C9180" s="1" t="n">
        <v>45222</v>
      </c>
      <c r="D9180" t="inlineStr">
        <is>
          <t>VÄRMLANDS LÄN</t>
        </is>
      </c>
      <c r="E9180" t="inlineStr">
        <is>
          <t>KARLSTAD</t>
        </is>
      </c>
      <c r="G9180" t="n">
        <v>2.5</v>
      </c>
      <c r="H9180" t="n">
        <v>0</v>
      </c>
      <c r="I9180" t="n">
        <v>0</v>
      </c>
      <c r="J9180" t="n">
        <v>0</v>
      </c>
      <c r="K9180" t="n">
        <v>0</v>
      </c>
      <c r="L9180" t="n">
        <v>0</v>
      </c>
      <c r="M9180" t="n">
        <v>0</v>
      </c>
      <c r="N9180" t="n">
        <v>0</v>
      </c>
      <c r="O9180" t="n">
        <v>0</v>
      </c>
      <c r="P9180" t="n">
        <v>0</v>
      </c>
      <c r="Q9180" t="n">
        <v>0</v>
      </c>
      <c r="R9180" s="2" t="inlineStr"/>
    </row>
    <row r="9181" ht="15" customHeight="1">
      <c r="A9181" t="inlineStr">
        <is>
          <t>A 49500-2023</t>
        </is>
      </c>
      <c r="B9181" s="1" t="n">
        <v>45211</v>
      </c>
      <c r="C9181" s="1" t="n">
        <v>45222</v>
      </c>
      <c r="D9181" t="inlineStr">
        <is>
          <t>VÄRMLANDS LÄN</t>
        </is>
      </c>
      <c r="E9181" t="inlineStr">
        <is>
          <t>MUNKFORS</t>
        </is>
      </c>
      <c r="G9181" t="n">
        <v>0.7</v>
      </c>
      <c r="H9181" t="n">
        <v>0</v>
      </c>
      <c r="I9181" t="n">
        <v>0</v>
      </c>
      <c r="J9181" t="n">
        <v>0</v>
      </c>
      <c r="K9181" t="n">
        <v>0</v>
      </c>
      <c r="L9181" t="n">
        <v>0</v>
      </c>
      <c r="M9181" t="n">
        <v>0</v>
      </c>
      <c r="N9181" t="n">
        <v>0</v>
      </c>
      <c r="O9181" t="n">
        <v>0</v>
      </c>
      <c r="P9181" t="n">
        <v>0</v>
      </c>
      <c r="Q9181" t="n">
        <v>0</v>
      </c>
      <c r="R9181" s="2" t="inlineStr"/>
    </row>
    <row r="9182" ht="15" customHeight="1">
      <c r="A9182" t="inlineStr">
        <is>
          <t>A 49732-2023</t>
        </is>
      </c>
      <c r="B9182" s="1" t="n">
        <v>45212</v>
      </c>
      <c r="C9182" s="1" t="n">
        <v>45222</v>
      </c>
      <c r="D9182" t="inlineStr">
        <is>
          <t>VÄRMLANDS LÄN</t>
        </is>
      </c>
      <c r="E9182" t="inlineStr">
        <is>
          <t>HAGFORS</t>
        </is>
      </c>
      <c r="F9182" t="inlineStr">
        <is>
          <t>Bergvik skog väst AB</t>
        </is>
      </c>
      <c r="G9182" t="n">
        <v>4.1</v>
      </c>
      <c r="H9182" t="n">
        <v>0</v>
      </c>
      <c r="I9182" t="n">
        <v>0</v>
      </c>
      <c r="J9182" t="n">
        <v>0</v>
      </c>
      <c r="K9182" t="n">
        <v>0</v>
      </c>
      <c r="L9182" t="n">
        <v>0</v>
      </c>
      <c r="M9182" t="n">
        <v>0</v>
      </c>
      <c r="N9182" t="n">
        <v>0</v>
      </c>
      <c r="O9182" t="n">
        <v>0</v>
      </c>
      <c r="P9182" t="n">
        <v>0</v>
      </c>
      <c r="Q9182" t="n">
        <v>0</v>
      </c>
      <c r="R9182" s="2" t="inlineStr"/>
    </row>
    <row r="9183" ht="15" customHeight="1">
      <c r="A9183" t="inlineStr">
        <is>
          <t>A 49779-2023</t>
        </is>
      </c>
      <c r="B9183" s="1" t="n">
        <v>45212</v>
      </c>
      <c r="C9183" s="1" t="n">
        <v>45222</v>
      </c>
      <c r="D9183" t="inlineStr">
        <is>
          <t>VÄRMLANDS LÄN</t>
        </is>
      </c>
      <c r="E9183" t="inlineStr">
        <is>
          <t>SUNNE</t>
        </is>
      </c>
      <c r="G9183" t="n">
        <v>1.3</v>
      </c>
      <c r="H9183" t="n">
        <v>0</v>
      </c>
      <c r="I9183" t="n">
        <v>0</v>
      </c>
      <c r="J9183" t="n">
        <v>0</v>
      </c>
      <c r="K9183" t="n">
        <v>0</v>
      </c>
      <c r="L9183" t="n">
        <v>0</v>
      </c>
      <c r="M9183" t="n">
        <v>0</v>
      </c>
      <c r="N9183" t="n">
        <v>0</v>
      </c>
      <c r="O9183" t="n">
        <v>0</v>
      </c>
      <c r="P9183" t="n">
        <v>0</v>
      </c>
      <c r="Q9183" t="n">
        <v>0</v>
      </c>
      <c r="R9183" s="2" t="inlineStr"/>
    </row>
    <row r="9184" ht="15" customHeight="1">
      <c r="A9184" t="inlineStr">
        <is>
          <t>A 49683-2023</t>
        </is>
      </c>
      <c r="B9184" s="1" t="n">
        <v>45212</v>
      </c>
      <c r="C9184" s="1" t="n">
        <v>45222</v>
      </c>
      <c r="D9184" t="inlineStr">
        <is>
          <t>VÄRMLANDS LÄN</t>
        </is>
      </c>
      <c r="E9184" t="inlineStr">
        <is>
          <t>SUNNE</t>
        </is>
      </c>
      <c r="F9184" t="inlineStr">
        <is>
          <t>Kommuner</t>
        </is>
      </c>
      <c r="G9184" t="n">
        <v>4.3</v>
      </c>
      <c r="H9184" t="n">
        <v>0</v>
      </c>
      <c r="I9184" t="n">
        <v>0</v>
      </c>
      <c r="J9184" t="n">
        <v>0</v>
      </c>
      <c r="K9184" t="n">
        <v>0</v>
      </c>
      <c r="L9184" t="n">
        <v>0</v>
      </c>
      <c r="M9184" t="n">
        <v>0</v>
      </c>
      <c r="N9184" t="n">
        <v>0</v>
      </c>
      <c r="O9184" t="n">
        <v>0</v>
      </c>
      <c r="P9184" t="n">
        <v>0</v>
      </c>
      <c r="Q9184" t="n">
        <v>0</v>
      </c>
      <c r="R9184" s="2" t="inlineStr"/>
    </row>
    <row r="9185" ht="15" customHeight="1">
      <c r="A9185" t="inlineStr">
        <is>
          <t>A 50425-2023</t>
        </is>
      </c>
      <c r="B9185" s="1" t="n">
        <v>45216</v>
      </c>
      <c r="C9185" s="1" t="n">
        <v>45222</v>
      </c>
      <c r="D9185" t="inlineStr">
        <is>
          <t>VÄRMLANDS LÄN</t>
        </is>
      </c>
      <c r="E9185" t="inlineStr">
        <is>
          <t>SUNNE</t>
        </is>
      </c>
      <c r="G9185" t="n">
        <v>0.8</v>
      </c>
      <c r="H9185" t="n">
        <v>0</v>
      </c>
      <c r="I9185" t="n">
        <v>0</v>
      </c>
      <c r="J9185" t="n">
        <v>0</v>
      </c>
      <c r="K9185" t="n">
        <v>0</v>
      </c>
      <c r="L9185" t="n">
        <v>0</v>
      </c>
      <c r="M9185" t="n">
        <v>0</v>
      </c>
      <c r="N9185" t="n">
        <v>0</v>
      </c>
      <c r="O9185" t="n">
        <v>0</v>
      </c>
      <c r="P9185" t="n">
        <v>0</v>
      </c>
      <c r="Q9185" t="n">
        <v>0</v>
      </c>
      <c r="R9185" s="2" t="inlineStr"/>
    </row>
    <row r="9186" ht="15" customHeight="1">
      <c r="A9186" t="inlineStr">
        <is>
          <t>A 50445-2023</t>
        </is>
      </c>
      <c r="B9186" s="1" t="n">
        <v>45216</v>
      </c>
      <c r="C9186" s="1" t="n">
        <v>45222</v>
      </c>
      <c r="D9186" t="inlineStr">
        <is>
          <t>VÄRMLANDS LÄN</t>
        </is>
      </c>
      <c r="E9186" t="inlineStr">
        <is>
          <t>TORSBY</t>
        </is>
      </c>
      <c r="G9186" t="n">
        <v>1</v>
      </c>
      <c r="H9186" t="n">
        <v>0</v>
      </c>
      <c r="I9186" t="n">
        <v>0</v>
      </c>
      <c r="J9186" t="n">
        <v>0</v>
      </c>
      <c r="K9186" t="n">
        <v>0</v>
      </c>
      <c r="L9186" t="n">
        <v>0</v>
      </c>
      <c r="M9186" t="n">
        <v>0</v>
      </c>
      <c r="N9186" t="n">
        <v>0</v>
      </c>
      <c r="O9186" t="n">
        <v>0</v>
      </c>
      <c r="P9186" t="n">
        <v>0</v>
      </c>
      <c r="Q9186" t="n">
        <v>0</v>
      </c>
      <c r="R9186" s="2" t="inlineStr"/>
    </row>
    <row r="9187" ht="15" customHeight="1">
      <c r="A9187" t="inlineStr">
        <is>
          <t>A 50537-2023</t>
        </is>
      </c>
      <c r="B9187" s="1" t="n">
        <v>45217</v>
      </c>
      <c r="C9187" s="1" t="n">
        <v>45222</v>
      </c>
      <c r="D9187" t="inlineStr">
        <is>
          <t>VÄRMLANDS LÄN</t>
        </is>
      </c>
      <c r="E9187" t="inlineStr">
        <is>
          <t>ÅRJÄNG</t>
        </is>
      </c>
      <c r="G9187" t="n">
        <v>0.5</v>
      </c>
      <c r="H9187" t="n">
        <v>0</v>
      </c>
      <c r="I9187" t="n">
        <v>0</v>
      </c>
      <c r="J9187" t="n">
        <v>0</v>
      </c>
      <c r="K9187" t="n">
        <v>0</v>
      </c>
      <c r="L9187" t="n">
        <v>0</v>
      </c>
      <c r="M9187" t="n">
        <v>0</v>
      </c>
      <c r="N9187" t="n">
        <v>0</v>
      </c>
      <c r="O9187" t="n">
        <v>0</v>
      </c>
      <c r="P9187" t="n">
        <v>0</v>
      </c>
      <c r="Q9187" t="n">
        <v>0</v>
      </c>
      <c r="R9187" s="2" t="inlineStr"/>
    </row>
    <row r="9188" ht="15" customHeight="1">
      <c r="A9188" t="inlineStr">
        <is>
          <t>A 50526-2023</t>
        </is>
      </c>
      <c r="B9188" s="1" t="n">
        <v>45217</v>
      </c>
      <c r="C9188" s="1" t="n">
        <v>45222</v>
      </c>
      <c r="D9188" t="inlineStr">
        <is>
          <t>VÄRMLANDS LÄN</t>
        </is>
      </c>
      <c r="E9188" t="inlineStr">
        <is>
          <t>KARLSTAD</t>
        </is>
      </c>
      <c r="G9188" t="n">
        <v>1.6</v>
      </c>
      <c r="H9188" t="n">
        <v>0</v>
      </c>
      <c r="I9188" t="n">
        <v>0</v>
      </c>
      <c r="J9188" t="n">
        <v>0</v>
      </c>
      <c r="K9188" t="n">
        <v>0</v>
      </c>
      <c r="L9188" t="n">
        <v>0</v>
      </c>
      <c r="M9188" t="n">
        <v>0</v>
      </c>
      <c r="N9188" t="n">
        <v>0</v>
      </c>
      <c r="O9188" t="n">
        <v>0</v>
      </c>
      <c r="P9188" t="n">
        <v>0</v>
      </c>
      <c r="Q9188" t="n">
        <v>0</v>
      </c>
      <c r="R9188" s="2" t="inlineStr"/>
    </row>
    <row r="9189" ht="15" customHeight="1">
      <c r="A9189" t="inlineStr">
        <is>
          <t>A 50608-2023</t>
        </is>
      </c>
      <c r="B9189" s="1" t="n">
        <v>45217</v>
      </c>
      <c r="C9189" s="1" t="n">
        <v>45222</v>
      </c>
      <c r="D9189" t="inlineStr">
        <is>
          <t>VÄRMLANDS LÄN</t>
        </is>
      </c>
      <c r="E9189" t="inlineStr">
        <is>
          <t>TORSBY</t>
        </is>
      </c>
      <c r="G9189" t="n">
        <v>2.9</v>
      </c>
      <c r="H9189" t="n">
        <v>0</v>
      </c>
      <c r="I9189" t="n">
        <v>0</v>
      </c>
      <c r="J9189" t="n">
        <v>0</v>
      </c>
      <c r="K9189" t="n">
        <v>0</v>
      </c>
      <c r="L9189" t="n">
        <v>0</v>
      </c>
      <c r="M9189" t="n">
        <v>0</v>
      </c>
      <c r="N9189" t="n">
        <v>0</v>
      </c>
      <c r="O9189" t="n">
        <v>0</v>
      </c>
      <c r="P9189" t="n">
        <v>0</v>
      </c>
      <c r="Q9189" t="n">
        <v>0</v>
      </c>
      <c r="R9189" s="2" t="inlineStr"/>
    </row>
    <row r="9190" ht="15" customHeight="1">
      <c r="A9190" t="inlineStr">
        <is>
          <t>A 50538-2023</t>
        </is>
      </c>
      <c r="B9190" s="1" t="n">
        <v>45217</v>
      </c>
      <c r="C9190" s="1" t="n">
        <v>45222</v>
      </c>
      <c r="D9190" t="inlineStr">
        <is>
          <t>VÄRMLANDS LÄN</t>
        </is>
      </c>
      <c r="E9190" t="inlineStr">
        <is>
          <t>HAGFORS</t>
        </is>
      </c>
      <c r="F9190" t="inlineStr">
        <is>
          <t>Bergvik skog väst AB</t>
        </is>
      </c>
      <c r="G9190" t="n">
        <v>31.9</v>
      </c>
      <c r="H9190" t="n">
        <v>0</v>
      </c>
      <c r="I9190" t="n">
        <v>0</v>
      </c>
      <c r="J9190" t="n">
        <v>0</v>
      </c>
      <c r="K9190" t="n">
        <v>0</v>
      </c>
      <c r="L9190" t="n">
        <v>0</v>
      </c>
      <c r="M9190" t="n">
        <v>0</v>
      </c>
      <c r="N9190" t="n">
        <v>0</v>
      </c>
      <c r="O9190" t="n">
        <v>0</v>
      </c>
      <c r="P9190" t="n">
        <v>0</v>
      </c>
      <c r="Q9190" t="n">
        <v>0</v>
      </c>
      <c r="R9190" s="2" t="inlineStr"/>
    </row>
    <row r="9191" ht="15" customHeight="1">
      <c r="A9191" t="inlineStr">
        <is>
          <t>A 50932-2023</t>
        </is>
      </c>
      <c r="B9191" s="1" t="n">
        <v>45218</v>
      </c>
      <c r="C9191" s="1" t="n">
        <v>45222</v>
      </c>
      <c r="D9191" t="inlineStr">
        <is>
          <t>VÄRMLANDS LÄN</t>
        </is>
      </c>
      <c r="E9191" t="inlineStr">
        <is>
          <t>ÅRJÄNG</t>
        </is>
      </c>
      <c r="G9191" t="n">
        <v>3</v>
      </c>
      <c r="H9191" t="n">
        <v>0</v>
      </c>
      <c r="I9191" t="n">
        <v>0</v>
      </c>
      <c r="J9191" t="n">
        <v>0</v>
      </c>
      <c r="K9191" t="n">
        <v>0</v>
      </c>
      <c r="L9191" t="n">
        <v>0</v>
      </c>
      <c r="M9191" t="n">
        <v>0</v>
      </c>
      <c r="N9191" t="n">
        <v>0</v>
      </c>
      <c r="O9191" t="n">
        <v>0</v>
      </c>
      <c r="P9191" t="n">
        <v>0</v>
      </c>
      <c r="Q9191" t="n">
        <v>0</v>
      </c>
      <c r="R9191" s="2" t="inlineStr"/>
    </row>
    <row r="9192" ht="15" customHeight="1">
      <c r="A9192" t="inlineStr">
        <is>
          <t>A 50971-2023</t>
        </is>
      </c>
      <c r="B9192" s="1" t="n">
        <v>45218</v>
      </c>
      <c r="C9192" s="1" t="n">
        <v>45222</v>
      </c>
      <c r="D9192" t="inlineStr">
        <is>
          <t>VÄRMLANDS LÄN</t>
        </is>
      </c>
      <c r="E9192" t="inlineStr">
        <is>
          <t>MUNKFORS</t>
        </is>
      </c>
      <c r="G9192" t="n">
        <v>4.7</v>
      </c>
      <c r="H9192" t="n">
        <v>0</v>
      </c>
      <c r="I9192" t="n">
        <v>0</v>
      </c>
      <c r="J9192" t="n">
        <v>0</v>
      </c>
      <c r="K9192" t="n">
        <v>0</v>
      </c>
      <c r="L9192" t="n">
        <v>0</v>
      </c>
      <c r="M9192" t="n">
        <v>0</v>
      </c>
      <c r="N9192" t="n">
        <v>0</v>
      </c>
      <c r="O9192" t="n">
        <v>0</v>
      </c>
      <c r="P9192" t="n">
        <v>0</v>
      </c>
      <c r="Q9192" t="n">
        <v>0</v>
      </c>
      <c r="R9192" s="2" t="inlineStr"/>
    </row>
    <row r="9193" ht="15" customHeight="1">
      <c r="A9193" t="inlineStr">
        <is>
          <t>A 50877-2023</t>
        </is>
      </c>
      <c r="B9193" s="1" t="n">
        <v>45218</v>
      </c>
      <c r="C9193" s="1" t="n">
        <v>45222</v>
      </c>
      <c r="D9193" t="inlineStr">
        <is>
          <t>VÄRMLANDS LÄN</t>
        </is>
      </c>
      <c r="E9193" t="inlineStr">
        <is>
          <t>SUNNE</t>
        </is>
      </c>
      <c r="G9193" t="n">
        <v>2</v>
      </c>
      <c r="H9193" t="n">
        <v>0</v>
      </c>
      <c r="I9193" t="n">
        <v>0</v>
      </c>
      <c r="J9193" t="n">
        <v>0</v>
      </c>
      <c r="K9193" t="n">
        <v>0</v>
      </c>
      <c r="L9193" t="n">
        <v>0</v>
      </c>
      <c r="M9193" t="n">
        <v>0</v>
      </c>
      <c r="N9193" t="n">
        <v>0</v>
      </c>
      <c r="O9193" t="n">
        <v>0</v>
      </c>
      <c r="P9193" t="n">
        <v>0</v>
      </c>
      <c r="Q9193" t="n">
        <v>0</v>
      </c>
      <c r="R9193" s="2" t="inlineStr"/>
    </row>
    <row r="9194" ht="15" customHeight="1">
      <c r="A9194" t="inlineStr">
        <is>
          <t>A 50895-2023</t>
        </is>
      </c>
      <c r="B9194" s="1" t="n">
        <v>45218</v>
      </c>
      <c r="C9194" s="1" t="n">
        <v>45222</v>
      </c>
      <c r="D9194" t="inlineStr">
        <is>
          <t>VÄRMLANDS LÄN</t>
        </is>
      </c>
      <c r="E9194" t="inlineStr">
        <is>
          <t>KARLSTAD</t>
        </is>
      </c>
      <c r="G9194" t="n">
        <v>2.5</v>
      </c>
      <c r="H9194" t="n">
        <v>0</v>
      </c>
      <c r="I9194" t="n">
        <v>0</v>
      </c>
      <c r="J9194" t="n">
        <v>0</v>
      </c>
      <c r="K9194" t="n">
        <v>0</v>
      </c>
      <c r="L9194" t="n">
        <v>0</v>
      </c>
      <c r="M9194" t="n">
        <v>0</v>
      </c>
      <c r="N9194" t="n">
        <v>0</v>
      </c>
      <c r="O9194" t="n">
        <v>0</v>
      </c>
      <c r="P9194" t="n">
        <v>0</v>
      </c>
      <c r="Q9194" t="n">
        <v>0</v>
      </c>
      <c r="R9194" s="2" t="inlineStr"/>
    </row>
    <row r="9195" ht="15" customHeight="1">
      <c r="A9195" t="inlineStr">
        <is>
          <t>A 50911-2023</t>
        </is>
      </c>
      <c r="B9195" s="1" t="n">
        <v>45218</v>
      </c>
      <c r="C9195" s="1" t="n">
        <v>45222</v>
      </c>
      <c r="D9195" t="inlineStr">
        <is>
          <t>VÄRMLANDS LÄN</t>
        </is>
      </c>
      <c r="E9195" t="inlineStr">
        <is>
          <t>ARVIKA</t>
        </is>
      </c>
      <c r="F9195" t="inlineStr">
        <is>
          <t>Kyrkan</t>
        </is>
      </c>
      <c r="G9195" t="n">
        <v>5.3</v>
      </c>
      <c r="H9195" t="n">
        <v>0</v>
      </c>
      <c r="I9195" t="n">
        <v>0</v>
      </c>
      <c r="J9195" t="n">
        <v>0</v>
      </c>
      <c r="K9195" t="n">
        <v>0</v>
      </c>
      <c r="L9195" t="n">
        <v>0</v>
      </c>
      <c r="M9195" t="n">
        <v>0</v>
      </c>
      <c r="N9195" t="n">
        <v>0</v>
      </c>
      <c r="O9195" t="n">
        <v>0</v>
      </c>
      <c r="P9195" t="n">
        <v>0</v>
      </c>
      <c r="Q9195" t="n">
        <v>0</v>
      </c>
      <c r="R9195" s="2" t="inlineStr"/>
    </row>
    <row r="9196" ht="15" customHeight="1">
      <c r="A9196" t="inlineStr">
        <is>
          <t>A 50857-2023</t>
        </is>
      </c>
      <c r="B9196" s="1" t="n">
        <v>45218</v>
      </c>
      <c r="C9196" s="1" t="n">
        <v>45222</v>
      </c>
      <c r="D9196" t="inlineStr">
        <is>
          <t>VÄRMLANDS LÄN</t>
        </is>
      </c>
      <c r="E9196" t="inlineStr">
        <is>
          <t>ARVIKA</t>
        </is>
      </c>
      <c r="G9196" t="n">
        <v>0.9</v>
      </c>
      <c r="H9196" t="n">
        <v>0</v>
      </c>
      <c r="I9196" t="n">
        <v>0</v>
      </c>
      <c r="J9196" t="n">
        <v>0</v>
      </c>
      <c r="K9196" t="n">
        <v>0</v>
      </c>
      <c r="L9196" t="n">
        <v>0</v>
      </c>
      <c r="M9196" t="n">
        <v>0</v>
      </c>
      <c r="N9196" t="n">
        <v>0</v>
      </c>
      <c r="O9196" t="n">
        <v>0</v>
      </c>
      <c r="P9196" t="n">
        <v>0</v>
      </c>
      <c r="Q9196" t="n">
        <v>0</v>
      </c>
      <c r="R9196" s="2" t="inlineStr"/>
    </row>
    <row r="9197" ht="15" customHeight="1">
      <c r="A9197" t="inlineStr">
        <is>
          <t>A 50941-2023</t>
        </is>
      </c>
      <c r="B9197" s="1" t="n">
        <v>45218</v>
      </c>
      <c r="C9197" s="1" t="n">
        <v>45222</v>
      </c>
      <c r="D9197" t="inlineStr">
        <is>
          <t>VÄRMLANDS LÄN</t>
        </is>
      </c>
      <c r="E9197" t="inlineStr">
        <is>
          <t>ÅRJÄNG</t>
        </is>
      </c>
      <c r="G9197" t="n">
        <v>1.1</v>
      </c>
      <c r="H9197" t="n">
        <v>0</v>
      </c>
      <c r="I9197" t="n">
        <v>0</v>
      </c>
      <c r="J9197" t="n">
        <v>0</v>
      </c>
      <c r="K9197" t="n">
        <v>0</v>
      </c>
      <c r="L9197" t="n">
        <v>0</v>
      </c>
      <c r="M9197" t="n">
        <v>0</v>
      </c>
      <c r="N9197" t="n">
        <v>0</v>
      </c>
      <c r="O9197" t="n">
        <v>0</v>
      </c>
      <c r="P9197" t="n">
        <v>0</v>
      </c>
      <c r="Q9197" t="n">
        <v>0</v>
      </c>
      <c r="R9197" s="2" t="inlineStr"/>
    </row>
    <row r="9198" ht="15" customHeight="1">
      <c r="A9198" t="inlineStr">
        <is>
          <t>A 51215-2023</t>
        </is>
      </c>
      <c r="B9198" s="1" t="n">
        <v>45219</v>
      </c>
      <c r="C9198" s="1" t="n">
        <v>45222</v>
      </c>
      <c r="D9198" t="inlineStr">
        <is>
          <t>VÄRMLANDS LÄN</t>
        </is>
      </c>
      <c r="E9198" t="inlineStr">
        <is>
          <t>TORSBY</t>
        </is>
      </c>
      <c r="G9198" t="n">
        <v>2.5</v>
      </c>
      <c r="H9198" t="n">
        <v>0</v>
      </c>
      <c r="I9198" t="n">
        <v>0</v>
      </c>
      <c r="J9198" t="n">
        <v>0</v>
      </c>
      <c r="K9198" t="n">
        <v>0</v>
      </c>
      <c r="L9198" t="n">
        <v>0</v>
      </c>
      <c r="M9198" t="n">
        <v>0</v>
      </c>
      <c r="N9198" t="n">
        <v>0</v>
      </c>
      <c r="O9198" t="n">
        <v>0</v>
      </c>
      <c r="P9198" t="n">
        <v>0</v>
      </c>
      <c r="Q9198" t="n">
        <v>0</v>
      </c>
      <c r="R9198" s="2" t="inlineStr"/>
    </row>
    <row r="9199">
      <c r="A9199" t="inlineStr">
        <is>
          <t>A 51235-2023</t>
        </is>
      </c>
      <c r="B9199" s="1" t="n">
        <v>45219</v>
      </c>
      <c r="C9199" s="1" t="n">
        <v>45222</v>
      </c>
      <c r="D9199" t="inlineStr">
        <is>
          <t>VÄRMLANDS LÄN</t>
        </is>
      </c>
      <c r="E9199" t="inlineStr">
        <is>
          <t>STORFORS</t>
        </is>
      </c>
      <c r="G9199" t="n">
        <v>1.2</v>
      </c>
      <c r="H9199" t="n">
        <v>0</v>
      </c>
      <c r="I9199" t="n">
        <v>0</v>
      </c>
      <c r="J9199" t="n">
        <v>0</v>
      </c>
      <c r="K9199" t="n">
        <v>0</v>
      </c>
      <c r="L9199" t="n">
        <v>0</v>
      </c>
      <c r="M9199" t="n">
        <v>0</v>
      </c>
      <c r="N9199" t="n">
        <v>0</v>
      </c>
      <c r="O9199" t="n">
        <v>0</v>
      </c>
      <c r="P9199" t="n">
        <v>0</v>
      </c>
      <c r="Q9199" t="n">
        <v>0</v>
      </c>
      <c r="R9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2023-10-23T05:58:09Z</dcterms:created>
  <dcterms:modified xmlns:dcterms="http://purl.org/dc/terms/" xmlns:xsi="http://www.w3.org/2001/XMLSchema-instance" xsi:type="dcterms:W3CDTF">2023-10-23T05:58:12Z</dcterms:modified>
</cp:coreProperties>
</file>