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8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45212</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HYPERLINK("https://klasma.github.io/Logging_1765/karta/A 25557-2019 karta.png", "A 25557-2019")</f>
        <v/>
      </c>
      <c r="U2">
        <f>HYPERLINK("https://klasma.github.io/Logging_1765/knärot/A 25557-2019 knärot.png", "A 25557-2019")</f>
        <v/>
      </c>
      <c r="V2">
        <f>HYPERLINK("https://klasma.github.io/Logging_1765/klagomål/A 25557-2019 klagomål.docx", "A 25557-2019")</f>
        <v/>
      </c>
      <c r="W2">
        <f>HYPERLINK("https://klasma.github.io/Logging_1765/klagomålsmail/A 25557-2019 klagomålsmail.docx", "A 25557-2019")</f>
        <v/>
      </c>
      <c r="X2">
        <f>HYPERLINK("https://klasma.github.io/Logging_1765/tillsyn/A 25557-2019 tillsyn.docx", "A 25557-2019")</f>
        <v/>
      </c>
      <c r="Y2">
        <f>HYPERLINK("https://klasma.github.io/Logging_1765/tillsynsmail/A 25557-2019 tillsynsmail.docx", "A 25557-2019")</f>
        <v/>
      </c>
    </row>
    <row r="3" ht="15" customHeight="1">
      <c r="A3" t="inlineStr">
        <is>
          <t>A 48361-2020</t>
        </is>
      </c>
      <c r="B3" s="1" t="n">
        <v>44102</v>
      </c>
      <c r="C3" s="1" t="n">
        <v>45212</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HYPERLINK("https://klasma.github.io/Logging_1737/karta/A 48361-2020 karta.png", "A 48361-2020")</f>
        <v/>
      </c>
      <c r="U3">
        <f>HYPERLINK("https://klasma.github.io/Logging_1737/knärot/A 48361-2020 knärot.png", "A 48361-2020")</f>
        <v/>
      </c>
      <c r="V3">
        <f>HYPERLINK("https://klasma.github.io/Logging_1737/klagomål/A 48361-2020 klagomål.docx", "A 48361-2020")</f>
        <v/>
      </c>
      <c r="W3">
        <f>HYPERLINK("https://klasma.github.io/Logging_1737/klagomålsmail/A 48361-2020 klagomålsmail.docx", "A 48361-2020")</f>
        <v/>
      </c>
      <c r="X3">
        <f>HYPERLINK("https://klasma.github.io/Logging_1737/tillsyn/A 48361-2020 tillsyn.docx", "A 48361-2020")</f>
        <v/>
      </c>
      <c r="Y3">
        <f>HYPERLINK("https://klasma.github.io/Logging_1737/tillsynsmail/A 48361-2020 tillsynsmail.docx", "A 48361-2020")</f>
        <v/>
      </c>
    </row>
    <row r="4" ht="15" customHeight="1">
      <c r="A4" t="inlineStr">
        <is>
          <t>A 32644-2020</t>
        </is>
      </c>
      <c r="B4" s="1" t="n">
        <v>44019</v>
      </c>
      <c r="C4" s="1" t="n">
        <v>45212</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HYPERLINK("https://klasma.github.io/Logging_1737/karta/A 32644-2020 karta.png", "A 32644-2020")</f>
        <v/>
      </c>
      <c r="U4">
        <f>HYPERLINK("https://klasma.github.io/Logging_1737/knärot/A 32644-2020 knärot.png", "A 32644-2020")</f>
        <v/>
      </c>
      <c r="V4">
        <f>HYPERLINK("https://klasma.github.io/Logging_1737/klagomål/A 32644-2020 klagomål.docx", "A 32644-2020")</f>
        <v/>
      </c>
      <c r="W4">
        <f>HYPERLINK("https://klasma.github.io/Logging_1737/klagomålsmail/A 32644-2020 klagomålsmail.docx", "A 32644-2020")</f>
        <v/>
      </c>
      <c r="X4">
        <f>HYPERLINK("https://klasma.github.io/Logging_1737/tillsyn/A 32644-2020 tillsyn.docx", "A 32644-2020")</f>
        <v/>
      </c>
      <c r="Y4">
        <f>HYPERLINK("https://klasma.github.io/Logging_1737/tillsynsmail/A 32644-2020 tillsynsmail.docx", "A 32644-2020")</f>
        <v/>
      </c>
    </row>
    <row r="5" ht="15" customHeight="1">
      <c r="A5" t="inlineStr">
        <is>
          <t>A 46794-2021</t>
        </is>
      </c>
      <c r="B5" s="1" t="n">
        <v>44445</v>
      </c>
      <c r="C5" s="1" t="n">
        <v>45212</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HYPERLINK("https://klasma.github.io/Logging_1737/karta/A 46794-2021 karta.png", "A 46794-2021")</f>
        <v/>
      </c>
      <c r="V5">
        <f>HYPERLINK("https://klasma.github.io/Logging_1737/klagomål/A 46794-2021 klagomål.docx", "A 46794-2021")</f>
        <v/>
      </c>
      <c r="W5">
        <f>HYPERLINK("https://klasma.github.io/Logging_1737/klagomålsmail/A 46794-2021 klagomålsmail.docx", "A 46794-2021")</f>
        <v/>
      </c>
      <c r="X5">
        <f>HYPERLINK("https://klasma.github.io/Logging_1737/tillsyn/A 46794-2021 tillsyn.docx", "A 46794-2021")</f>
        <v/>
      </c>
      <c r="Y5">
        <f>HYPERLINK("https://klasma.github.io/Logging_1737/tillsynsmail/A 46794-2021 tillsynsmail.docx", "A 46794-2021")</f>
        <v/>
      </c>
    </row>
    <row r="6" ht="15" customHeight="1">
      <c r="A6" t="inlineStr">
        <is>
          <t>A 63190-2018</t>
        </is>
      </c>
      <c r="B6" s="1" t="n">
        <v>43418</v>
      </c>
      <c r="C6" s="1" t="n">
        <v>45212</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HYPERLINK("https://klasma.github.io/Logging_1730/karta/A 63190-2018 karta.png", "A 63190-2018")</f>
        <v/>
      </c>
      <c r="V6">
        <f>HYPERLINK("https://klasma.github.io/Logging_1730/klagomål/A 63190-2018 klagomål.docx", "A 63190-2018")</f>
        <v/>
      </c>
      <c r="W6">
        <f>HYPERLINK("https://klasma.github.io/Logging_1730/klagomålsmail/A 63190-2018 klagomålsmail.docx", "A 63190-2018")</f>
        <v/>
      </c>
      <c r="X6">
        <f>HYPERLINK("https://klasma.github.io/Logging_1730/tillsyn/A 63190-2018 tillsyn.docx", "A 63190-2018")</f>
        <v/>
      </c>
      <c r="Y6">
        <f>HYPERLINK("https://klasma.github.io/Logging_1730/tillsynsmail/A 63190-2018 tillsynsmail.docx", "A 63190-2018")</f>
        <v/>
      </c>
    </row>
    <row r="7" ht="15" customHeight="1">
      <c r="A7" t="inlineStr">
        <is>
          <t>A 40934-2020</t>
        </is>
      </c>
      <c r="B7" s="1" t="n">
        <v>44070</v>
      </c>
      <c r="C7" s="1" t="n">
        <v>45212</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HYPERLINK("https://klasma.github.io/Logging_1780/karta/A 40934-2020 karta.png", "A 40934-2020")</f>
        <v/>
      </c>
      <c r="U7">
        <f>HYPERLINK("https://klasma.github.io/Logging_1780/knärot/A 40934-2020 knärot.png", "A 40934-2020")</f>
        <v/>
      </c>
      <c r="V7">
        <f>HYPERLINK("https://klasma.github.io/Logging_1780/klagomål/A 40934-2020 klagomål.docx", "A 40934-2020")</f>
        <v/>
      </c>
      <c r="W7">
        <f>HYPERLINK("https://klasma.github.io/Logging_1780/klagomålsmail/A 40934-2020 klagomålsmail.docx", "A 40934-2020")</f>
        <v/>
      </c>
      <c r="X7">
        <f>HYPERLINK("https://klasma.github.io/Logging_1780/tillsyn/A 40934-2020 tillsyn.docx", "A 40934-2020")</f>
        <v/>
      </c>
      <c r="Y7">
        <f>HYPERLINK("https://klasma.github.io/Logging_1780/tillsynsmail/A 40934-2020 tillsynsmail.docx", "A 40934-2020")</f>
        <v/>
      </c>
    </row>
    <row r="8" ht="15" customHeight="1">
      <c r="A8" t="inlineStr">
        <is>
          <t>A 47667-2020</t>
        </is>
      </c>
      <c r="B8" s="1" t="n">
        <v>44096</v>
      </c>
      <c r="C8" s="1" t="n">
        <v>45212</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HYPERLINK("https://klasma.github.io/Logging_1783/karta/A 47667-2020 karta.png", "A 47667-2020")</f>
        <v/>
      </c>
      <c r="V8">
        <f>HYPERLINK("https://klasma.github.io/Logging_1783/klagomål/A 47667-2020 klagomål.docx", "A 47667-2020")</f>
        <v/>
      </c>
      <c r="W8">
        <f>HYPERLINK("https://klasma.github.io/Logging_1783/klagomålsmail/A 47667-2020 klagomålsmail.docx", "A 47667-2020")</f>
        <v/>
      </c>
      <c r="X8">
        <f>HYPERLINK("https://klasma.github.io/Logging_1783/tillsyn/A 47667-2020 tillsyn.docx", "A 47667-2020")</f>
        <v/>
      </c>
      <c r="Y8">
        <f>HYPERLINK("https://klasma.github.io/Logging_1783/tillsynsmail/A 47667-2020 tillsynsmail.docx", "A 47667-2020")</f>
        <v/>
      </c>
    </row>
    <row r="9" ht="15" customHeight="1">
      <c r="A9" t="inlineStr">
        <is>
          <t>A 38897-2022</t>
        </is>
      </c>
      <c r="B9" s="1" t="n">
        <v>44816</v>
      </c>
      <c r="C9" s="1" t="n">
        <v>45212</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HYPERLINK("https://klasma.github.io/Logging_1782/karta/A 38897-2022 karta.png", "A 38897-2022")</f>
        <v/>
      </c>
      <c r="U9">
        <f>HYPERLINK("https://klasma.github.io/Logging_1782/knärot/A 38897-2022 knärot.png", "A 38897-2022")</f>
        <v/>
      </c>
      <c r="V9">
        <f>HYPERLINK("https://klasma.github.io/Logging_1782/klagomål/A 38897-2022 klagomål.docx", "A 38897-2022")</f>
        <v/>
      </c>
      <c r="W9">
        <f>HYPERLINK("https://klasma.github.io/Logging_1782/klagomålsmail/A 38897-2022 klagomålsmail.docx", "A 38897-2022")</f>
        <v/>
      </c>
      <c r="X9">
        <f>HYPERLINK("https://klasma.github.io/Logging_1782/tillsyn/A 38897-2022 tillsyn.docx", "A 38897-2022")</f>
        <v/>
      </c>
      <c r="Y9">
        <f>HYPERLINK("https://klasma.github.io/Logging_1782/tillsynsmail/A 38897-2022 tillsynsmail.docx", "A 38897-2022")</f>
        <v/>
      </c>
    </row>
    <row r="10" ht="15" customHeight="1">
      <c r="A10" t="inlineStr">
        <is>
          <t>A 43019-2021</t>
        </is>
      </c>
      <c r="B10" s="1" t="n">
        <v>44431</v>
      </c>
      <c r="C10" s="1" t="n">
        <v>45212</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HYPERLINK("https://klasma.github.io/Logging_1737/karta/A 43019-2021 karta.png", "A 43019-2021")</f>
        <v/>
      </c>
      <c r="V10">
        <f>HYPERLINK("https://klasma.github.io/Logging_1737/klagomål/A 43019-2021 klagomål.docx", "A 43019-2021")</f>
        <v/>
      </c>
      <c r="W10">
        <f>HYPERLINK("https://klasma.github.io/Logging_1737/klagomålsmail/A 43019-2021 klagomålsmail.docx", "A 43019-2021")</f>
        <v/>
      </c>
      <c r="X10">
        <f>HYPERLINK("https://klasma.github.io/Logging_1737/tillsyn/A 43019-2021 tillsyn.docx", "A 43019-2021")</f>
        <v/>
      </c>
      <c r="Y10">
        <f>HYPERLINK("https://klasma.github.io/Logging_1737/tillsynsmail/A 43019-2021 tillsynsmail.docx", "A 43019-2021")</f>
        <v/>
      </c>
    </row>
    <row r="11" ht="15" customHeight="1">
      <c r="A11" t="inlineStr">
        <is>
          <t>A 41379-2022</t>
        </is>
      </c>
      <c r="B11" s="1" t="n">
        <v>44824</v>
      </c>
      <c r="C11" s="1" t="n">
        <v>45212</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HYPERLINK("https://klasma.github.io/Logging_1765/karta/A 41379-2022 karta.png", "A 41379-2022")</f>
        <v/>
      </c>
      <c r="V11">
        <f>HYPERLINK("https://klasma.github.io/Logging_1765/klagomål/A 41379-2022 klagomål.docx", "A 41379-2022")</f>
        <v/>
      </c>
      <c r="W11">
        <f>HYPERLINK("https://klasma.github.io/Logging_1765/klagomålsmail/A 41379-2022 klagomålsmail.docx", "A 41379-2022")</f>
        <v/>
      </c>
      <c r="X11">
        <f>HYPERLINK("https://klasma.github.io/Logging_1765/tillsyn/A 41379-2022 tillsyn.docx", "A 41379-2022")</f>
        <v/>
      </c>
      <c r="Y11">
        <f>HYPERLINK("https://klasma.github.io/Logging_1765/tillsynsmail/A 41379-2022 tillsynsmail.docx", "A 41379-2022")</f>
        <v/>
      </c>
    </row>
    <row r="12" ht="15" customHeight="1">
      <c r="A12" t="inlineStr">
        <is>
          <t>A 24064-2019</t>
        </is>
      </c>
      <c r="B12" s="1" t="n">
        <v>43598</v>
      </c>
      <c r="C12" s="1" t="n">
        <v>45212</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HYPERLINK("https://klasma.github.io/Logging_1785/karta/A 24064-2019 karta.png", "A 24064-2019")</f>
        <v/>
      </c>
      <c r="V12">
        <f>HYPERLINK("https://klasma.github.io/Logging_1785/klagomål/A 24064-2019 klagomål.docx", "A 24064-2019")</f>
        <v/>
      </c>
      <c r="W12">
        <f>HYPERLINK("https://klasma.github.io/Logging_1785/klagomålsmail/A 24064-2019 klagomålsmail.docx", "A 24064-2019")</f>
        <v/>
      </c>
      <c r="X12">
        <f>HYPERLINK("https://klasma.github.io/Logging_1785/tillsyn/A 24064-2019 tillsyn.docx", "A 24064-2019")</f>
        <v/>
      </c>
      <c r="Y12">
        <f>HYPERLINK("https://klasma.github.io/Logging_1785/tillsynsmail/A 24064-2019 tillsynsmail.docx", "A 24064-2019")</f>
        <v/>
      </c>
    </row>
    <row r="13" ht="15" customHeight="1">
      <c r="A13" t="inlineStr">
        <is>
          <t>A 26495-2020</t>
        </is>
      </c>
      <c r="B13" s="1" t="n">
        <v>43987</v>
      </c>
      <c r="C13" s="1" t="n">
        <v>45212</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HYPERLINK("https://klasma.github.io/Logging_1784/karta/A 26495-2020 karta.png", "A 26495-2020")</f>
        <v/>
      </c>
      <c r="U13">
        <f>HYPERLINK("https://klasma.github.io/Logging_1784/knärot/A 26495-2020 knärot.png", "A 26495-2020")</f>
        <v/>
      </c>
      <c r="V13">
        <f>HYPERLINK("https://klasma.github.io/Logging_1784/klagomål/A 26495-2020 klagomål.docx", "A 26495-2020")</f>
        <v/>
      </c>
      <c r="W13">
        <f>HYPERLINK("https://klasma.github.io/Logging_1784/klagomålsmail/A 26495-2020 klagomålsmail.docx", "A 26495-2020")</f>
        <v/>
      </c>
      <c r="X13">
        <f>HYPERLINK("https://klasma.github.io/Logging_1784/tillsyn/A 26495-2020 tillsyn.docx", "A 26495-2020")</f>
        <v/>
      </c>
      <c r="Y13">
        <f>HYPERLINK("https://klasma.github.io/Logging_1784/tillsynsmail/A 26495-2020 tillsynsmail.docx", "A 26495-2020")</f>
        <v/>
      </c>
    </row>
    <row r="14" ht="15" customHeight="1">
      <c r="A14" t="inlineStr">
        <is>
          <t>A 12370-2022</t>
        </is>
      </c>
      <c r="B14" s="1" t="n">
        <v>44637</v>
      </c>
      <c r="C14" s="1" t="n">
        <v>45212</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HYPERLINK("https://klasma.github.io/Logging_1737/karta/A 12370-2022 karta.png", "A 12370-2022")</f>
        <v/>
      </c>
      <c r="V14">
        <f>HYPERLINK("https://klasma.github.io/Logging_1737/klagomål/A 12370-2022 klagomål.docx", "A 12370-2022")</f>
        <v/>
      </c>
      <c r="W14">
        <f>HYPERLINK("https://klasma.github.io/Logging_1737/klagomålsmail/A 12370-2022 klagomålsmail.docx", "A 12370-2022")</f>
        <v/>
      </c>
      <c r="X14">
        <f>HYPERLINK("https://klasma.github.io/Logging_1737/tillsyn/A 12370-2022 tillsyn.docx", "A 12370-2022")</f>
        <v/>
      </c>
      <c r="Y14">
        <f>HYPERLINK("https://klasma.github.io/Logging_1737/tillsynsmail/A 12370-2022 tillsynsmail.docx", "A 12370-2022")</f>
        <v/>
      </c>
    </row>
    <row r="15" ht="15" customHeight="1">
      <c r="A15" t="inlineStr">
        <is>
          <t>A 60949-2018</t>
        </is>
      </c>
      <c r="B15" s="1" t="n">
        <v>43423</v>
      </c>
      <c r="C15" s="1" t="n">
        <v>45212</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HYPERLINK("https://klasma.github.io/Logging_1730/karta/A 60949-2018 karta.png", "A 60949-2018")</f>
        <v/>
      </c>
      <c r="V15">
        <f>HYPERLINK("https://klasma.github.io/Logging_1730/klagomål/A 60949-2018 klagomål.docx", "A 60949-2018")</f>
        <v/>
      </c>
      <c r="W15">
        <f>HYPERLINK("https://klasma.github.io/Logging_1730/klagomålsmail/A 60949-2018 klagomålsmail.docx", "A 60949-2018")</f>
        <v/>
      </c>
      <c r="X15">
        <f>HYPERLINK("https://klasma.github.io/Logging_1730/tillsyn/A 60949-2018 tillsyn.docx", "A 60949-2018")</f>
        <v/>
      </c>
      <c r="Y15">
        <f>HYPERLINK("https://klasma.github.io/Logging_1730/tillsynsmail/A 60949-2018 tillsynsmail.docx", "A 60949-2018")</f>
        <v/>
      </c>
    </row>
    <row r="16" ht="15" customHeight="1">
      <c r="A16" t="inlineStr">
        <is>
          <t>A 10996-2020</t>
        </is>
      </c>
      <c r="B16" s="1" t="n">
        <v>43889</v>
      </c>
      <c r="C16" s="1" t="n">
        <v>45212</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HYPERLINK("https://klasma.github.io/Logging_1782/karta/A 10996-2020 karta.png", "A 10996-2020")</f>
        <v/>
      </c>
      <c r="U16">
        <f>HYPERLINK("https://klasma.github.io/Logging_1782/knärot/A 10996-2020 knärot.png", "A 10996-2020")</f>
        <v/>
      </c>
      <c r="V16">
        <f>HYPERLINK("https://klasma.github.io/Logging_1782/klagomål/A 10996-2020 klagomål.docx", "A 10996-2020")</f>
        <v/>
      </c>
      <c r="W16">
        <f>HYPERLINK("https://klasma.github.io/Logging_1782/klagomålsmail/A 10996-2020 klagomålsmail.docx", "A 10996-2020")</f>
        <v/>
      </c>
      <c r="X16">
        <f>HYPERLINK("https://klasma.github.io/Logging_1782/tillsyn/A 10996-2020 tillsyn.docx", "A 10996-2020")</f>
        <v/>
      </c>
      <c r="Y16">
        <f>HYPERLINK("https://klasma.github.io/Logging_1782/tillsynsmail/A 10996-2020 tillsynsmail.docx", "A 10996-2020")</f>
        <v/>
      </c>
    </row>
    <row r="17" ht="15" customHeight="1">
      <c r="A17" t="inlineStr">
        <is>
          <t>A 31203-2022</t>
        </is>
      </c>
      <c r="B17" s="1" t="n">
        <v>44770</v>
      </c>
      <c r="C17" s="1" t="n">
        <v>45212</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HYPERLINK("https://klasma.github.io/Logging_1737/karta/A 31203-2022 karta.png", "A 31203-2022")</f>
        <v/>
      </c>
      <c r="V17">
        <f>HYPERLINK("https://klasma.github.io/Logging_1737/klagomål/A 31203-2022 klagomål.docx", "A 31203-2022")</f>
        <v/>
      </c>
      <c r="W17">
        <f>HYPERLINK("https://klasma.github.io/Logging_1737/klagomålsmail/A 31203-2022 klagomålsmail.docx", "A 31203-2022")</f>
        <v/>
      </c>
      <c r="X17">
        <f>HYPERLINK("https://klasma.github.io/Logging_1737/tillsyn/A 31203-2022 tillsyn.docx", "A 31203-2022")</f>
        <v/>
      </c>
      <c r="Y17">
        <f>HYPERLINK("https://klasma.github.io/Logging_1737/tillsynsmail/A 31203-2022 tillsynsmail.docx", "A 31203-2022")</f>
        <v/>
      </c>
    </row>
    <row r="18" ht="15" customHeight="1">
      <c r="A18" t="inlineStr">
        <is>
          <t>A 38899-2022</t>
        </is>
      </c>
      <c r="B18" s="1" t="n">
        <v>44816</v>
      </c>
      <c r="C18" s="1" t="n">
        <v>45212</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HYPERLINK("https://klasma.github.io/Logging_1782/karta/A 38899-2022 karta.png", "A 38899-2022")</f>
        <v/>
      </c>
      <c r="U18">
        <f>HYPERLINK("https://klasma.github.io/Logging_1782/knärot/A 38899-2022 knärot.png", "A 38899-2022")</f>
        <v/>
      </c>
      <c r="V18">
        <f>HYPERLINK("https://klasma.github.io/Logging_1782/klagomål/A 38899-2022 klagomål.docx", "A 38899-2022")</f>
        <v/>
      </c>
      <c r="W18">
        <f>HYPERLINK("https://klasma.github.io/Logging_1782/klagomålsmail/A 38899-2022 klagomålsmail.docx", "A 38899-2022")</f>
        <v/>
      </c>
      <c r="X18">
        <f>HYPERLINK("https://klasma.github.io/Logging_1782/tillsyn/A 38899-2022 tillsyn.docx", "A 38899-2022")</f>
        <v/>
      </c>
      <c r="Y18">
        <f>HYPERLINK("https://klasma.github.io/Logging_1782/tillsynsmail/A 38899-2022 tillsynsmail.docx", "A 38899-2022")</f>
        <v/>
      </c>
    </row>
    <row r="19" ht="15" customHeight="1">
      <c r="A19" t="inlineStr">
        <is>
          <t>A 42488-2022</t>
        </is>
      </c>
      <c r="B19" s="1" t="n">
        <v>44831</v>
      </c>
      <c r="C19" s="1" t="n">
        <v>45212</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HYPERLINK("https://klasma.github.io/Logging_1737/karta/A 42488-2022 karta.png", "A 42488-2022")</f>
        <v/>
      </c>
      <c r="U19">
        <f>HYPERLINK("https://klasma.github.io/Logging_1737/knärot/A 42488-2022 knärot.png", "A 42488-2022")</f>
        <v/>
      </c>
      <c r="V19">
        <f>HYPERLINK("https://klasma.github.io/Logging_1737/klagomål/A 42488-2022 klagomål.docx", "A 42488-2022")</f>
        <v/>
      </c>
      <c r="W19">
        <f>HYPERLINK("https://klasma.github.io/Logging_1737/klagomålsmail/A 42488-2022 klagomålsmail.docx", "A 42488-2022")</f>
        <v/>
      </c>
      <c r="X19">
        <f>HYPERLINK("https://klasma.github.io/Logging_1737/tillsyn/A 42488-2022 tillsyn.docx", "A 42488-2022")</f>
        <v/>
      </c>
      <c r="Y19">
        <f>HYPERLINK("https://klasma.github.io/Logging_1737/tillsynsmail/A 42488-2022 tillsynsmail.docx", "A 42488-2022")</f>
        <v/>
      </c>
    </row>
    <row r="20" ht="15" customHeight="1">
      <c r="A20" t="inlineStr">
        <is>
          <t>A 9075-2023</t>
        </is>
      </c>
      <c r="B20" s="1" t="n">
        <v>44979</v>
      </c>
      <c r="C20" s="1" t="n">
        <v>45212</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HYPERLINK("https://klasma.github.io/Logging_1737/karta/A 9075-2023 karta.png", "A 9075-2023")</f>
        <v/>
      </c>
      <c r="V20">
        <f>HYPERLINK("https://klasma.github.io/Logging_1737/klagomål/A 9075-2023 klagomål.docx", "A 9075-2023")</f>
        <v/>
      </c>
      <c r="W20">
        <f>HYPERLINK("https://klasma.github.io/Logging_1737/klagomålsmail/A 9075-2023 klagomålsmail.docx", "A 9075-2023")</f>
        <v/>
      </c>
      <c r="X20">
        <f>HYPERLINK("https://klasma.github.io/Logging_1737/tillsyn/A 9075-2023 tillsyn.docx", "A 9075-2023")</f>
        <v/>
      </c>
      <c r="Y20">
        <f>HYPERLINK("https://klasma.github.io/Logging_1737/tillsynsmail/A 9075-2023 tillsynsmail.docx", "A 9075-2023")</f>
        <v/>
      </c>
    </row>
    <row r="21" ht="15" customHeight="1">
      <c r="A21" t="inlineStr">
        <is>
          <t>A 39627-2023</t>
        </is>
      </c>
      <c r="B21" s="1" t="n">
        <v>45167</v>
      </c>
      <c r="C21" s="1" t="n">
        <v>45212</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HYPERLINK("https://klasma.github.io/Logging_1783/karta/A 39627-2023 karta.png", "A 39627-2023")</f>
        <v/>
      </c>
      <c r="V21">
        <f>HYPERLINK("https://klasma.github.io/Logging_1783/klagomål/A 39627-2023 klagomål.docx", "A 39627-2023")</f>
        <v/>
      </c>
      <c r="W21">
        <f>HYPERLINK("https://klasma.github.io/Logging_1783/klagomålsmail/A 39627-2023 klagomålsmail.docx", "A 39627-2023")</f>
        <v/>
      </c>
      <c r="X21">
        <f>HYPERLINK("https://klasma.github.io/Logging_1783/tillsyn/A 39627-2023 tillsyn.docx", "A 39627-2023")</f>
        <v/>
      </c>
      <c r="Y21">
        <f>HYPERLINK("https://klasma.github.io/Logging_1783/tillsynsmail/A 39627-2023 tillsynsmail.docx", "A 39627-2023")</f>
        <v/>
      </c>
    </row>
    <row r="22" ht="15" customHeight="1">
      <c r="A22" t="inlineStr">
        <is>
          <t>A 26793-2020</t>
        </is>
      </c>
      <c r="B22" s="1" t="n">
        <v>43990</v>
      </c>
      <c r="C22" s="1" t="n">
        <v>45212</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HYPERLINK("https://klasma.github.io/Logging_1737/karta/A 26793-2020 karta.png", "A 26793-2020")</f>
        <v/>
      </c>
      <c r="V22">
        <f>HYPERLINK("https://klasma.github.io/Logging_1737/klagomål/A 26793-2020 klagomål.docx", "A 26793-2020")</f>
        <v/>
      </c>
      <c r="W22">
        <f>HYPERLINK("https://klasma.github.io/Logging_1737/klagomålsmail/A 26793-2020 klagomålsmail.docx", "A 26793-2020")</f>
        <v/>
      </c>
      <c r="X22">
        <f>HYPERLINK("https://klasma.github.io/Logging_1737/tillsyn/A 26793-2020 tillsyn.docx", "A 26793-2020")</f>
        <v/>
      </c>
      <c r="Y22">
        <f>HYPERLINK("https://klasma.github.io/Logging_1737/tillsynsmail/A 26793-2020 tillsynsmail.docx", "A 26793-2020")</f>
        <v/>
      </c>
    </row>
    <row r="23" ht="15" customHeight="1">
      <c r="A23" t="inlineStr">
        <is>
          <t>A 60716-2021</t>
        </is>
      </c>
      <c r="B23" s="1" t="n">
        <v>44496</v>
      </c>
      <c r="C23" s="1" t="n">
        <v>45212</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HYPERLINK("https://klasma.github.io/Logging_1737/karta/A 60716-2021 karta.png", "A 60716-2021")</f>
        <v/>
      </c>
      <c r="V23">
        <f>HYPERLINK("https://klasma.github.io/Logging_1737/klagomål/A 60716-2021 klagomål.docx", "A 60716-2021")</f>
        <v/>
      </c>
      <c r="W23">
        <f>HYPERLINK("https://klasma.github.io/Logging_1737/klagomålsmail/A 60716-2021 klagomålsmail.docx", "A 60716-2021")</f>
        <v/>
      </c>
      <c r="X23">
        <f>HYPERLINK("https://klasma.github.io/Logging_1737/tillsyn/A 60716-2021 tillsyn.docx", "A 60716-2021")</f>
        <v/>
      </c>
      <c r="Y23">
        <f>HYPERLINK("https://klasma.github.io/Logging_1737/tillsynsmail/A 60716-2021 tillsynsmail.docx", "A 60716-2021")</f>
        <v/>
      </c>
    </row>
    <row r="24" ht="15" customHeight="1">
      <c r="A24" t="inlineStr">
        <is>
          <t>A 11246-2022</t>
        </is>
      </c>
      <c r="B24" s="1" t="n">
        <v>44629</v>
      </c>
      <c r="C24" s="1" t="n">
        <v>45212</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HYPERLINK("https://klasma.github.io/Logging_1763/karta/A 11246-2022 karta.png", "A 11246-2022")</f>
        <v/>
      </c>
      <c r="V24">
        <f>HYPERLINK("https://klasma.github.io/Logging_1763/klagomål/A 11246-2022 klagomål.docx", "A 11246-2022")</f>
        <v/>
      </c>
      <c r="W24">
        <f>HYPERLINK("https://klasma.github.io/Logging_1763/klagomålsmail/A 11246-2022 klagomålsmail.docx", "A 11246-2022")</f>
        <v/>
      </c>
      <c r="X24">
        <f>HYPERLINK("https://klasma.github.io/Logging_1763/tillsyn/A 11246-2022 tillsyn.docx", "A 11246-2022")</f>
        <v/>
      </c>
      <c r="Y24">
        <f>HYPERLINK("https://klasma.github.io/Logging_1763/tillsynsmail/A 11246-2022 tillsynsmail.docx", "A 11246-2022")</f>
        <v/>
      </c>
    </row>
    <row r="25" ht="15" customHeight="1">
      <c r="A25" t="inlineStr">
        <is>
          <t>A 13841-2022</t>
        </is>
      </c>
      <c r="B25" s="1" t="n">
        <v>44649</v>
      </c>
      <c r="C25" s="1" t="n">
        <v>45212</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HYPERLINK("https://klasma.github.io/Logging_1765/karta/A 13841-2022 karta.png", "A 13841-2022")</f>
        <v/>
      </c>
      <c r="V25">
        <f>HYPERLINK("https://klasma.github.io/Logging_1765/klagomål/A 13841-2022 klagomål.docx", "A 13841-2022")</f>
        <v/>
      </c>
      <c r="W25">
        <f>HYPERLINK("https://klasma.github.io/Logging_1765/klagomålsmail/A 13841-2022 klagomålsmail.docx", "A 13841-2022")</f>
        <v/>
      </c>
      <c r="X25">
        <f>HYPERLINK("https://klasma.github.io/Logging_1765/tillsyn/A 13841-2022 tillsyn.docx", "A 13841-2022")</f>
        <v/>
      </c>
      <c r="Y25">
        <f>HYPERLINK("https://klasma.github.io/Logging_1765/tillsynsmail/A 13841-2022 tillsynsmail.docx", "A 13841-2022")</f>
        <v/>
      </c>
    </row>
    <row r="26" ht="15" customHeight="1">
      <c r="A26" t="inlineStr">
        <is>
          <t>A 22230-2022</t>
        </is>
      </c>
      <c r="B26" s="1" t="n">
        <v>44712</v>
      </c>
      <c r="C26" s="1" t="n">
        <v>45212</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HYPERLINK("https://klasma.github.io/Logging_1737/karta/A 22230-2022 karta.png", "A 22230-2022")</f>
        <v/>
      </c>
      <c r="U26">
        <f>HYPERLINK("https://klasma.github.io/Logging_1737/knärot/A 22230-2022 knärot.png", "A 22230-2022")</f>
        <v/>
      </c>
      <c r="V26">
        <f>HYPERLINK("https://klasma.github.io/Logging_1737/klagomål/A 22230-2022 klagomål.docx", "A 22230-2022")</f>
        <v/>
      </c>
      <c r="W26">
        <f>HYPERLINK("https://klasma.github.io/Logging_1737/klagomålsmail/A 22230-2022 klagomålsmail.docx", "A 22230-2022")</f>
        <v/>
      </c>
      <c r="X26">
        <f>HYPERLINK("https://klasma.github.io/Logging_1737/tillsyn/A 22230-2022 tillsyn.docx", "A 22230-2022")</f>
        <v/>
      </c>
      <c r="Y26">
        <f>HYPERLINK("https://klasma.github.io/Logging_1737/tillsynsmail/A 22230-2022 tillsynsmail.docx", "A 22230-2022")</f>
        <v/>
      </c>
    </row>
    <row r="27" ht="15" customHeight="1">
      <c r="A27" t="inlineStr">
        <is>
          <t>A 3888-2019</t>
        </is>
      </c>
      <c r="B27" s="1" t="n">
        <v>43482</v>
      </c>
      <c r="C27" s="1" t="n">
        <v>45212</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HYPERLINK("https://klasma.github.io/Logging_1763/karta/A 3888-2019 karta.png", "A 3888-2019")</f>
        <v/>
      </c>
      <c r="V27">
        <f>HYPERLINK("https://klasma.github.io/Logging_1763/klagomål/A 3888-2019 klagomål.docx", "A 3888-2019")</f>
        <v/>
      </c>
      <c r="W27">
        <f>HYPERLINK("https://klasma.github.io/Logging_1763/klagomålsmail/A 3888-2019 klagomålsmail.docx", "A 3888-2019")</f>
        <v/>
      </c>
      <c r="X27">
        <f>HYPERLINK("https://klasma.github.io/Logging_1763/tillsyn/A 3888-2019 tillsyn.docx", "A 3888-2019")</f>
        <v/>
      </c>
      <c r="Y27">
        <f>HYPERLINK("https://klasma.github.io/Logging_1763/tillsynsmail/A 3888-2019 tillsynsmail.docx", "A 3888-2019")</f>
        <v/>
      </c>
    </row>
    <row r="28" ht="15" customHeight="1">
      <c r="A28" t="inlineStr">
        <is>
          <t>A 171-2021</t>
        </is>
      </c>
      <c r="B28" s="1" t="n">
        <v>44200</v>
      </c>
      <c r="C28" s="1" t="n">
        <v>45212</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HYPERLINK("https://klasma.github.io/Logging_1737/karta/A 171-2021 karta.png", "A 171-2021")</f>
        <v/>
      </c>
      <c r="V28">
        <f>HYPERLINK("https://klasma.github.io/Logging_1737/klagomål/A 171-2021 klagomål.docx", "A 171-2021")</f>
        <v/>
      </c>
      <c r="W28">
        <f>HYPERLINK("https://klasma.github.io/Logging_1737/klagomålsmail/A 171-2021 klagomålsmail.docx", "A 171-2021")</f>
        <v/>
      </c>
      <c r="X28">
        <f>HYPERLINK("https://klasma.github.io/Logging_1737/tillsyn/A 171-2021 tillsyn.docx", "A 171-2021")</f>
        <v/>
      </c>
      <c r="Y28">
        <f>HYPERLINK("https://klasma.github.io/Logging_1737/tillsynsmail/A 171-2021 tillsynsmail.docx", "A 171-2021")</f>
        <v/>
      </c>
    </row>
    <row r="29" ht="15" customHeight="1">
      <c r="A29" t="inlineStr">
        <is>
          <t>A 4553-2021</t>
        </is>
      </c>
      <c r="B29" s="1" t="n">
        <v>44224</v>
      </c>
      <c r="C29" s="1" t="n">
        <v>45212</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HYPERLINK("https://klasma.github.io/Logging_1737/karta/A 4553-2021 karta.png", "A 4553-2021")</f>
        <v/>
      </c>
      <c r="V29">
        <f>HYPERLINK("https://klasma.github.io/Logging_1737/klagomål/A 4553-2021 klagomål.docx", "A 4553-2021")</f>
        <v/>
      </c>
      <c r="W29">
        <f>HYPERLINK("https://klasma.github.io/Logging_1737/klagomålsmail/A 4553-2021 klagomålsmail.docx", "A 4553-2021")</f>
        <v/>
      </c>
      <c r="X29">
        <f>HYPERLINK("https://klasma.github.io/Logging_1737/tillsyn/A 4553-2021 tillsyn.docx", "A 4553-2021")</f>
        <v/>
      </c>
      <c r="Y29">
        <f>HYPERLINK("https://klasma.github.io/Logging_1737/tillsynsmail/A 4553-2021 tillsynsmail.docx", "A 4553-2021")</f>
        <v/>
      </c>
    </row>
    <row r="30" ht="15" customHeight="1">
      <c r="A30" t="inlineStr">
        <is>
          <t>A 46698-2021</t>
        </is>
      </c>
      <c r="B30" s="1" t="n">
        <v>44445</v>
      </c>
      <c r="C30" s="1" t="n">
        <v>45212</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HYPERLINK("https://klasma.github.io/Logging_1783/karta/A 46698-2021 karta.png", "A 46698-2021")</f>
        <v/>
      </c>
      <c r="V30">
        <f>HYPERLINK("https://klasma.github.io/Logging_1783/klagomål/A 46698-2021 klagomål.docx", "A 46698-2021")</f>
        <v/>
      </c>
      <c r="W30">
        <f>HYPERLINK("https://klasma.github.io/Logging_1783/klagomålsmail/A 46698-2021 klagomålsmail.docx", "A 46698-2021")</f>
        <v/>
      </c>
      <c r="X30">
        <f>HYPERLINK("https://klasma.github.io/Logging_1783/tillsyn/A 46698-2021 tillsyn.docx", "A 46698-2021")</f>
        <v/>
      </c>
      <c r="Y30">
        <f>HYPERLINK("https://klasma.github.io/Logging_1783/tillsynsmail/A 46698-2021 tillsynsmail.docx", "A 46698-2021")</f>
        <v/>
      </c>
    </row>
    <row r="31" ht="15" customHeight="1">
      <c r="A31" t="inlineStr">
        <is>
          <t>A 3513-2022</t>
        </is>
      </c>
      <c r="B31" s="1" t="n">
        <v>44585</v>
      </c>
      <c r="C31" s="1" t="n">
        <v>45212</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HYPERLINK("https://klasma.github.io/Logging_1765/karta/A 3513-2022 karta.png", "A 3513-2022")</f>
        <v/>
      </c>
      <c r="U31">
        <f>HYPERLINK("https://klasma.github.io/Logging_1765/knärot/A 3513-2022 knärot.png", "A 3513-2022")</f>
        <v/>
      </c>
      <c r="V31">
        <f>HYPERLINK("https://klasma.github.io/Logging_1765/klagomål/A 3513-2022 klagomål.docx", "A 3513-2022")</f>
        <v/>
      </c>
      <c r="W31">
        <f>HYPERLINK("https://klasma.github.io/Logging_1765/klagomålsmail/A 3513-2022 klagomålsmail.docx", "A 3513-2022")</f>
        <v/>
      </c>
      <c r="X31">
        <f>HYPERLINK("https://klasma.github.io/Logging_1765/tillsyn/A 3513-2022 tillsyn.docx", "A 3513-2022")</f>
        <v/>
      </c>
      <c r="Y31">
        <f>HYPERLINK("https://klasma.github.io/Logging_1765/tillsynsmail/A 3513-2022 tillsynsmail.docx", "A 3513-2022")</f>
        <v/>
      </c>
    </row>
    <row r="32" ht="15" customHeight="1">
      <c r="A32" t="inlineStr">
        <is>
          <t>A 44469-2022</t>
        </is>
      </c>
      <c r="B32" s="1" t="n">
        <v>44838</v>
      </c>
      <c r="C32" s="1" t="n">
        <v>45212</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HYPERLINK("https://klasma.github.io/Logging_1780/karta/A 44469-2022 karta.png", "A 44469-2022")</f>
        <v/>
      </c>
      <c r="V32">
        <f>HYPERLINK("https://klasma.github.io/Logging_1780/klagomål/A 44469-2022 klagomål.docx", "A 44469-2022")</f>
        <v/>
      </c>
      <c r="W32">
        <f>HYPERLINK("https://klasma.github.io/Logging_1780/klagomålsmail/A 44469-2022 klagomålsmail.docx", "A 44469-2022")</f>
        <v/>
      </c>
      <c r="X32">
        <f>HYPERLINK("https://klasma.github.io/Logging_1780/tillsyn/A 44469-2022 tillsyn.docx", "A 44469-2022")</f>
        <v/>
      </c>
      <c r="Y32">
        <f>HYPERLINK("https://klasma.github.io/Logging_1780/tillsynsmail/A 44469-2022 tillsynsmail.docx", "A 44469-2022")</f>
        <v/>
      </c>
    </row>
    <row r="33" ht="15" customHeight="1">
      <c r="A33" t="inlineStr">
        <is>
          <t>A 7948-2023</t>
        </is>
      </c>
      <c r="B33" s="1" t="n">
        <v>44970</v>
      </c>
      <c r="C33" s="1" t="n">
        <v>45212</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HYPERLINK("https://klasma.github.io/Logging_1765/karta/A 7948-2023 karta.png", "A 7948-2023")</f>
        <v/>
      </c>
      <c r="V33">
        <f>HYPERLINK("https://klasma.github.io/Logging_1765/klagomål/A 7948-2023 klagomål.docx", "A 7948-2023")</f>
        <v/>
      </c>
      <c r="W33">
        <f>HYPERLINK("https://klasma.github.io/Logging_1765/klagomålsmail/A 7948-2023 klagomålsmail.docx", "A 7948-2023")</f>
        <v/>
      </c>
      <c r="X33">
        <f>HYPERLINK("https://klasma.github.io/Logging_1765/tillsyn/A 7948-2023 tillsyn.docx", "A 7948-2023")</f>
        <v/>
      </c>
      <c r="Y33">
        <f>HYPERLINK("https://klasma.github.io/Logging_1765/tillsynsmail/A 7948-2023 tillsynsmail.docx", "A 7948-2023")</f>
        <v/>
      </c>
    </row>
    <row r="34" ht="15" customHeight="1">
      <c r="A34" t="inlineStr">
        <is>
          <t>A 24663-2023</t>
        </is>
      </c>
      <c r="B34" s="1" t="n">
        <v>45084</v>
      </c>
      <c r="C34" s="1" t="n">
        <v>45212</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HYPERLINK("https://klasma.github.io/Logging_1765/karta/A 24663-2023 karta.png", "A 24663-2023")</f>
        <v/>
      </c>
      <c r="U34">
        <f>HYPERLINK("https://klasma.github.io/Logging_1765/knärot/A 24663-2023 knärot.png", "A 24663-2023")</f>
        <v/>
      </c>
      <c r="V34">
        <f>HYPERLINK("https://klasma.github.io/Logging_1765/klagomål/A 24663-2023 klagomål.docx", "A 24663-2023")</f>
        <v/>
      </c>
      <c r="W34">
        <f>HYPERLINK("https://klasma.github.io/Logging_1765/klagomålsmail/A 24663-2023 klagomålsmail.docx", "A 24663-2023")</f>
        <v/>
      </c>
      <c r="X34">
        <f>HYPERLINK("https://klasma.github.io/Logging_1765/tillsyn/A 24663-2023 tillsyn.docx", "A 24663-2023")</f>
        <v/>
      </c>
      <c r="Y34">
        <f>HYPERLINK("https://klasma.github.io/Logging_1765/tillsynsmail/A 24663-2023 tillsynsmail.docx", "A 24663-2023")</f>
        <v/>
      </c>
    </row>
    <row r="35" ht="15" customHeight="1">
      <c r="A35" t="inlineStr">
        <is>
          <t>A 33920-2019</t>
        </is>
      </c>
      <c r="B35" s="1" t="n">
        <v>43654</v>
      </c>
      <c r="C35" s="1" t="n">
        <v>45212</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HYPERLINK("https://klasma.github.io/Logging_1737/karta/A 33920-2019 karta.png", "A 33920-2019")</f>
        <v/>
      </c>
      <c r="V35">
        <f>HYPERLINK("https://klasma.github.io/Logging_1737/klagomål/A 33920-2019 klagomål.docx", "A 33920-2019")</f>
        <v/>
      </c>
      <c r="W35">
        <f>HYPERLINK("https://klasma.github.io/Logging_1737/klagomålsmail/A 33920-2019 klagomålsmail.docx", "A 33920-2019")</f>
        <v/>
      </c>
      <c r="X35">
        <f>HYPERLINK("https://klasma.github.io/Logging_1737/tillsyn/A 33920-2019 tillsyn.docx", "A 33920-2019")</f>
        <v/>
      </c>
      <c r="Y35">
        <f>HYPERLINK("https://klasma.github.io/Logging_1737/tillsynsmail/A 33920-2019 tillsynsmail.docx", "A 33920-2019")</f>
        <v/>
      </c>
    </row>
    <row r="36" ht="15" customHeight="1">
      <c r="A36" t="inlineStr">
        <is>
          <t>A 730-2020</t>
        </is>
      </c>
      <c r="B36" s="1" t="n">
        <v>43838</v>
      </c>
      <c r="C36" s="1" t="n">
        <v>45212</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HYPERLINK("https://klasma.github.io/Logging_1737/karta/A 730-2020 karta.png", "A 730-2020")</f>
        <v/>
      </c>
      <c r="V36">
        <f>HYPERLINK("https://klasma.github.io/Logging_1737/klagomål/A 730-2020 klagomål.docx", "A 730-2020")</f>
        <v/>
      </c>
      <c r="W36">
        <f>HYPERLINK("https://klasma.github.io/Logging_1737/klagomålsmail/A 730-2020 klagomålsmail.docx", "A 730-2020")</f>
        <v/>
      </c>
      <c r="X36">
        <f>HYPERLINK("https://klasma.github.io/Logging_1737/tillsyn/A 730-2020 tillsyn.docx", "A 730-2020")</f>
        <v/>
      </c>
      <c r="Y36">
        <f>HYPERLINK("https://klasma.github.io/Logging_1737/tillsynsmail/A 730-2020 tillsynsmail.docx", "A 730-2020")</f>
        <v/>
      </c>
    </row>
    <row r="37" ht="15" customHeight="1">
      <c r="A37" t="inlineStr">
        <is>
          <t>A 28168-2021</t>
        </is>
      </c>
      <c r="B37" s="1" t="n">
        <v>44355</v>
      </c>
      <c r="C37" s="1" t="n">
        <v>45212</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HYPERLINK("https://klasma.github.io/Logging_1782/karta/A 28168-2021 karta.png", "A 28168-2021")</f>
        <v/>
      </c>
      <c r="V37">
        <f>HYPERLINK("https://klasma.github.io/Logging_1782/klagomål/A 28168-2021 klagomål.docx", "A 28168-2021")</f>
        <v/>
      </c>
      <c r="W37">
        <f>HYPERLINK("https://klasma.github.io/Logging_1782/klagomålsmail/A 28168-2021 klagomålsmail.docx", "A 28168-2021")</f>
        <v/>
      </c>
      <c r="X37">
        <f>HYPERLINK("https://klasma.github.io/Logging_1782/tillsyn/A 28168-2021 tillsyn.docx", "A 28168-2021")</f>
        <v/>
      </c>
      <c r="Y37">
        <f>HYPERLINK("https://klasma.github.io/Logging_1782/tillsynsmail/A 28168-2021 tillsynsmail.docx", "A 28168-2021")</f>
        <v/>
      </c>
    </row>
    <row r="38" ht="15" customHeight="1">
      <c r="A38" t="inlineStr">
        <is>
          <t>A 35199-2021</t>
        </is>
      </c>
      <c r="B38" s="1" t="n">
        <v>44384</v>
      </c>
      <c r="C38" s="1" t="n">
        <v>45212</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HYPERLINK("https://klasma.github.io/Logging_1737/karta/A 35199-2021 karta.png", "A 35199-2021")</f>
        <v/>
      </c>
      <c r="V38">
        <f>HYPERLINK("https://klasma.github.io/Logging_1737/klagomål/A 35199-2021 klagomål.docx", "A 35199-2021")</f>
        <v/>
      </c>
      <c r="W38">
        <f>HYPERLINK("https://klasma.github.io/Logging_1737/klagomålsmail/A 35199-2021 klagomålsmail.docx", "A 35199-2021")</f>
        <v/>
      </c>
      <c r="X38">
        <f>HYPERLINK("https://klasma.github.io/Logging_1737/tillsyn/A 35199-2021 tillsyn.docx", "A 35199-2021")</f>
        <v/>
      </c>
      <c r="Y38">
        <f>HYPERLINK("https://klasma.github.io/Logging_1737/tillsynsmail/A 35199-2021 tillsynsmail.docx", "A 35199-2021")</f>
        <v/>
      </c>
    </row>
    <row r="39" ht="15" customHeight="1">
      <c r="A39" t="inlineStr">
        <is>
          <t>A 47888-2021</t>
        </is>
      </c>
      <c r="B39" s="1" t="n">
        <v>44448</v>
      </c>
      <c r="C39" s="1" t="n">
        <v>45212</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HYPERLINK("https://klasma.github.io/Logging_1782/karta/A 47888-2021 karta.png", "A 47888-2021")</f>
        <v/>
      </c>
      <c r="V39">
        <f>HYPERLINK("https://klasma.github.io/Logging_1782/klagomål/A 47888-2021 klagomål.docx", "A 47888-2021")</f>
        <v/>
      </c>
      <c r="W39">
        <f>HYPERLINK("https://klasma.github.io/Logging_1782/klagomålsmail/A 47888-2021 klagomålsmail.docx", "A 47888-2021")</f>
        <v/>
      </c>
      <c r="X39">
        <f>HYPERLINK("https://klasma.github.io/Logging_1782/tillsyn/A 47888-2021 tillsyn.docx", "A 47888-2021")</f>
        <v/>
      </c>
      <c r="Y39">
        <f>HYPERLINK("https://klasma.github.io/Logging_1782/tillsynsmail/A 47888-2021 tillsynsmail.docx", "A 47888-2021")</f>
        <v/>
      </c>
    </row>
    <row r="40" ht="15" customHeight="1">
      <c r="A40" t="inlineStr">
        <is>
          <t>A 59864-2021</t>
        </is>
      </c>
      <c r="B40" s="1" t="n">
        <v>44494</v>
      </c>
      <c r="C40" s="1" t="n">
        <v>45212</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HYPERLINK("https://klasma.github.io/Logging_1730/karta/A 59864-2021 karta.png", "A 59864-2021")</f>
        <v/>
      </c>
      <c r="V40">
        <f>HYPERLINK("https://klasma.github.io/Logging_1730/klagomål/A 59864-2021 klagomål.docx", "A 59864-2021")</f>
        <v/>
      </c>
      <c r="W40">
        <f>HYPERLINK("https://klasma.github.io/Logging_1730/klagomålsmail/A 59864-2021 klagomålsmail.docx", "A 59864-2021")</f>
        <v/>
      </c>
      <c r="X40">
        <f>HYPERLINK("https://klasma.github.io/Logging_1730/tillsyn/A 59864-2021 tillsyn.docx", "A 59864-2021")</f>
        <v/>
      </c>
      <c r="Y40">
        <f>HYPERLINK("https://klasma.github.io/Logging_1730/tillsynsmail/A 59864-2021 tillsynsmail.docx", "A 59864-2021")</f>
        <v/>
      </c>
    </row>
    <row r="41" ht="15" customHeight="1">
      <c r="A41" t="inlineStr">
        <is>
          <t>A 66836-2021</t>
        </is>
      </c>
      <c r="B41" s="1" t="n">
        <v>44522</v>
      </c>
      <c r="C41" s="1" t="n">
        <v>45212</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HYPERLINK("https://klasma.github.io/Logging_1737/karta/A 66836-2021 karta.png", "A 66836-2021")</f>
        <v/>
      </c>
      <c r="V41">
        <f>HYPERLINK("https://klasma.github.io/Logging_1737/klagomål/A 66836-2021 klagomål.docx", "A 66836-2021")</f>
        <v/>
      </c>
      <c r="W41">
        <f>HYPERLINK("https://klasma.github.io/Logging_1737/klagomålsmail/A 66836-2021 klagomålsmail.docx", "A 66836-2021")</f>
        <v/>
      </c>
      <c r="X41">
        <f>HYPERLINK("https://klasma.github.io/Logging_1737/tillsyn/A 66836-2021 tillsyn.docx", "A 66836-2021")</f>
        <v/>
      </c>
      <c r="Y41">
        <f>HYPERLINK("https://klasma.github.io/Logging_1737/tillsynsmail/A 66836-2021 tillsynsmail.docx", "A 66836-2021")</f>
        <v/>
      </c>
    </row>
    <row r="42" ht="15" customHeight="1">
      <c r="A42" t="inlineStr">
        <is>
          <t>A 73921-2021</t>
        </is>
      </c>
      <c r="B42" s="1" t="n">
        <v>44553</v>
      </c>
      <c r="C42" s="1" t="n">
        <v>45212</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HYPERLINK("https://klasma.github.io/Logging_1737/karta/A 73921-2021 karta.png", "A 73921-2021")</f>
        <v/>
      </c>
      <c r="V42">
        <f>HYPERLINK("https://klasma.github.io/Logging_1737/klagomål/A 73921-2021 klagomål.docx", "A 73921-2021")</f>
        <v/>
      </c>
      <c r="W42">
        <f>HYPERLINK("https://klasma.github.io/Logging_1737/klagomålsmail/A 73921-2021 klagomålsmail.docx", "A 73921-2021")</f>
        <v/>
      </c>
      <c r="X42">
        <f>HYPERLINK("https://klasma.github.io/Logging_1737/tillsyn/A 73921-2021 tillsyn.docx", "A 73921-2021")</f>
        <v/>
      </c>
      <c r="Y42">
        <f>HYPERLINK("https://klasma.github.io/Logging_1737/tillsynsmail/A 73921-2021 tillsynsmail.docx", "A 73921-2021")</f>
        <v/>
      </c>
    </row>
    <row r="43" ht="15" customHeight="1">
      <c r="A43" t="inlineStr">
        <is>
          <t>A 42499-2022</t>
        </is>
      </c>
      <c r="B43" s="1" t="n">
        <v>44831</v>
      </c>
      <c r="C43" s="1" t="n">
        <v>45212</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HYPERLINK("https://klasma.github.io/Logging_1737/karta/A 42499-2022 karta.png", "A 42499-2022")</f>
        <v/>
      </c>
      <c r="V43">
        <f>HYPERLINK("https://klasma.github.io/Logging_1737/klagomål/A 42499-2022 klagomål.docx", "A 42499-2022")</f>
        <v/>
      </c>
      <c r="W43">
        <f>HYPERLINK("https://klasma.github.io/Logging_1737/klagomålsmail/A 42499-2022 klagomålsmail.docx", "A 42499-2022")</f>
        <v/>
      </c>
      <c r="X43">
        <f>HYPERLINK("https://klasma.github.io/Logging_1737/tillsyn/A 42499-2022 tillsyn.docx", "A 42499-2022")</f>
        <v/>
      </c>
      <c r="Y43">
        <f>HYPERLINK("https://klasma.github.io/Logging_1737/tillsynsmail/A 42499-2022 tillsynsmail.docx", "A 42499-2022")</f>
        <v/>
      </c>
    </row>
    <row r="44" ht="15" customHeight="1">
      <c r="A44" t="inlineStr">
        <is>
          <t>A 5979-2023</t>
        </is>
      </c>
      <c r="B44" s="1" t="n">
        <v>44964</v>
      </c>
      <c r="C44" s="1" t="n">
        <v>45212</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HYPERLINK("https://klasma.github.io/Logging_1765/karta/A 5979-2023 karta.png", "A 5979-2023")</f>
        <v/>
      </c>
      <c r="V44">
        <f>HYPERLINK("https://klasma.github.io/Logging_1765/klagomål/A 5979-2023 klagomål.docx", "A 5979-2023")</f>
        <v/>
      </c>
      <c r="W44">
        <f>HYPERLINK("https://klasma.github.io/Logging_1765/klagomålsmail/A 5979-2023 klagomålsmail.docx", "A 5979-2023")</f>
        <v/>
      </c>
      <c r="X44">
        <f>HYPERLINK("https://klasma.github.io/Logging_1765/tillsyn/A 5979-2023 tillsyn.docx", "A 5979-2023")</f>
        <v/>
      </c>
      <c r="Y44">
        <f>HYPERLINK("https://klasma.github.io/Logging_1765/tillsynsmail/A 5979-2023 tillsynsmail.docx", "A 5979-2023")</f>
        <v/>
      </c>
    </row>
    <row r="45" ht="15" customHeight="1">
      <c r="A45" t="inlineStr">
        <is>
          <t>A 21083-2023</t>
        </is>
      </c>
      <c r="B45" s="1" t="n">
        <v>45061</v>
      </c>
      <c r="C45" s="1" t="n">
        <v>45212</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HYPERLINK("https://klasma.github.io/Logging_1760/karta/A 21083-2023 karta.png", "A 21083-2023")</f>
        <v/>
      </c>
      <c r="U45">
        <f>HYPERLINK("https://klasma.github.io/Logging_1760/knärot/A 21083-2023 knärot.png", "A 21083-2023")</f>
        <v/>
      </c>
      <c r="V45">
        <f>HYPERLINK("https://klasma.github.io/Logging_1760/klagomål/A 21083-2023 klagomål.docx", "A 21083-2023")</f>
        <v/>
      </c>
      <c r="W45">
        <f>HYPERLINK("https://klasma.github.io/Logging_1760/klagomålsmail/A 21083-2023 klagomålsmail.docx", "A 21083-2023")</f>
        <v/>
      </c>
      <c r="X45">
        <f>HYPERLINK("https://klasma.github.io/Logging_1760/tillsyn/A 21083-2023 tillsyn.docx", "A 21083-2023")</f>
        <v/>
      </c>
      <c r="Y45">
        <f>HYPERLINK("https://klasma.github.io/Logging_1760/tillsynsmail/A 21083-2023 tillsynsmail.docx", "A 21083-2023")</f>
        <v/>
      </c>
    </row>
    <row r="46" ht="15" customHeight="1">
      <c r="A46" t="inlineStr">
        <is>
          <t>A 43773-2020</t>
        </is>
      </c>
      <c r="B46" s="1" t="n">
        <v>44081</v>
      </c>
      <c r="C46" s="1" t="n">
        <v>45212</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HYPERLINK("https://klasma.github.io/Logging_1780/karta/A 43773-2020 karta.png", "A 43773-2020")</f>
        <v/>
      </c>
      <c r="V46">
        <f>HYPERLINK("https://klasma.github.io/Logging_1780/klagomål/A 43773-2020 klagomål.docx", "A 43773-2020")</f>
        <v/>
      </c>
      <c r="W46">
        <f>HYPERLINK("https://klasma.github.io/Logging_1780/klagomålsmail/A 43773-2020 klagomålsmail.docx", "A 43773-2020")</f>
        <v/>
      </c>
      <c r="X46">
        <f>HYPERLINK("https://klasma.github.io/Logging_1780/tillsyn/A 43773-2020 tillsyn.docx", "A 43773-2020")</f>
        <v/>
      </c>
      <c r="Y46">
        <f>HYPERLINK("https://klasma.github.io/Logging_1780/tillsynsmail/A 43773-2020 tillsynsmail.docx", "A 43773-2020")</f>
        <v/>
      </c>
    </row>
    <row r="47" ht="15" customHeight="1">
      <c r="A47" t="inlineStr">
        <is>
          <t>A 6858-2021</t>
        </is>
      </c>
      <c r="B47" s="1" t="n">
        <v>44237</v>
      </c>
      <c r="C47" s="1" t="n">
        <v>45212</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HYPERLINK("https://klasma.github.io/Logging_1763/karta/A 6858-2021 karta.png", "A 6858-2021")</f>
        <v/>
      </c>
      <c r="V47">
        <f>HYPERLINK("https://klasma.github.io/Logging_1763/klagomål/A 6858-2021 klagomål.docx", "A 6858-2021")</f>
        <v/>
      </c>
      <c r="W47">
        <f>HYPERLINK("https://klasma.github.io/Logging_1763/klagomålsmail/A 6858-2021 klagomålsmail.docx", "A 6858-2021")</f>
        <v/>
      </c>
      <c r="X47">
        <f>HYPERLINK("https://klasma.github.io/Logging_1763/tillsyn/A 6858-2021 tillsyn.docx", "A 6858-2021")</f>
        <v/>
      </c>
      <c r="Y47">
        <f>HYPERLINK("https://klasma.github.io/Logging_1763/tillsynsmail/A 6858-2021 tillsynsmail.docx", "A 6858-2021")</f>
        <v/>
      </c>
    </row>
    <row r="48" ht="15" customHeight="1">
      <c r="A48" t="inlineStr">
        <is>
          <t>A 7650-2021</t>
        </is>
      </c>
      <c r="B48" s="1" t="n">
        <v>44242</v>
      </c>
      <c r="C48" s="1" t="n">
        <v>45212</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HYPERLINK("https://klasma.github.io/Logging_1737/karta/A 7650-2021 karta.png", "A 7650-2021")</f>
        <v/>
      </c>
      <c r="V48">
        <f>HYPERLINK("https://klasma.github.io/Logging_1737/klagomål/A 7650-2021 klagomål.docx", "A 7650-2021")</f>
        <v/>
      </c>
      <c r="W48">
        <f>HYPERLINK("https://klasma.github.io/Logging_1737/klagomålsmail/A 7650-2021 klagomålsmail.docx", "A 7650-2021")</f>
        <v/>
      </c>
      <c r="X48">
        <f>HYPERLINK("https://klasma.github.io/Logging_1737/tillsyn/A 7650-2021 tillsyn.docx", "A 7650-2021")</f>
        <v/>
      </c>
      <c r="Y48">
        <f>HYPERLINK("https://klasma.github.io/Logging_1737/tillsynsmail/A 7650-2021 tillsynsmail.docx", "A 7650-2021")</f>
        <v/>
      </c>
    </row>
    <row r="49" ht="15" customHeight="1">
      <c r="A49" t="inlineStr">
        <is>
          <t>A 52132-2022</t>
        </is>
      </c>
      <c r="B49" s="1" t="n">
        <v>44873</v>
      </c>
      <c r="C49" s="1" t="n">
        <v>45212</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HYPERLINK("https://klasma.github.io/Logging_1765/karta/A 52132-2022 karta.png", "A 52132-2022")</f>
        <v/>
      </c>
      <c r="U49">
        <f>HYPERLINK("https://klasma.github.io/Logging_1765/knärot/A 52132-2022 knärot.png", "A 52132-2022")</f>
        <v/>
      </c>
      <c r="V49">
        <f>HYPERLINK("https://klasma.github.io/Logging_1765/klagomål/A 52132-2022 klagomål.docx", "A 52132-2022")</f>
        <v/>
      </c>
      <c r="W49">
        <f>HYPERLINK("https://klasma.github.io/Logging_1765/klagomålsmail/A 52132-2022 klagomålsmail.docx", "A 52132-2022")</f>
        <v/>
      </c>
      <c r="X49">
        <f>HYPERLINK("https://klasma.github.io/Logging_1765/tillsyn/A 52132-2022 tillsyn.docx", "A 52132-2022")</f>
        <v/>
      </c>
      <c r="Y49">
        <f>HYPERLINK("https://klasma.github.io/Logging_1765/tillsynsmail/A 52132-2022 tillsynsmail.docx", "A 52132-2022")</f>
        <v/>
      </c>
    </row>
    <row r="50" ht="15" customHeight="1">
      <c r="A50" t="inlineStr">
        <is>
          <t>A 29379-2023</t>
        </is>
      </c>
      <c r="B50" s="1" t="n">
        <v>45106</v>
      </c>
      <c r="C50" s="1" t="n">
        <v>45212</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HYPERLINK("https://klasma.github.io/Logging_1765/karta/A 29379-2023 karta.png", "A 29379-2023")</f>
        <v/>
      </c>
      <c r="V50">
        <f>HYPERLINK("https://klasma.github.io/Logging_1765/klagomål/A 29379-2023 klagomål.docx", "A 29379-2023")</f>
        <v/>
      </c>
      <c r="W50">
        <f>HYPERLINK("https://klasma.github.io/Logging_1765/klagomålsmail/A 29379-2023 klagomålsmail.docx", "A 29379-2023")</f>
        <v/>
      </c>
      <c r="X50">
        <f>HYPERLINK("https://klasma.github.io/Logging_1765/tillsyn/A 29379-2023 tillsyn.docx", "A 29379-2023")</f>
        <v/>
      </c>
      <c r="Y50">
        <f>HYPERLINK("https://klasma.github.io/Logging_1765/tillsynsmail/A 29379-2023 tillsynsmail.docx", "A 29379-2023")</f>
        <v/>
      </c>
    </row>
    <row r="51" ht="15" customHeight="1">
      <c r="A51" t="inlineStr">
        <is>
          <t>A 32845-2023</t>
        </is>
      </c>
      <c r="B51" s="1" t="n">
        <v>45109</v>
      </c>
      <c r="C51" s="1" t="n">
        <v>45212</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HYPERLINK("https://klasma.github.io/Logging_1784/karta/A 32845-2023 karta.png", "A 32845-2023")</f>
        <v/>
      </c>
      <c r="U51">
        <f>HYPERLINK("https://klasma.github.io/Logging_1784/knärot/A 32845-2023 knärot.png", "A 32845-2023")</f>
        <v/>
      </c>
      <c r="V51">
        <f>HYPERLINK("https://klasma.github.io/Logging_1784/klagomål/A 32845-2023 klagomål.docx", "A 32845-2023")</f>
        <v/>
      </c>
      <c r="W51">
        <f>HYPERLINK("https://klasma.github.io/Logging_1784/klagomålsmail/A 32845-2023 klagomålsmail.docx", "A 32845-2023")</f>
        <v/>
      </c>
      <c r="X51">
        <f>HYPERLINK("https://klasma.github.io/Logging_1784/tillsyn/A 32845-2023 tillsyn.docx", "A 32845-2023")</f>
        <v/>
      </c>
      <c r="Y51">
        <f>HYPERLINK("https://klasma.github.io/Logging_1784/tillsynsmail/A 32845-2023 tillsynsmail.docx", "A 32845-2023")</f>
        <v/>
      </c>
    </row>
    <row r="52" ht="15" customHeight="1">
      <c r="A52" t="inlineStr">
        <is>
          <t>A 43270-2018</t>
        </is>
      </c>
      <c r="B52" s="1" t="n">
        <v>43356</v>
      </c>
      <c r="C52" s="1" t="n">
        <v>45212</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HYPERLINK("https://klasma.github.io/Logging_1784/karta/A 43270-2018 karta.png", "A 43270-2018")</f>
        <v/>
      </c>
      <c r="U52">
        <f>HYPERLINK("https://klasma.github.io/Logging_1784/knärot/A 43270-2018 knärot.png", "A 43270-2018")</f>
        <v/>
      </c>
      <c r="V52">
        <f>HYPERLINK("https://klasma.github.io/Logging_1784/klagomål/A 43270-2018 klagomål.docx", "A 43270-2018")</f>
        <v/>
      </c>
      <c r="W52">
        <f>HYPERLINK("https://klasma.github.io/Logging_1784/klagomålsmail/A 43270-2018 klagomålsmail.docx", "A 43270-2018")</f>
        <v/>
      </c>
      <c r="X52">
        <f>HYPERLINK("https://klasma.github.io/Logging_1784/tillsyn/A 43270-2018 tillsyn.docx", "A 43270-2018")</f>
        <v/>
      </c>
      <c r="Y52">
        <f>HYPERLINK("https://klasma.github.io/Logging_1784/tillsynsmail/A 43270-2018 tillsynsmail.docx", "A 43270-2018")</f>
        <v/>
      </c>
    </row>
    <row r="53" ht="15" customHeight="1">
      <c r="A53" t="inlineStr">
        <is>
          <t>A 4189-2019</t>
        </is>
      </c>
      <c r="B53" s="1" t="n">
        <v>43483</v>
      </c>
      <c r="C53" s="1" t="n">
        <v>45212</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HYPERLINK("https://klasma.github.io/Logging_1730/karta/A 4189-2019 karta.png", "A 4189-2019")</f>
        <v/>
      </c>
      <c r="U53">
        <f>HYPERLINK("https://klasma.github.io/Logging_1730/knärot/A 4189-2019 knärot.png", "A 4189-2019")</f>
        <v/>
      </c>
      <c r="V53">
        <f>HYPERLINK("https://klasma.github.io/Logging_1730/klagomål/A 4189-2019 klagomål.docx", "A 4189-2019")</f>
        <v/>
      </c>
      <c r="W53">
        <f>HYPERLINK("https://klasma.github.io/Logging_1730/klagomålsmail/A 4189-2019 klagomålsmail.docx", "A 4189-2019")</f>
        <v/>
      </c>
      <c r="X53">
        <f>HYPERLINK("https://klasma.github.io/Logging_1730/tillsyn/A 4189-2019 tillsyn.docx", "A 4189-2019")</f>
        <v/>
      </c>
      <c r="Y53">
        <f>HYPERLINK("https://klasma.github.io/Logging_1730/tillsynsmail/A 4189-2019 tillsynsmail.docx", "A 4189-2019")</f>
        <v/>
      </c>
    </row>
    <row r="54" ht="15" customHeight="1">
      <c r="A54" t="inlineStr">
        <is>
          <t>A 17497-2019</t>
        </is>
      </c>
      <c r="B54" s="1" t="n">
        <v>43553</v>
      </c>
      <c r="C54" s="1" t="n">
        <v>45212</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HYPERLINK("https://klasma.github.io/Logging_1780/karta/A 17497-2019 karta.png", "A 17497-2019")</f>
        <v/>
      </c>
      <c r="U54">
        <f>HYPERLINK("https://klasma.github.io/Logging_1780/knärot/A 17497-2019 knärot.png", "A 17497-2019")</f>
        <v/>
      </c>
      <c r="V54">
        <f>HYPERLINK("https://klasma.github.io/Logging_1780/klagomål/A 17497-2019 klagomål.docx", "A 17497-2019")</f>
        <v/>
      </c>
      <c r="W54">
        <f>HYPERLINK("https://klasma.github.io/Logging_1780/klagomålsmail/A 17497-2019 klagomålsmail.docx", "A 17497-2019")</f>
        <v/>
      </c>
      <c r="X54">
        <f>HYPERLINK("https://klasma.github.io/Logging_1780/tillsyn/A 17497-2019 tillsyn.docx", "A 17497-2019")</f>
        <v/>
      </c>
      <c r="Y54">
        <f>HYPERLINK("https://klasma.github.io/Logging_1780/tillsynsmail/A 17497-2019 tillsynsmail.docx", "A 17497-2019")</f>
        <v/>
      </c>
    </row>
    <row r="55" ht="15" customHeight="1">
      <c r="A55" t="inlineStr">
        <is>
          <t>A 29038-2019</t>
        </is>
      </c>
      <c r="B55" s="1" t="n">
        <v>43621</v>
      </c>
      <c r="C55" s="1" t="n">
        <v>45212</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HYPERLINK("https://klasma.github.io/Logging_1765/karta/A 29038-2019 karta.png", "A 29038-2019")</f>
        <v/>
      </c>
      <c r="U55">
        <f>HYPERLINK("https://klasma.github.io/Logging_1765/knärot/A 29038-2019 knärot.png", "A 29038-2019")</f>
        <v/>
      </c>
      <c r="V55">
        <f>HYPERLINK("https://klasma.github.io/Logging_1765/klagomål/A 29038-2019 klagomål.docx", "A 29038-2019")</f>
        <v/>
      </c>
      <c r="W55">
        <f>HYPERLINK("https://klasma.github.io/Logging_1765/klagomålsmail/A 29038-2019 klagomålsmail.docx", "A 29038-2019")</f>
        <v/>
      </c>
      <c r="X55">
        <f>HYPERLINK("https://klasma.github.io/Logging_1765/tillsyn/A 29038-2019 tillsyn.docx", "A 29038-2019")</f>
        <v/>
      </c>
      <c r="Y55">
        <f>HYPERLINK("https://klasma.github.io/Logging_1765/tillsynsmail/A 29038-2019 tillsynsmail.docx", "A 29038-2019")</f>
        <v/>
      </c>
    </row>
    <row r="56" ht="15" customHeight="1">
      <c r="A56" t="inlineStr">
        <is>
          <t>A 9453-2020</t>
        </is>
      </c>
      <c r="B56" s="1" t="n">
        <v>43880</v>
      </c>
      <c r="C56" s="1" t="n">
        <v>45212</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HYPERLINK("https://klasma.github.io/Logging_1765/karta/A 9453-2020 karta.png", "A 9453-2020")</f>
        <v/>
      </c>
      <c r="U56">
        <f>HYPERLINK("https://klasma.github.io/Logging_1765/knärot/A 9453-2020 knärot.png", "A 9453-2020")</f>
        <v/>
      </c>
      <c r="V56">
        <f>HYPERLINK("https://klasma.github.io/Logging_1765/klagomål/A 9453-2020 klagomål.docx", "A 9453-2020")</f>
        <v/>
      </c>
      <c r="W56">
        <f>HYPERLINK("https://klasma.github.io/Logging_1765/klagomålsmail/A 9453-2020 klagomålsmail.docx", "A 9453-2020")</f>
        <v/>
      </c>
      <c r="X56">
        <f>HYPERLINK("https://klasma.github.io/Logging_1765/tillsyn/A 9453-2020 tillsyn.docx", "A 9453-2020")</f>
        <v/>
      </c>
      <c r="Y56">
        <f>HYPERLINK("https://klasma.github.io/Logging_1765/tillsynsmail/A 9453-2020 tillsynsmail.docx", "A 9453-2020")</f>
        <v/>
      </c>
    </row>
    <row r="57" ht="15" customHeight="1">
      <c r="A57" t="inlineStr">
        <is>
          <t>A 57758-2020</t>
        </is>
      </c>
      <c r="B57" s="1" t="n">
        <v>44140</v>
      </c>
      <c r="C57" s="1" t="n">
        <v>45212</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HYPERLINK("https://klasma.github.io/Logging_1765/karta/A 57758-2020 karta.png", "A 57758-2020")</f>
        <v/>
      </c>
      <c r="V57">
        <f>HYPERLINK("https://klasma.github.io/Logging_1765/klagomål/A 57758-2020 klagomål.docx", "A 57758-2020")</f>
        <v/>
      </c>
      <c r="W57">
        <f>HYPERLINK("https://klasma.github.io/Logging_1765/klagomålsmail/A 57758-2020 klagomålsmail.docx", "A 57758-2020")</f>
        <v/>
      </c>
      <c r="X57">
        <f>HYPERLINK("https://klasma.github.io/Logging_1765/tillsyn/A 57758-2020 tillsyn.docx", "A 57758-2020")</f>
        <v/>
      </c>
      <c r="Y57">
        <f>HYPERLINK("https://klasma.github.io/Logging_1765/tillsynsmail/A 57758-2020 tillsynsmail.docx", "A 57758-2020")</f>
        <v/>
      </c>
    </row>
    <row r="58" ht="15" customHeight="1">
      <c r="A58" t="inlineStr">
        <is>
          <t>A 9931-2021</t>
        </is>
      </c>
      <c r="B58" s="1" t="n">
        <v>44253</v>
      </c>
      <c r="C58" s="1" t="n">
        <v>45212</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HYPERLINK("https://klasma.github.io/Logging_1763/karta/A 9931-2021 karta.png", "A 9931-2021")</f>
        <v/>
      </c>
      <c r="V58">
        <f>HYPERLINK("https://klasma.github.io/Logging_1763/klagomål/A 9931-2021 klagomål.docx", "A 9931-2021")</f>
        <v/>
      </c>
      <c r="W58">
        <f>HYPERLINK("https://klasma.github.io/Logging_1763/klagomålsmail/A 9931-2021 klagomålsmail.docx", "A 9931-2021")</f>
        <v/>
      </c>
      <c r="X58">
        <f>HYPERLINK("https://klasma.github.io/Logging_1763/tillsyn/A 9931-2021 tillsyn.docx", "A 9931-2021")</f>
        <v/>
      </c>
      <c r="Y58">
        <f>HYPERLINK("https://klasma.github.io/Logging_1763/tillsynsmail/A 9931-2021 tillsynsmail.docx", "A 9931-2021")</f>
        <v/>
      </c>
    </row>
    <row r="59" ht="15" customHeight="1">
      <c r="A59" t="inlineStr">
        <is>
          <t>A 17008-2021</t>
        </is>
      </c>
      <c r="B59" s="1" t="n">
        <v>44295</v>
      </c>
      <c r="C59" s="1" t="n">
        <v>45212</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HYPERLINK("https://klasma.github.io/Logging_1784/karta/A 17008-2021 karta.png", "A 17008-2021")</f>
        <v/>
      </c>
      <c r="V59">
        <f>HYPERLINK("https://klasma.github.io/Logging_1784/klagomål/A 17008-2021 klagomål.docx", "A 17008-2021")</f>
        <v/>
      </c>
      <c r="W59">
        <f>HYPERLINK("https://klasma.github.io/Logging_1784/klagomålsmail/A 17008-2021 klagomålsmail.docx", "A 17008-2021")</f>
        <v/>
      </c>
      <c r="X59">
        <f>HYPERLINK("https://klasma.github.io/Logging_1784/tillsyn/A 17008-2021 tillsyn.docx", "A 17008-2021")</f>
        <v/>
      </c>
      <c r="Y59">
        <f>HYPERLINK("https://klasma.github.io/Logging_1784/tillsynsmail/A 17008-2021 tillsynsmail.docx", "A 17008-2021")</f>
        <v/>
      </c>
    </row>
    <row r="60" ht="15" customHeight="1">
      <c r="A60" t="inlineStr">
        <is>
          <t>A 41279-2021</t>
        </is>
      </c>
      <c r="B60" s="1" t="n">
        <v>44424</v>
      </c>
      <c r="C60" s="1" t="n">
        <v>45212</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HYPERLINK("https://klasma.github.io/Logging_1737/karta/A 41279-2021 karta.png", "A 41279-2021")</f>
        <v/>
      </c>
      <c r="V60">
        <f>HYPERLINK("https://klasma.github.io/Logging_1737/klagomål/A 41279-2021 klagomål.docx", "A 41279-2021")</f>
        <v/>
      </c>
      <c r="W60">
        <f>HYPERLINK("https://klasma.github.io/Logging_1737/klagomålsmail/A 41279-2021 klagomålsmail.docx", "A 41279-2021")</f>
        <v/>
      </c>
      <c r="X60">
        <f>HYPERLINK("https://klasma.github.io/Logging_1737/tillsyn/A 41279-2021 tillsyn.docx", "A 41279-2021")</f>
        <v/>
      </c>
      <c r="Y60">
        <f>HYPERLINK("https://klasma.github.io/Logging_1737/tillsynsmail/A 41279-2021 tillsynsmail.docx", "A 41279-2021")</f>
        <v/>
      </c>
    </row>
    <row r="61" ht="15" customHeight="1">
      <c r="A61" t="inlineStr">
        <is>
          <t>A 49109-2021</t>
        </is>
      </c>
      <c r="B61" s="1" t="n">
        <v>44453</v>
      </c>
      <c r="C61" s="1" t="n">
        <v>45212</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HYPERLINK("https://klasma.github.io/Logging_1737/karta/A 49109-2021 karta.png", "A 49109-2021")</f>
        <v/>
      </c>
      <c r="V61">
        <f>HYPERLINK("https://klasma.github.io/Logging_1737/klagomål/A 49109-2021 klagomål.docx", "A 49109-2021")</f>
        <v/>
      </c>
      <c r="W61">
        <f>HYPERLINK("https://klasma.github.io/Logging_1737/klagomålsmail/A 49109-2021 klagomålsmail.docx", "A 49109-2021")</f>
        <v/>
      </c>
      <c r="X61">
        <f>HYPERLINK("https://klasma.github.io/Logging_1737/tillsyn/A 49109-2021 tillsyn.docx", "A 49109-2021")</f>
        <v/>
      </c>
      <c r="Y61">
        <f>HYPERLINK("https://klasma.github.io/Logging_1737/tillsynsmail/A 49109-2021 tillsynsmail.docx", "A 49109-2021")</f>
        <v/>
      </c>
    </row>
    <row r="62" ht="15" customHeight="1">
      <c r="A62" t="inlineStr">
        <is>
          <t>A 58400-2021</t>
        </is>
      </c>
      <c r="B62" s="1" t="n">
        <v>44488</v>
      </c>
      <c r="C62" s="1" t="n">
        <v>45212</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HYPERLINK("https://klasma.github.io/Logging_1781/karta/A 58400-2021 karta.png", "A 58400-2021")</f>
        <v/>
      </c>
      <c r="V62">
        <f>HYPERLINK("https://klasma.github.io/Logging_1781/klagomål/A 58400-2021 klagomål.docx", "A 58400-2021")</f>
        <v/>
      </c>
      <c r="W62">
        <f>HYPERLINK("https://klasma.github.io/Logging_1781/klagomålsmail/A 58400-2021 klagomålsmail.docx", "A 58400-2021")</f>
        <v/>
      </c>
      <c r="X62">
        <f>HYPERLINK("https://klasma.github.io/Logging_1781/tillsyn/A 58400-2021 tillsyn.docx", "A 58400-2021")</f>
        <v/>
      </c>
      <c r="Y62">
        <f>HYPERLINK("https://klasma.github.io/Logging_1781/tillsynsmail/A 58400-2021 tillsynsmail.docx", "A 58400-2021")</f>
        <v/>
      </c>
    </row>
    <row r="63" ht="15" customHeight="1">
      <c r="A63" t="inlineStr">
        <is>
          <t>A 72312-2021</t>
        </is>
      </c>
      <c r="B63" s="1" t="n">
        <v>44545</v>
      </c>
      <c r="C63" s="1" t="n">
        <v>45212</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HYPERLINK("https://klasma.github.io/Logging_1737/karta/A 72312-2021 karta.png", "A 72312-2021")</f>
        <v/>
      </c>
      <c r="V63">
        <f>HYPERLINK("https://klasma.github.io/Logging_1737/klagomål/A 72312-2021 klagomål.docx", "A 72312-2021")</f>
        <v/>
      </c>
      <c r="W63">
        <f>HYPERLINK("https://klasma.github.io/Logging_1737/klagomålsmail/A 72312-2021 klagomålsmail.docx", "A 72312-2021")</f>
        <v/>
      </c>
      <c r="X63">
        <f>HYPERLINK("https://klasma.github.io/Logging_1737/tillsyn/A 72312-2021 tillsyn.docx", "A 72312-2021")</f>
        <v/>
      </c>
      <c r="Y63">
        <f>HYPERLINK("https://klasma.github.io/Logging_1737/tillsynsmail/A 72312-2021 tillsynsmail.docx", "A 72312-2021")</f>
        <v/>
      </c>
    </row>
    <row r="64" ht="15" customHeight="1">
      <c r="A64" t="inlineStr">
        <is>
          <t>A 4972-2022</t>
        </is>
      </c>
      <c r="B64" s="1" t="n">
        <v>44593</v>
      </c>
      <c r="C64" s="1" t="n">
        <v>45212</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HYPERLINK("https://klasma.github.io/Logging_1737/karta/A 4972-2022 karta.png", "A 4972-2022")</f>
        <v/>
      </c>
      <c r="V64">
        <f>HYPERLINK("https://klasma.github.io/Logging_1737/klagomål/A 4972-2022 klagomål.docx", "A 4972-2022")</f>
        <v/>
      </c>
      <c r="W64">
        <f>HYPERLINK("https://klasma.github.io/Logging_1737/klagomålsmail/A 4972-2022 klagomålsmail.docx", "A 4972-2022")</f>
        <v/>
      </c>
      <c r="X64">
        <f>HYPERLINK("https://klasma.github.io/Logging_1737/tillsyn/A 4972-2022 tillsyn.docx", "A 4972-2022")</f>
        <v/>
      </c>
      <c r="Y64">
        <f>HYPERLINK("https://klasma.github.io/Logging_1737/tillsynsmail/A 4972-2022 tillsynsmail.docx", "A 4972-2022")</f>
        <v/>
      </c>
    </row>
    <row r="65" ht="15" customHeight="1">
      <c r="A65" t="inlineStr">
        <is>
          <t>A 38837-2022</t>
        </is>
      </c>
      <c r="B65" s="1" t="n">
        <v>44816</v>
      </c>
      <c r="C65" s="1" t="n">
        <v>45212</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HYPERLINK("https://klasma.github.io/Logging_1715/karta/A 38837-2022 karta.png", "A 38837-2022")</f>
        <v/>
      </c>
      <c r="V65">
        <f>HYPERLINK("https://klasma.github.io/Logging_1715/klagomål/A 38837-2022 klagomål.docx", "A 38837-2022")</f>
        <v/>
      </c>
      <c r="W65">
        <f>HYPERLINK("https://klasma.github.io/Logging_1715/klagomålsmail/A 38837-2022 klagomålsmail.docx", "A 38837-2022")</f>
        <v/>
      </c>
      <c r="X65">
        <f>HYPERLINK("https://klasma.github.io/Logging_1715/tillsyn/A 38837-2022 tillsyn.docx", "A 38837-2022")</f>
        <v/>
      </c>
      <c r="Y65">
        <f>HYPERLINK("https://klasma.github.io/Logging_1715/tillsynsmail/A 38837-2022 tillsynsmail.docx", "A 38837-2022")</f>
        <v/>
      </c>
    </row>
    <row r="66" ht="15" customHeight="1">
      <c r="A66" t="inlineStr">
        <is>
          <t>A 9573-2023</t>
        </is>
      </c>
      <c r="B66" s="1" t="n">
        <v>44982</v>
      </c>
      <c r="C66" s="1" t="n">
        <v>45212</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HYPERLINK("https://klasma.github.io/Logging_1737/karta/A 9573-2023 karta.png", "A 9573-2023")</f>
        <v/>
      </c>
      <c r="V66">
        <f>HYPERLINK("https://klasma.github.io/Logging_1737/klagomål/A 9573-2023 klagomål.docx", "A 9573-2023")</f>
        <v/>
      </c>
      <c r="W66">
        <f>HYPERLINK("https://klasma.github.io/Logging_1737/klagomålsmail/A 9573-2023 klagomålsmail.docx", "A 9573-2023")</f>
        <v/>
      </c>
      <c r="X66">
        <f>HYPERLINK("https://klasma.github.io/Logging_1737/tillsyn/A 9573-2023 tillsyn.docx", "A 9573-2023")</f>
        <v/>
      </c>
      <c r="Y66">
        <f>HYPERLINK("https://klasma.github.io/Logging_1737/tillsynsmail/A 9573-2023 tillsynsmail.docx", "A 9573-2023")</f>
        <v/>
      </c>
    </row>
    <row r="67" ht="15" customHeight="1">
      <c r="A67" t="inlineStr">
        <is>
          <t>A 17619-2023</t>
        </is>
      </c>
      <c r="B67" s="1" t="n">
        <v>45036</v>
      </c>
      <c r="C67" s="1" t="n">
        <v>45212</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HYPERLINK("https://klasma.github.io/Logging_1783/karta/A 17619-2023 karta.png", "A 17619-2023")</f>
        <v/>
      </c>
      <c r="V67">
        <f>HYPERLINK("https://klasma.github.io/Logging_1783/klagomål/A 17619-2023 klagomål.docx", "A 17619-2023")</f>
        <v/>
      </c>
      <c r="W67">
        <f>HYPERLINK("https://klasma.github.io/Logging_1783/klagomålsmail/A 17619-2023 klagomålsmail.docx", "A 17619-2023")</f>
        <v/>
      </c>
      <c r="X67">
        <f>HYPERLINK("https://klasma.github.io/Logging_1783/tillsyn/A 17619-2023 tillsyn.docx", "A 17619-2023")</f>
        <v/>
      </c>
      <c r="Y67">
        <f>HYPERLINK("https://klasma.github.io/Logging_1783/tillsynsmail/A 17619-2023 tillsynsmail.docx", "A 17619-2023")</f>
        <v/>
      </c>
    </row>
    <row r="68" ht="15" customHeight="1">
      <c r="A68" t="inlineStr">
        <is>
          <t>A 63177-2018</t>
        </is>
      </c>
      <c r="B68" s="1" t="n">
        <v>43418</v>
      </c>
      <c r="C68" s="1" t="n">
        <v>45212</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HYPERLINK("https://klasma.github.io/Logging_1730/karta/A 63177-2018 karta.png", "A 63177-2018")</f>
        <v/>
      </c>
      <c r="V68">
        <f>HYPERLINK("https://klasma.github.io/Logging_1730/klagomål/A 63177-2018 klagomål.docx", "A 63177-2018")</f>
        <v/>
      </c>
      <c r="W68">
        <f>HYPERLINK("https://klasma.github.io/Logging_1730/klagomålsmail/A 63177-2018 klagomålsmail.docx", "A 63177-2018")</f>
        <v/>
      </c>
      <c r="X68">
        <f>HYPERLINK("https://klasma.github.io/Logging_1730/tillsyn/A 63177-2018 tillsyn.docx", "A 63177-2018")</f>
        <v/>
      </c>
      <c r="Y68">
        <f>HYPERLINK("https://klasma.github.io/Logging_1730/tillsynsmail/A 63177-2018 tillsynsmail.docx", "A 63177-2018")</f>
        <v/>
      </c>
    </row>
    <row r="69" ht="15" customHeight="1">
      <c r="A69" t="inlineStr">
        <is>
          <t>A 3367-2020</t>
        </is>
      </c>
      <c r="B69" s="1" t="n">
        <v>43852</v>
      </c>
      <c r="C69" s="1" t="n">
        <v>45212</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HYPERLINK("https://klasma.github.io/Logging_1765/karta/A 3367-2020 karta.png", "A 3367-2020")</f>
        <v/>
      </c>
      <c r="U69">
        <f>HYPERLINK("https://klasma.github.io/Logging_1765/knärot/A 3367-2020 knärot.png", "A 3367-2020")</f>
        <v/>
      </c>
      <c r="V69">
        <f>HYPERLINK("https://klasma.github.io/Logging_1765/klagomål/A 3367-2020 klagomål.docx", "A 3367-2020")</f>
        <v/>
      </c>
      <c r="W69">
        <f>HYPERLINK("https://klasma.github.io/Logging_1765/klagomålsmail/A 3367-2020 klagomålsmail.docx", "A 3367-2020")</f>
        <v/>
      </c>
      <c r="X69">
        <f>HYPERLINK("https://klasma.github.io/Logging_1765/tillsyn/A 3367-2020 tillsyn.docx", "A 3367-2020")</f>
        <v/>
      </c>
      <c r="Y69">
        <f>HYPERLINK("https://klasma.github.io/Logging_1765/tillsynsmail/A 3367-2020 tillsynsmail.docx", "A 3367-2020")</f>
        <v/>
      </c>
    </row>
    <row r="70" ht="15" customHeight="1">
      <c r="A70" t="inlineStr">
        <is>
          <t>A 30023-2020</t>
        </is>
      </c>
      <c r="B70" s="1" t="n">
        <v>44006</v>
      </c>
      <c r="C70" s="1" t="n">
        <v>45212</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HYPERLINK("https://klasma.github.io/Logging_1782/karta/A 30023-2020 karta.png", "A 30023-2020")</f>
        <v/>
      </c>
      <c r="V70">
        <f>HYPERLINK("https://klasma.github.io/Logging_1782/klagomål/A 30023-2020 klagomål.docx", "A 30023-2020")</f>
        <v/>
      </c>
      <c r="W70">
        <f>HYPERLINK("https://klasma.github.io/Logging_1782/klagomålsmail/A 30023-2020 klagomålsmail.docx", "A 30023-2020")</f>
        <v/>
      </c>
      <c r="X70">
        <f>HYPERLINK("https://klasma.github.io/Logging_1782/tillsyn/A 30023-2020 tillsyn.docx", "A 30023-2020")</f>
        <v/>
      </c>
      <c r="Y70">
        <f>HYPERLINK("https://klasma.github.io/Logging_1782/tillsynsmail/A 30023-2020 tillsynsmail.docx", "A 30023-2020")</f>
        <v/>
      </c>
    </row>
    <row r="71" ht="15" customHeight="1">
      <c r="A71" t="inlineStr">
        <is>
          <t>A 34600-2020</t>
        </is>
      </c>
      <c r="B71" s="1" t="n">
        <v>44034</v>
      </c>
      <c r="C71" s="1" t="n">
        <v>45212</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HYPERLINK("https://klasma.github.io/Logging_1766/karta/A 34600-2020 karta.png", "A 34600-2020")</f>
        <v/>
      </c>
      <c r="V71">
        <f>HYPERLINK("https://klasma.github.io/Logging_1766/klagomål/A 34600-2020 klagomål.docx", "A 34600-2020")</f>
        <v/>
      </c>
      <c r="W71">
        <f>HYPERLINK("https://klasma.github.io/Logging_1766/klagomålsmail/A 34600-2020 klagomålsmail.docx", "A 34600-2020")</f>
        <v/>
      </c>
      <c r="X71">
        <f>HYPERLINK("https://klasma.github.io/Logging_1766/tillsyn/A 34600-2020 tillsyn.docx", "A 34600-2020")</f>
        <v/>
      </c>
      <c r="Y71">
        <f>HYPERLINK("https://klasma.github.io/Logging_1766/tillsynsmail/A 34600-2020 tillsynsmail.docx", "A 34600-2020")</f>
        <v/>
      </c>
    </row>
    <row r="72" ht="15" customHeight="1">
      <c r="A72" t="inlineStr">
        <is>
          <t>A 45428-2020</t>
        </is>
      </c>
      <c r="B72" s="1" t="n">
        <v>44089</v>
      </c>
      <c r="C72" s="1" t="n">
        <v>45212</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HYPERLINK("https://klasma.github.io/Logging_1784/karta/A 45428-2020 karta.png", "A 45428-2020")</f>
        <v/>
      </c>
      <c r="U72">
        <f>HYPERLINK("https://klasma.github.io/Logging_1784/knärot/A 45428-2020 knärot.png", "A 45428-2020")</f>
        <v/>
      </c>
      <c r="V72">
        <f>HYPERLINK("https://klasma.github.io/Logging_1784/klagomål/A 45428-2020 klagomål.docx", "A 45428-2020")</f>
        <v/>
      </c>
      <c r="W72">
        <f>HYPERLINK("https://klasma.github.io/Logging_1784/klagomålsmail/A 45428-2020 klagomålsmail.docx", "A 45428-2020")</f>
        <v/>
      </c>
      <c r="X72">
        <f>HYPERLINK("https://klasma.github.io/Logging_1784/tillsyn/A 45428-2020 tillsyn.docx", "A 45428-2020")</f>
        <v/>
      </c>
      <c r="Y72">
        <f>HYPERLINK("https://klasma.github.io/Logging_1784/tillsynsmail/A 45428-2020 tillsynsmail.docx", "A 45428-2020")</f>
        <v/>
      </c>
    </row>
    <row r="73" ht="15" customHeight="1">
      <c r="A73" t="inlineStr">
        <is>
          <t>A 173-2021</t>
        </is>
      </c>
      <c r="B73" s="1" t="n">
        <v>44200</v>
      </c>
      <c r="C73" s="1" t="n">
        <v>45212</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HYPERLINK("https://klasma.github.io/Logging_1737/karta/A 173-2021 karta.png", "A 173-2021")</f>
        <v/>
      </c>
      <c r="V73">
        <f>HYPERLINK("https://klasma.github.io/Logging_1737/klagomål/A 173-2021 klagomål.docx", "A 173-2021")</f>
        <v/>
      </c>
      <c r="W73">
        <f>HYPERLINK("https://klasma.github.io/Logging_1737/klagomålsmail/A 173-2021 klagomålsmail.docx", "A 173-2021")</f>
        <v/>
      </c>
      <c r="X73">
        <f>HYPERLINK("https://klasma.github.io/Logging_1737/tillsyn/A 173-2021 tillsyn.docx", "A 173-2021")</f>
        <v/>
      </c>
      <c r="Y73">
        <f>HYPERLINK("https://klasma.github.io/Logging_1737/tillsynsmail/A 173-2021 tillsynsmail.docx", "A 173-2021")</f>
        <v/>
      </c>
    </row>
    <row r="74" ht="15" customHeight="1">
      <c r="A74" t="inlineStr">
        <is>
          <t>A 8325-2021</t>
        </is>
      </c>
      <c r="B74" s="1" t="n">
        <v>44244</v>
      </c>
      <c r="C74" s="1" t="n">
        <v>45212</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HYPERLINK("https://klasma.github.io/Logging_1763/karta/A 8325-2021 karta.png", "A 8325-2021")</f>
        <v/>
      </c>
      <c r="V74">
        <f>HYPERLINK("https://klasma.github.io/Logging_1763/klagomål/A 8325-2021 klagomål.docx", "A 8325-2021")</f>
        <v/>
      </c>
      <c r="W74">
        <f>HYPERLINK("https://klasma.github.io/Logging_1763/klagomålsmail/A 8325-2021 klagomålsmail.docx", "A 8325-2021")</f>
        <v/>
      </c>
      <c r="X74">
        <f>HYPERLINK("https://klasma.github.io/Logging_1763/tillsyn/A 8325-2021 tillsyn.docx", "A 8325-2021")</f>
        <v/>
      </c>
      <c r="Y74">
        <f>HYPERLINK("https://klasma.github.io/Logging_1763/tillsynsmail/A 8325-2021 tillsynsmail.docx", "A 8325-2021")</f>
        <v/>
      </c>
    </row>
    <row r="75" ht="15" customHeight="1">
      <c r="A75" t="inlineStr">
        <is>
          <t>A 23145-2021</t>
        </is>
      </c>
      <c r="B75" s="1" t="n">
        <v>44331</v>
      </c>
      <c r="C75" s="1" t="n">
        <v>45212</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HYPERLINK("https://klasma.github.io/Logging_1766/karta/A 23145-2021 karta.png", "A 23145-2021")</f>
        <v/>
      </c>
      <c r="U75">
        <f>HYPERLINK("https://klasma.github.io/Logging_1766/knärot/A 23145-2021 knärot.png", "A 23145-2021")</f>
        <v/>
      </c>
      <c r="V75">
        <f>HYPERLINK("https://klasma.github.io/Logging_1766/klagomål/A 23145-2021 klagomål.docx", "A 23145-2021")</f>
        <v/>
      </c>
      <c r="W75">
        <f>HYPERLINK("https://klasma.github.io/Logging_1766/klagomålsmail/A 23145-2021 klagomålsmail.docx", "A 23145-2021")</f>
        <v/>
      </c>
      <c r="X75">
        <f>HYPERLINK("https://klasma.github.io/Logging_1766/tillsyn/A 23145-2021 tillsyn.docx", "A 23145-2021")</f>
        <v/>
      </c>
      <c r="Y75">
        <f>HYPERLINK("https://klasma.github.io/Logging_1766/tillsynsmail/A 23145-2021 tillsynsmail.docx", "A 23145-2021")</f>
        <v/>
      </c>
    </row>
    <row r="76" ht="15" customHeight="1">
      <c r="A76" t="inlineStr">
        <is>
          <t>A 32762-2021</t>
        </is>
      </c>
      <c r="B76" s="1" t="n">
        <v>44375</v>
      </c>
      <c r="C76" s="1" t="n">
        <v>45212</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HYPERLINK("https://klasma.github.io/Logging_1765/karta/A 32762-2021 karta.png", "A 32762-2021")</f>
        <v/>
      </c>
      <c r="V76">
        <f>HYPERLINK("https://klasma.github.io/Logging_1765/klagomål/A 32762-2021 klagomål.docx", "A 32762-2021")</f>
        <v/>
      </c>
      <c r="W76">
        <f>HYPERLINK("https://klasma.github.io/Logging_1765/klagomålsmail/A 32762-2021 klagomålsmail.docx", "A 32762-2021")</f>
        <v/>
      </c>
      <c r="X76">
        <f>HYPERLINK("https://klasma.github.io/Logging_1765/tillsyn/A 32762-2021 tillsyn.docx", "A 32762-2021")</f>
        <v/>
      </c>
      <c r="Y76">
        <f>HYPERLINK("https://klasma.github.io/Logging_1765/tillsynsmail/A 32762-2021 tillsynsmail.docx", "A 32762-2021")</f>
        <v/>
      </c>
    </row>
    <row r="77" ht="15" customHeight="1">
      <c r="A77" t="inlineStr">
        <is>
          <t>A 36422-2021</t>
        </is>
      </c>
      <c r="B77" s="1" t="n">
        <v>44375</v>
      </c>
      <c r="C77" s="1" t="n">
        <v>45212</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HYPERLINK("https://klasma.github.io/Logging_1730/karta/A 36422-2021 karta.png", "A 36422-2021")</f>
        <v/>
      </c>
      <c r="V77">
        <f>HYPERLINK("https://klasma.github.io/Logging_1730/klagomål/A 36422-2021 klagomål.docx", "A 36422-2021")</f>
        <v/>
      </c>
      <c r="W77">
        <f>HYPERLINK("https://klasma.github.io/Logging_1730/klagomålsmail/A 36422-2021 klagomålsmail.docx", "A 36422-2021")</f>
        <v/>
      </c>
      <c r="X77">
        <f>HYPERLINK("https://klasma.github.io/Logging_1730/tillsyn/A 36422-2021 tillsyn.docx", "A 36422-2021")</f>
        <v/>
      </c>
      <c r="Y77">
        <f>HYPERLINK("https://klasma.github.io/Logging_1730/tillsynsmail/A 36422-2021 tillsynsmail.docx", "A 36422-2021")</f>
        <v/>
      </c>
    </row>
    <row r="78" ht="15" customHeight="1">
      <c r="A78" t="inlineStr">
        <is>
          <t>A 63807-2021</t>
        </is>
      </c>
      <c r="B78" s="1" t="n">
        <v>44509</v>
      </c>
      <c r="C78" s="1" t="n">
        <v>45212</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HYPERLINK("https://klasma.github.io/Logging_1766/karta/A 63807-2021 karta.png", "A 63807-2021")</f>
        <v/>
      </c>
      <c r="V78">
        <f>HYPERLINK("https://klasma.github.io/Logging_1766/klagomål/A 63807-2021 klagomål.docx", "A 63807-2021")</f>
        <v/>
      </c>
      <c r="W78">
        <f>HYPERLINK("https://klasma.github.io/Logging_1766/klagomålsmail/A 63807-2021 klagomålsmail.docx", "A 63807-2021")</f>
        <v/>
      </c>
      <c r="X78">
        <f>HYPERLINK("https://klasma.github.io/Logging_1766/tillsyn/A 63807-2021 tillsyn.docx", "A 63807-2021")</f>
        <v/>
      </c>
      <c r="Y78">
        <f>HYPERLINK("https://klasma.github.io/Logging_1766/tillsynsmail/A 63807-2021 tillsynsmail.docx", "A 63807-2021")</f>
        <v/>
      </c>
    </row>
    <row r="79" ht="15" customHeight="1">
      <c r="A79" t="inlineStr">
        <is>
          <t>A 17268-2022</t>
        </is>
      </c>
      <c r="B79" s="1" t="n">
        <v>44678</v>
      </c>
      <c r="C79" s="1" t="n">
        <v>45212</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HYPERLINK("https://klasma.github.io/Logging_1765/karta/A 17268-2022 karta.png", "A 17268-2022")</f>
        <v/>
      </c>
      <c r="V79">
        <f>HYPERLINK("https://klasma.github.io/Logging_1765/klagomål/A 17268-2022 klagomål.docx", "A 17268-2022")</f>
        <v/>
      </c>
      <c r="W79">
        <f>HYPERLINK("https://klasma.github.io/Logging_1765/klagomålsmail/A 17268-2022 klagomålsmail.docx", "A 17268-2022")</f>
        <v/>
      </c>
      <c r="X79">
        <f>HYPERLINK("https://klasma.github.io/Logging_1765/tillsyn/A 17268-2022 tillsyn.docx", "A 17268-2022")</f>
        <v/>
      </c>
      <c r="Y79">
        <f>HYPERLINK("https://klasma.github.io/Logging_1765/tillsynsmail/A 17268-2022 tillsynsmail.docx", "A 17268-2022")</f>
        <v/>
      </c>
    </row>
    <row r="80" ht="15" customHeight="1">
      <c r="A80" t="inlineStr">
        <is>
          <t>A 42501-2022</t>
        </is>
      </c>
      <c r="B80" s="1" t="n">
        <v>44831</v>
      </c>
      <c r="C80" s="1" t="n">
        <v>45212</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HYPERLINK("https://klasma.github.io/Logging_1737/karta/A 42501-2022 karta.png", "A 42501-2022")</f>
        <v/>
      </c>
      <c r="V80">
        <f>HYPERLINK("https://klasma.github.io/Logging_1737/klagomål/A 42501-2022 klagomål.docx", "A 42501-2022")</f>
        <v/>
      </c>
      <c r="W80">
        <f>HYPERLINK("https://klasma.github.io/Logging_1737/klagomålsmail/A 42501-2022 klagomålsmail.docx", "A 42501-2022")</f>
        <v/>
      </c>
      <c r="X80">
        <f>HYPERLINK("https://klasma.github.io/Logging_1737/tillsyn/A 42501-2022 tillsyn.docx", "A 42501-2022")</f>
        <v/>
      </c>
      <c r="Y80">
        <f>HYPERLINK("https://klasma.github.io/Logging_1737/tillsynsmail/A 42501-2022 tillsynsmail.docx", "A 42501-2022")</f>
        <v/>
      </c>
    </row>
    <row r="81" ht="15" customHeight="1">
      <c r="A81" t="inlineStr">
        <is>
          <t>A 54297-2022</t>
        </is>
      </c>
      <c r="B81" s="1" t="n">
        <v>44882</v>
      </c>
      <c r="C81" s="1" t="n">
        <v>45212</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HYPERLINK("https://klasma.github.io/Logging_1737/karta/A 54297-2022 karta.png", "A 54297-2022")</f>
        <v/>
      </c>
      <c r="V81">
        <f>HYPERLINK("https://klasma.github.io/Logging_1737/klagomål/A 54297-2022 klagomål.docx", "A 54297-2022")</f>
        <v/>
      </c>
      <c r="W81">
        <f>HYPERLINK("https://klasma.github.io/Logging_1737/klagomålsmail/A 54297-2022 klagomålsmail.docx", "A 54297-2022")</f>
        <v/>
      </c>
      <c r="X81">
        <f>HYPERLINK("https://klasma.github.io/Logging_1737/tillsyn/A 54297-2022 tillsyn.docx", "A 54297-2022")</f>
        <v/>
      </c>
      <c r="Y81">
        <f>HYPERLINK("https://klasma.github.io/Logging_1737/tillsynsmail/A 54297-2022 tillsynsmail.docx", "A 54297-2022")</f>
        <v/>
      </c>
    </row>
    <row r="82" ht="15" customHeight="1">
      <c r="A82" t="inlineStr">
        <is>
          <t>A 7484-2023</t>
        </is>
      </c>
      <c r="B82" s="1" t="n">
        <v>44971</v>
      </c>
      <c r="C82" s="1" t="n">
        <v>45212</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HYPERLINK("https://klasma.github.io/Logging_1780/karta/A 7484-2023 karta.png", "A 7484-2023")</f>
        <v/>
      </c>
      <c r="V82">
        <f>HYPERLINK("https://klasma.github.io/Logging_1780/klagomål/A 7484-2023 klagomål.docx", "A 7484-2023")</f>
        <v/>
      </c>
      <c r="W82">
        <f>HYPERLINK("https://klasma.github.io/Logging_1780/klagomålsmail/A 7484-2023 klagomålsmail.docx", "A 7484-2023")</f>
        <v/>
      </c>
      <c r="X82">
        <f>HYPERLINK("https://klasma.github.io/Logging_1780/tillsyn/A 7484-2023 tillsyn.docx", "A 7484-2023")</f>
        <v/>
      </c>
      <c r="Y82">
        <f>HYPERLINK("https://klasma.github.io/Logging_1780/tillsynsmail/A 7484-2023 tillsynsmail.docx", "A 7484-2023")</f>
        <v/>
      </c>
    </row>
    <row r="83" ht="15" customHeight="1">
      <c r="A83" t="inlineStr">
        <is>
          <t>A 16134-2023</t>
        </is>
      </c>
      <c r="B83" s="1" t="n">
        <v>45021</v>
      </c>
      <c r="C83" s="1" t="n">
        <v>45212</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HYPERLINK("https://klasma.github.io/Logging_1737/karta/A 16134-2023 karta.png", "A 16134-2023")</f>
        <v/>
      </c>
      <c r="V83">
        <f>HYPERLINK("https://klasma.github.io/Logging_1737/klagomål/A 16134-2023 klagomål.docx", "A 16134-2023")</f>
        <v/>
      </c>
      <c r="W83">
        <f>HYPERLINK("https://klasma.github.io/Logging_1737/klagomålsmail/A 16134-2023 klagomålsmail.docx", "A 16134-2023")</f>
        <v/>
      </c>
      <c r="X83">
        <f>HYPERLINK("https://klasma.github.io/Logging_1737/tillsyn/A 16134-2023 tillsyn.docx", "A 16134-2023")</f>
        <v/>
      </c>
      <c r="Y83">
        <f>HYPERLINK("https://klasma.github.io/Logging_1737/tillsynsmail/A 16134-2023 tillsynsmail.docx", "A 16134-2023")</f>
        <v/>
      </c>
    </row>
    <row r="84" ht="15" customHeight="1">
      <c r="A84" t="inlineStr">
        <is>
          <t>A 19980-2023</t>
        </is>
      </c>
      <c r="B84" s="1" t="n">
        <v>45051</v>
      </c>
      <c r="C84" s="1" t="n">
        <v>45212</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HYPERLINK("https://klasma.github.io/Logging_1765/karta/A 19980-2023 karta.png", "A 19980-2023")</f>
        <v/>
      </c>
      <c r="V84">
        <f>HYPERLINK("https://klasma.github.io/Logging_1765/klagomål/A 19980-2023 klagomål.docx", "A 19980-2023")</f>
        <v/>
      </c>
      <c r="W84">
        <f>HYPERLINK("https://klasma.github.io/Logging_1765/klagomålsmail/A 19980-2023 klagomålsmail.docx", "A 19980-2023")</f>
        <v/>
      </c>
      <c r="X84">
        <f>HYPERLINK("https://klasma.github.io/Logging_1765/tillsyn/A 19980-2023 tillsyn.docx", "A 19980-2023")</f>
        <v/>
      </c>
      <c r="Y84">
        <f>HYPERLINK("https://klasma.github.io/Logging_1765/tillsynsmail/A 19980-2023 tillsynsmail.docx", "A 19980-2023")</f>
        <v/>
      </c>
    </row>
    <row r="85" ht="15" customHeight="1">
      <c r="A85" t="inlineStr">
        <is>
          <t>A 41227-2023</t>
        </is>
      </c>
      <c r="B85" s="1" t="n">
        <v>45174</v>
      </c>
      <c r="C85" s="1" t="n">
        <v>45212</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HYPERLINK("https://klasma.github.io/Logging_1780/karta/A 41227-2023 karta.png", "A 41227-2023")</f>
        <v/>
      </c>
      <c r="V85">
        <f>HYPERLINK("https://klasma.github.io/Logging_1780/klagomål/A 41227-2023 klagomål.docx", "A 41227-2023")</f>
        <v/>
      </c>
      <c r="W85">
        <f>HYPERLINK("https://klasma.github.io/Logging_1780/klagomålsmail/A 41227-2023 klagomålsmail.docx", "A 41227-2023")</f>
        <v/>
      </c>
      <c r="X85">
        <f>HYPERLINK("https://klasma.github.io/Logging_1780/tillsyn/A 41227-2023 tillsyn.docx", "A 41227-2023")</f>
        <v/>
      </c>
      <c r="Y85">
        <f>HYPERLINK("https://klasma.github.io/Logging_1780/tillsynsmail/A 41227-2023 tillsynsmail.docx", "A 41227-2023")</f>
        <v/>
      </c>
    </row>
    <row r="86" ht="15" customHeight="1">
      <c r="A86" t="inlineStr">
        <is>
          <t>A 56910-2018</t>
        </is>
      </c>
      <c r="B86" s="1" t="n">
        <v>43395</v>
      </c>
      <c r="C86" s="1" t="n">
        <v>45212</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HYPERLINK("https://klasma.github.io/Logging_1737/karta/A 56910-2018 karta.png", "A 56910-2018")</f>
        <v/>
      </c>
      <c r="V86">
        <f>HYPERLINK("https://klasma.github.io/Logging_1737/klagomål/A 56910-2018 klagomål.docx", "A 56910-2018")</f>
        <v/>
      </c>
      <c r="W86">
        <f>HYPERLINK("https://klasma.github.io/Logging_1737/klagomålsmail/A 56910-2018 klagomålsmail.docx", "A 56910-2018")</f>
        <v/>
      </c>
      <c r="X86">
        <f>HYPERLINK("https://klasma.github.io/Logging_1737/tillsyn/A 56910-2018 tillsyn.docx", "A 56910-2018")</f>
        <v/>
      </c>
      <c r="Y86">
        <f>HYPERLINK("https://klasma.github.io/Logging_1737/tillsynsmail/A 56910-2018 tillsynsmail.docx", "A 56910-2018")</f>
        <v/>
      </c>
    </row>
    <row r="87" ht="15" customHeight="1">
      <c r="A87" t="inlineStr">
        <is>
          <t>A 63171-2018</t>
        </is>
      </c>
      <c r="B87" s="1" t="n">
        <v>43418</v>
      </c>
      <c r="C87" s="1" t="n">
        <v>45212</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HYPERLINK("https://klasma.github.io/Logging_1730/karta/A 63171-2018 karta.png", "A 63171-2018")</f>
        <v/>
      </c>
      <c r="U87">
        <f>HYPERLINK("https://klasma.github.io/Logging_1730/knärot/A 63171-2018 knärot.png", "A 63171-2018")</f>
        <v/>
      </c>
      <c r="V87">
        <f>HYPERLINK("https://klasma.github.io/Logging_1730/klagomål/A 63171-2018 klagomål.docx", "A 63171-2018")</f>
        <v/>
      </c>
      <c r="W87">
        <f>HYPERLINK("https://klasma.github.io/Logging_1730/klagomålsmail/A 63171-2018 klagomålsmail.docx", "A 63171-2018")</f>
        <v/>
      </c>
      <c r="X87">
        <f>HYPERLINK("https://klasma.github.io/Logging_1730/tillsyn/A 63171-2018 tillsyn.docx", "A 63171-2018")</f>
        <v/>
      </c>
      <c r="Y87">
        <f>HYPERLINK("https://klasma.github.io/Logging_1730/tillsynsmail/A 63171-2018 tillsynsmail.docx", "A 63171-2018")</f>
        <v/>
      </c>
    </row>
    <row r="88" ht="15" customHeight="1">
      <c r="A88" t="inlineStr">
        <is>
          <t>A 63195-2018</t>
        </is>
      </c>
      <c r="B88" s="1" t="n">
        <v>43418</v>
      </c>
      <c r="C88" s="1" t="n">
        <v>45212</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HYPERLINK("https://klasma.github.io/Logging_1784/karta/A 63195-2018 karta.png", "A 63195-2018")</f>
        <v/>
      </c>
      <c r="V88">
        <f>HYPERLINK("https://klasma.github.io/Logging_1784/klagomål/A 63195-2018 klagomål.docx", "A 63195-2018")</f>
        <v/>
      </c>
      <c r="W88">
        <f>HYPERLINK("https://klasma.github.io/Logging_1784/klagomålsmail/A 63195-2018 klagomålsmail.docx", "A 63195-2018")</f>
        <v/>
      </c>
      <c r="X88">
        <f>HYPERLINK("https://klasma.github.io/Logging_1784/tillsyn/A 63195-2018 tillsyn.docx", "A 63195-2018")</f>
        <v/>
      </c>
      <c r="Y88">
        <f>HYPERLINK("https://klasma.github.io/Logging_1784/tillsynsmail/A 63195-2018 tillsynsmail.docx", "A 63195-2018")</f>
        <v/>
      </c>
    </row>
    <row r="89" ht="15" customHeight="1">
      <c r="A89" t="inlineStr">
        <is>
          <t>A 64103-2018</t>
        </is>
      </c>
      <c r="B89" s="1" t="n">
        <v>43430</v>
      </c>
      <c r="C89" s="1" t="n">
        <v>45212</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HYPERLINK("https://klasma.github.io/Logging_1737/karta/A 64103-2018 karta.png", "A 64103-2018")</f>
        <v/>
      </c>
      <c r="V89">
        <f>HYPERLINK("https://klasma.github.io/Logging_1737/klagomål/A 64103-2018 klagomål.docx", "A 64103-2018")</f>
        <v/>
      </c>
      <c r="W89">
        <f>HYPERLINK("https://klasma.github.io/Logging_1737/klagomålsmail/A 64103-2018 klagomålsmail.docx", "A 64103-2018")</f>
        <v/>
      </c>
      <c r="X89">
        <f>HYPERLINK("https://klasma.github.io/Logging_1737/tillsyn/A 64103-2018 tillsyn.docx", "A 64103-2018")</f>
        <v/>
      </c>
      <c r="Y89">
        <f>HYPERLINK("https://klasma.github.io/Logging_1737/tillsynsmail/A 64103-2018 tillsynsmail.docx", "A 64103-2018")</f>
        <v/>
      </c>
    </row>
    <row r="90" ht="15" customHeight="1">
      <c r="A90" t="inlineStr">
        <is>
          <t>A 70664-2018</t>
        </is>
      </c>
      <c r="B90" s="1" t="n">
        <v>43448</v>
      </c>
      <c r="C90" s="1" t="n">
        <v>45212</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HYPERLINK("https://klasma.github.io/Logging_1780/karta/A 70664-2018 karta.png", "A 70664-2018")</f>
        <v/>
      </c>
      <c r="V90">
        <f>HYPERLINK("https://klasma.github.io/Logging_1780/klagomål/A 70664-2018 klagomål.docx", "A 70664-2018")</f>
        <v/>
      </c>
      <c r="W90">
        <f>HYPERLINK("https://klasma.github.io/Logging_1780/klagomålsmail/A 70664-2018 klagomålsmail.docx", "A 70664-2018")</f>
        <v/>
      </c>
      <c r="X90">
        <f>HYPERLINK("https://klasma.github.io/Logging_1780/tillsyn/A 70664-2018 tillsyn.docx", "A 70664-2018")</f>
        <v/>
      </c>
      <c r="Y90">
        <f>HYPERLINK("https://klasma.github.io/Logging_1780/tillsynsmail/A 70664-2018 tillsynsmail.docx", "A 70664-2018")</f>
        <v/>
      </c>
    </row>
    <row r="91" ht="15" customHeight="1">
      <c r="A91" t="inlineStr">
        <is>
          <t>A 14700-2019</t>
        </is>
      </c>
      <c r="B91" s="1" t="n">
        <v>43535</v>
      </c>
      <c r="C91" s="1" t="n">
        <v>45212</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HYPERLINK("https://klasma.github.io/Logging_1763/karta/A 14700-2019 karta.png", "A 14700-2019")</f>
        <v/>
      </c>
      <c r="V91">
        <f>HYPERLINK("https://klasma.github.io/Logging_1763/klagomål/A 14700-2019 klagomål.docx", "A 14700-2019")</f>
        <v/>
      </c>
      <c r="W91">
        <f>HYPERLINK("https://klasma.github.io/Logging_1763/klagomålsmail/A 14700-2019 klagomålsmail.docx", "A 14700-2019")</f>
        <v/>
      </c>
      <c r="X91">
        <f>HYPERLINK("https://klasma.github.io/Logging_1763/tillsyn/A 14700-2019 tillsyn.docx", "A 14700-2019")</f>
        <v/>
      </c>
      <c r="Y91">
        <f>HYPERLINK("https://klasma.github.io/Logging_1763/tillsynsmail/A 14700-2019 tillsynsmail.docx", "A 14700-2019")</f>
        <v/>
      </c>
    </row>
    <row r="92" ht="15" customHeight="1">
      <c r="A92" t="inlineStr">
        <is>
          <t>A 22865-2019</t>
        </is>
      </c>
      <c r="B92" s="1" t="n">
        <v>43591</v>
      </c>
      <c r="C92" s="1" t="n">
        <v>45212</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HYPERLINK("https://klasma.github.io/Logging_1780/karta/A 22865-2019 karta.png", "A 22865-2019")</f>
        <v/>
      </c>
      <c r="V92">
        <f>HYPERLINK("https://klasma.github.io/Logging_1780/klagomål/A 22865-2019 klagomål.docx", "A 22865-2019")</f>
        <v/>
      </c>
      <c r="W92">
        <f>HYPERLINK("https://klasma.github.io/Logging_1780/klagomålsmail/A 22865-2019 klagomålsmail.docx", "A 22865-2019")</f>
        <v/>
      </c>
      <c r="X92">
        <f>HYPERLINK("https://klasma.github.io/Logging_1780/tillsyn/A 22865-2019 tillsyn.docx", "A 22865-2019")</f>
        <v/>
      </c>
      <c r="Y92">
        <f>HYPERLINK("https://klasma.github.io/Logging_1780/tillsynsmail/A 22865-2019 tillsynsmail.docx", "A 22865-2019")</f>
        <v/>
      </c>
    </row>
    <row r="93" ht="15" customHeight="1">
      <c r="A93" t="inlineStr">
        <is>
          <t>A 23049-2019</t>
        </is>
      </c>
      <c r="B93" s="1" t="n">
        <v>43591</v>
      </c>
      <c r="C93" s="1" t="n">
        <v>45212</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HYPERLINK("https://klasma.github.io/Logging_1780/karta/A 23049-2019 karta.png", "A 23049-2019")</f>
        <v/>
      </c>
      <c r="V93">
        <f>HYPERLINK("https://klasma.github.io/Logging_1780/klagomål/A 23049-2019 klagomål.docx", "A 23049-2019")</f>
        <v/>
      </c>
      <c r="W93">
        <f>HYPERLINK("https://klasma.github.io/Logging_1780/klagomålsmail/A 23049-2019 klagomålsmail.docx", "A 23049-2019")</f>
        <v/>
      </c>
      <c r="X93">
        <f>HYPERLINK("https://klasma.github.io/Logging_1780/tillsyn/A 23049-2019 tillsyn.docx", "A 23049-2019")</f>
        <v/>
      </c>
      <c r="Y93">
        <f>HYPERLINK("https://klasma.github.io/Logging_1780/tillsynsmail/A 23049-2019 tillsynsmail.docx", "A 23049-2019")</f>
        <v/>
      </c>
    </row>
    <row r="94" ht="15" customHeight="1">
      <c r="A94" t="inlineStr">
        <is>
          <t>A 24010-2019</t>
        </is>
      </c>
      <c r="B94" s="1" t="n">
        <v>43598</v>
      </c>
      <c r="C94" s="1" t="n">
        <v>45212</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HYPERLINK("https://klasma.github.io/Logging_1737/karta/A 24010-2019 karta.png", "A 24010-2019")</f>
        <v/>
      </c>
      <c r="V94">
        <f>HYPERLINK("https://klasma.github.io/Logging_1737/klagomål/A 24010-2019 klagomål.docx", "A 24010-2019")</f>
        <v/>
      </c>
      <c r="W94">
        <f>HYPERLINK("https://klasma.github.io/Logging_1737/klagomålsmail/A 24010-2019 klagomålsmail.docx", "A 24010-2019")</f>
        <v/>
      </c>
      <c r="X94">
        <f>HYPERLINK("https://klasma.github.io/Logging_1737/tillsyn/A 24010-2019 tillsyn.docx", "A 24010-2019")</f>
        <v/>
      </c>
      <c r="Y94">
        <f>HYPERLINK("https://klasma.github.io/Logging_1737/tillsynsmail/A 24010-2019 tillsynsmail.docx", "A 24010-2019")</f>
        <v/>
      </c>
    </row>
    <row r="95" ht="15" customHeight="1">
      <c r="A95" t="inlineStr">
        <is>
          <t>A 26276-2019</t>
        </is>
      </c>
      <c r="B95" s="1" t="n">
        <v>43611</v>
      </c>
      <c r="C95" s="1" t="n">
        <v>45212</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HYPERLINK("https://klasma.github.io/Logging_1782/karta/A 26276-2019 karta.png", "A 26276-2019")</f>
        <v/>
      </c>
      <c r="V95">
        <f>HYPERLINK("https://klasma.github.io/Logging_1782/klagomål/A 26276-2019 klagomål.docx", "A 26276-2019")</f>
        <v/>
      </c>
      <c r="W95">
        <f>HYPERLINK("https://klasma.github.io/Logging_1782/klagomålsmail/A 26276-2019 klagomålsmail.docx", "A 26276-2019")</f>
        <v/>
      </c>
      <c r="X95">
        <f>HYPERLINK("https://klasma.github.io/Logging_1782/tillsyn/A 26276-2019 tillsyn.docx", "A 26276-2019")</f>
        <v/>
      </c>
      <c r="Y95">
        <f>HYPERLINK("https://klasma.github.io/Logging_1782/tillsynsmail/A 26276-2019 tillsynsmail.docx", "A 26276-2019")</f>
        <v/>
      </c>
    </row>
    <row r="96" ht="15" customHeight="1">
      <c r="A96" t="inlineStr">
        <is>
          <t>A 26919-2019</t>
        </is>
      </c>
      <c r="B96" s="1" t="n">
        <v>43613</v>
      </c>
      <c r="C96" s="1" t="n">
        <v>45212</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HYPERLINK("https://klasma.github.io/Logging_1737/karta/A 26919-2019 karta.png", "A 26919-2019")</f>
        <v/>
      </c>
      <c r="V96">
        <f>HYPERLINK("https://klasma.github.io/Logging_1737/klagomål/A 26919-2019 klagomål.docx", "A 26919-2019")</f>
        <v/>
      </c>
      <c r="W96">
        <f>HYPERLINK("https://klasma.github.io/Logging_1737/klagomålsmail/A 26919-2019 klagomålsmail.docx", "A 26919-2019")</f>
        <v/>
      </c>
      <c r="X96">
        <f>HYPERLINK("https://klasma.github.io/Logging_1737/tillsyn/A 26919-2019 tillsyn.docx", "A 26919-2019")</f>
        <v/>
      </c>
      <c r="Y96">
        <f>HYPERLINK("https://klasma.github.io/Logging_1737/tillsynsmail/A 26919-2019 tillsynsmail.docx", "A 26919-2019")</f>
        <v/>
      </c>
    </row>
    <row r="97" ht="15" customHeight="1">
      <c r="A97" t="inlineStr">
        <is>
          <t>A 32928-2019</t>
        </is>
      </c>
      <c r="B97" s="1" t="n">
        <v>43648</v>
      </c>
      <c r="C97" s="1" t="n">
        <v>45212</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HYPERLINK("https://klasma.github.io/Logging_1737/karta/A 32928-2019 karta.png", "A 32928-2019")</f>
        <v/>
      </c>
      <c r="V97">
        <f>HYPERLINK("https://klasma.github.io/Logging_1737/klagomål/A 32928-2019 klagomål.docx", "A 32928-2019")</f>
        <v/>
      </c>
      <c r="W97">
        <f>HYPERLINK("https://klasma.github.io/Logging_1737/klagomålsmail/A 32928-2019 klagomålsmail.docx", "A 32928-2019")</f>
        <v/>
      </c>
      <c r="X97">
        <f>HYPERLINK("https://klasma.github.io/Logging_1737/tillsyn/A 32928-2019 tillsyn.docx", "A 32928-2019")</f>
        <v/>
      </c>
      <c r="Y97">
        <f>HYPERLINK("https://klasma.github.io/Logging_1737/tillsynsmail/A 32928-2019 tillsynsmail.docx", "A 32928-2019")</f>
        <v/>
      </c>
    </row>
    <row r="98" ht="15" customHeight="1">
      <c r="A98" t="inlineStr">
        <is>
          <t>A 38932-2019</t>
        </is>
      </c>
      <c r="B98" s="1" t="n">
        <v>43689</v>
      </c>
      <c r="C98" s="1" t="n">
        <v>45212</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HYPERLINK("https://klasma.github.io/Logging_1737/karta/A 38932-2019 karta.png", "A 38932-2019")</f>
        <v/>
      </c>
      <c r="V98">
        <f>HYPERLINK("https://klasma.github.io/Logging_1737/klagomål/A 38932-2019 klagomål.docx", "A 38932-2019")</f>
        <v/>
      </c>
      <c r="W98">
        <f>HYPERLINK("https://klasma.github.io/Logging_1737/klagomålsmail/A 38932-2019 klagomålsmail.docx", "A 38932-2019")</f>
        <v/>
      </c>
      <c r="X98">
        <f>HYPERLINK("https://klasma.github.io/Logging_1737/tillsyn/A 38932-2019 tillsyn.docx", "A 38932-2019")</f>
        <v/>
      </c>
      <c r="Y98">
        <f>HYPERLINK("https://klasma.github.io/Logging_1737/tillsynsmail/A 38932-2019 tillsynsmail.docx", "A 38932-2019")</f>
        <v/>
      </c>
    </row>
    <row r="99" ht="15" customHeight="1">
      <c r="A99" t="inlineStr">
        <is>
          <t>A 56475-2019</t>
        </is>
      </c>
      <c r="B99" s="1" t="n">
        <v>43762</v>
      </c>
      <c r="C99" s="1" t="n">
        <v>45212</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HYPERLINK("https://klasma.github.io/Logging_1780/karta/A 56475-2019 karta.png", "A 56475-2019")</f>
        <v/>
      </c>
      <c r="V99">
        <f>HYPERLINK("https://klasma.github.io/Logging_1780/klagomål/A 56475-2019 klagomål.docx", "A 56475-2019")</f>
        <v/>
      </c>
      <c r="W99">
        <f>HYPERLINK("https://klasma.github.io/Logging_1780/klagomålsmail/A 56475-2019 klagomålsmail.docx", "A 56475-2019")</f>
        <v/>
      </c>
      <c r="X99">
        <f>HYPERLINK("https://klasma.github.io/Logging_1780/tillsyn/A 56475-2019 tillsyn.docx", "A 56475-2019")</f>
        <v/>
      </c>
      <c r="Y99">
        <f>HYPERLINK("https://klasma.github.io/Logging_1780/tillsynsmail/A 56475-2019 tillsynsmail.docx", "A 56475-2019")</f>
        <v/>
      </c>
    </row>
    <row r="100" ht="15" customHeight="1">
      <c r="A100" t="inlineStr">
        <is>
          <t>A 5520-2020</t>
        </is>
      </c>
      <c r="B100" s="1" t="n">
        <v>43861</v>
      </c>
      <c r="C100" s="1" t="n">
        <v>45212</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HYPERLINK("https://klasma.github.io/Logging_1780/karta/A 5520-2020 karta.png", "A 5520-2020")</f>
        <v/>
      </c>
      <c r="V100">
        <f>HYPERLINK("https://klasma.github.io/Logging_1780/klagomål/A 5520-2020 klagomål.docx", "A 5520-2020")</f>
        <v/>
      </c>
      <c r="W100">
        <f>HYPERLINK("https://klasma.github.io/Logging_1780/klagomålsmail/A 5520-2020 klagomålsmail.docx", "A 5520-2020")</f>
        <v/>
      </c>
      <c r="X100">
        <f>HYPERLINK("https://klasma.github.io/Logging_1780/tillsyn/A 5520-2020 tillsyn.docx", "A 5520-2020")</f>
        <v/>
      </c>
      <c r="Y100">
        <f>HYPERLINK("https://klasma.github.io/Logging_1780/tillsynsmail/A 5520-2020 tillsynsmail.docx", "A 5520-2020")</f>
        <v/>
      </c>
    </row>
    <row r="101" ht="15" customHeight="1">
      <c r="A101" t="inlineStr">
        <is>
          <t>A 10035-2020</t>
        </is>
      </c>
      <c r="B101" s="1" t="n">
        <v>43882</v>
      </c>
      <c r="C101" s="1" t="n">
        <v>45212</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HYPERLINK("https://klasma.github.io/Logging_1737/karta/A 10035-2020 karta.png", "A 10035-2020")</f>
        <v/>
      </c>
      <c r="V101">
        <f>HYPERLINK("https://klasma.github.io/Logging_1737/klagomål/A 10035-2020 klagomål.docx", "A 10035-2020")</f>
        <v/>
      </c>
      <c r="W101">
        <f>HYPERLINK("https://klasma.github.io/Logging_1737/klagomålsmail/A 10035-2020 klagomålsmail.docx", "A 10035-2020")</f>
        <v/>
      </c>
      <c r="X101">
        <f>HYPERLINK("https://klasma.github.io/Logging_1737/tillsyn/A 10035-2020 tillsyn.docx", "A 10035-2020")</f>
        <v/>
      </c>
      <c r="Y101">
        <f>HYPERLINK("https://klasma.github.io/Logging_1737/tillsynsmail/A 10035-2020 tillsynsmail.docx", "A 10035-2020")</f>
        <v/>
      </c>
    </row>
    <row r="102" ht="15" customHeight="1">
      <c r="A102" t="inlineStr">
        <is>
          <t>A 17212-2020</t>
        </is>
      </c>
      <c r="B102" s="1" t="n">
        <v>43922</v>
      </c>
      <c r="C102" s="1" t="n">
        <v>45212</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HYPERLINK("https://klasma.github.io/Logging_1765/karta/A 17212-2020 karta.png", "A 17212-2020")</f>
        <v/>
      </c>
      <c r="U102">
        <f>HYPERLINK("https://klasma.github.io/Logging_1765/knärot/A 17212-2020 knärot.png", "A 17212-2020")</f>
        <v/>
      </c>
      <c r="V102">
        <f>HYPERLINK("https://klasma.github.io/Logging_1765/klagomål/A 17212-2020 klagomål.docx", "A 17212-2020")</f>
        <v/>
      </c>
      <c r="W102">
        <f>HYPERLINK("https://klasma.github.io/Logging_1765/klagomålsmail/A 17212-2020 klagomålsmail.docx", "A 17212-2020")</f>
        <v/>
      </c>
      <c r="X102">
        <f>HYPERLINK("https://klasma.github.io/Logging_1765/tillsyn/A 17212-2020 tillsyn.docx", "A 17212-2020")</f>
        <v/>
      </c>
      <c r="Y102">
        <f>HYPERLINK("https://klasma.github.io/Logging_1765/tillsynsmail/A 17212-2020 tillsynsmail.docx", "A 17212-2020")</f>
        <v/>
      </c>
    </row>
    <row r="103" ht="15" customHeight="1">
      <c r="A103" t="inlineStr">
        <is>
          <t>A 27265-2020</t>
        </is>
      </c>
      <c r="B103" s="1" t="n">
        <v>43992</v>
      </c>
      <c r="C103" s="1" t="n">
        <v>45212</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HYPERLINK("https://klasma.github.io/Logging_1737/karta/A 27265-2020 karta.png", "A 27265-2020")</f>
        <v/>
      </c>
      <c r="V103">
        <f>HYPERLINK("https://klasma.github.io/Logging_1737/klagomål/A 27265-2020 klagomål.docx", "A 27265-2020")</f>
        <v/>
      </c>
      <c r="W103">
        <f>HYPERLINK("https://klasma.github.io/Logging_1737/klagomålsmail/A 27265-2020 klagomålsmail.docx", "A 27265-2020")</f>
        <v/>
      </c>
      <c r="X103">
        <f>HYPERLINK("https://klasma.github.io/Logging_1737/tillsyn/A 27265-2020 tillsyn.docx", "A 27265-2020")</f>
        <v/>
      </c>
      <c r="Y103">
        <f>HYPERLINK("https://klasma.github.io/Logging_1737/tillsynsmail/A 27265-2020 tillsynsmail.docx", "A 27265-2020")</f>
        <v/>
      </c>
    </row>
    <row r="104" ht="15" customHeight="1">
      <c r="A104" t="inlineStr">
        <is>
          <t>A 34055-2020</t>
        </is>
      </c>
      <c r="B104" s="1" t="n">
        <v>44026</v>
      </c>
      <c r="C104" s="1" t="n">
        <v>45212</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HYPERLINK("https://klasma.github.io/Logging_1784/karta/A 34055-2020 karta.png", "A 34055-2020")</f>
        <v/>
      </c>
      <c r="V104">
        <f>HYPERLINK("https://klasma.github.io/Logging_1784/klagomål/A 34055-2020 klagomål.docx", "A 34055-2020")</f>
        <v/>
      </c>
      <c r="W104">
        <f>HYPERLINK("https://klasma.github.io/Logging_1784/klagomålsmail/A 34055-2020 klagomålsmail.docx", "A 34055-2020")</f>
        <v/>
      </c>
      <c r="X104">
        <f>HYPERLINK("https://klasma.github.io/Logging_1784/tillsyn/A 34055-2020 tillsyn.docx", "A 34055-2020")</f>
        <v/>
      </c>
      <c r="Y104">
        <f>HYPERLINK("https://klasma.github.io/Logging_1784/tillsynsmail/A 34055-2020 tillsynsmail.docx", "A 34055-2020")</f>
        <v/>
      </c>
    </row>
    <row r="105" ht="15" customHeight="1">
      <c r="A105" t="inlineStr">
        <is>
          <t>A 40945-2020</t>
        </is>
      </c>
      <c r="B105" s="1" t="n">
        <v>44070</v>
      </c>
      <c r="C105" s="1" t="n">
        <v>45212</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HYPERLINK("https://klasma.github.io/Logging_1780/karta/A 40945-2020 karta.png", "A 40945-2020")</f>
        <v/>
      </c>
      <c r="U105">
        <f>HYPERLINK("https://klasma.github.io/Logging_1780/knärot/A 40945-2020 knärot.png", "A 40945-2020")</f>
        <v/>
      </c>
      <c r="V105">
        <f>HYPERLINK("https://klasma.github.io/Logging_1780/klagomål/A 40945-2020 klagomål.docx", "A 40945-2020")</f>
        <v/>
      </c>
      <c r="W105">
        <f>HYPERLINK("https://klasma.github.io/Logging_1780/klagomålsmail/A 40945-2020 klagomålsmail.docx", "A 40945-2020")</f>
        <v/>
      </c>
      <c r="X105">
        <f>HYPERLINK("https://klasma.github.io/Logging_1780/tillsyn/A 40945-2020 tillsyn.docx", "A 40945-2020")</f>
        <v/>
      </c>
      <c r="Y105">
        <f>HYPERLINK("https://klasma.github.io/Logging_1780/tillsynsmail/A 40945-2020 tillsynsmail.docx", "A 40945-2020")</f>
        <v/>
      </c>
    </row>
    <row r="106" ht="15" customHeight="1">
      <c r="A106" t="inlineStr">
        <is>
          <t>A 46200-2020</t>
        </is>
      </c>
      <c r="B106" s="1" t="n">
        <v>44092</v>
      </c>
      <c r="C106" s="1" t="n">
        <v>45212</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HYPERLINK("https://klasma.github.io/Logging_1737/karta/A 46200-2020 karta.png", "A 46200-2020")</f>
        <v/>
      </c>
      <c r="V106">
        <f>HYPERLINK("https://klasma.github.io/Logging_1737/klagomål/A 46200-2020 klagomål.docx", "A 46200-2020")</f>
        <v/>
      </c>
      <c r="W106">
        <f>HYPERLINK("https://klasma.github.io/Logging_1737/klagomålsmail/A 46200-2020 klagomålsmail.docx", "A 46200-2020")</f>
        <v/>
      </c>
      <c r="X106">
        <f>HYPERLINK("https://klasma.github.io/Logging_1737/tillsyn/A 46200-2020 tillsyn.docx", "A 46200-2020")</f>
        <v/>
      </c>
      <c r="Y106">
        <f>HYPERLINK("https://klasma.github.io/Logging_1737/tillsynsmail/A 46200-2020 tillsynsmail.docx", "A 46200-2020")</f>
        <v/>
      </c>
    </row>
    <row r="107" ht="15" customHeight="1">
      <c r="A107" t="inlineStr">
        <is>
          <t>A 63491-2020</t>
        </is>
      </c>
      <c r="B107" s="1" t="n">
        <v>44165</v>
      </c>
      <c r="C107" s="1" t="n">
        <v>45212</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HYPERLINK("https://klasma.github.io/Logging_1766/karta/A 63491-2020 karta.png", "A 63491-2020")</f>
        <v/>
      </c>
      <c r="V107">
        <f>HYPERLINK("https://klasma.github.io/Logging_1766/klagomål/A 63491-2020 klagomål.docx", "A 63491-2020")</f>
        <v/>
      </c>
      <c r="W107">
        <f>HYPERLINK("https://klasma.github.io/Logging_1766/klagomålsmail/A 63491-2020 klagomålsmail.docx", "A 63491-2020")</f>
        <v/>
      </c>
      <c r="X107">
        <f>HYPERLINK("https://klasma.github.io/Logging_1766/tillsyn/A 63491-2020 tillsyn.docx", "A 63491-2020")</f>
        <v/>
      </c>
      <c r="Y107">
        <f>HYPERLINK("https://klasma.github.io/Logging_1766/tillsynsmail/A 63491-2020 tillsynsmail.docx", "A 63491-2020")</f>
        <v/>
      </c>
    </row>
    <row r="108" ht="15" customHeight="1">
      <c r="A108" t="inlineStr">
        <is>
          <t>A 4555-2021</t>
        </is>
      </c>
      <c r="B108" s="1" t="n">
        <v>44224</v>
      </c>
      <c r="C108" s="1" t="n">
        <v>45212</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HYPERLINK("https://klasma.github.io/Logging_1737/karta/A 4555-2021 karta.png", "A 4555-2021")</f>
        <v/>
      </c>
      <c r="V108">
        <f>HYPERLINK("https://klasma.github.io/Logging_1737/klagomål/A 4555-2021 klagomål.docx", "A 4555-2021")</f>
        <v/>
      </c>
      <c r="W108">
        <f>HYPERLINK("https://klasma.github.io/Logging_1737/klagomålsmail/A 4555-2021 klagomålsmail.docx", "A 4555-2021")</f>
        <v/>
      </c>
      <c r="X108">
        <f>HYPERLINK("https://klasma.github.io/Logging_1737/tillsyn/A 4555-2021 tillsyn.docx", "A 4555-2021")</f>
        <v/>
      </c>
      <c r="Y108">
        <f>HYPERLINK("https://klasma.github.io/Logging_1737/tillsynsmail/A 4555-2021 tillsynsmail.docx", "A 4555-2021")</f>
        <v/>
      </c>
    </row>
    <row r="109" ht="15" customHeight="1">
      <c r="A109" t="inlineStr">
        <is>
          <t>A 16545-2021</t>
        </is>
      </c>
      <c r="B109" s="1" t="n">
        <v>44293</v>
      </c>
      <c r="C109" s="1" t="n">
        <v>45212</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HYPERLINK("https://klasma.github.io/Logging_1737/karta/A 16545-2021 karta.png", "A 16545-2021")</f>
        <v/>
      </c>
      <c r="V109">
        <f>HYPERLINK("https://klasma.github.io/Logging_1737/klagomål/A 16545-2021 klagomål.docx", "A 16545-2021")</f>
        <v/>
      </c>
      <c r="W109">
        <f>HYPERLINK("https://klasma.github.io/Logging_1737/klagomålsmail/A 16545-2021 klagomålsmail.docx", "A 16545-2021")</f>
        <v/>
      </c>
      <c r="X109">
        <f>HYPERLINK("https://klasma.github.io/Logging_1737/tillsyn/A 16545-2021 tillsyn.docx", "A 16545-2021")</f>
        <v/>
      </c>
      <c r="Y109">
        <f>HYPERLINK("https://klasma.github.io/Logging_1737/tillsynsmail/A 16545-2021 tillsynsmail.docx", "A 16545-2021")</f>
        <v/>
      </c>
    </row>
    <row r="110" ht="15" customHeight="1">
      <c r="A110" t="inlineStr">
        <is>
          <t>A 24836-2021</t>
        </is>
      </c>
      <c r="B110" s="1" t="n">
        <v>44340</v>
      </c>
      <c r="C110" s="1" t="n">
        <v>45212</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HYPERLINK("https://klasma.github.io/Logging_1766/karta/A 24836-2021 karta.png", "A 24836-2021")</f>
        <v/>
      </c>
      <c r="V110">
        <f>HYPERLINK("https://klasma.github.io/Logging_1766/klagomål/A 24836-2021 klagomål.docx", "A 24836-2021")</f>
        <v/>
      </c>
      <c r="W110">
        <f>HYPERLINK("https://klasma.github.io/Logging_1766/klagomålsmail/A 24836-2021 klagomålsmail.docx", "A 24836-2021")</f>
        <v/>
      </c>
      <c r="X110">
        <f>HYPERLINK("https://klasma.github.io/Logging_1766/tillsyn/A 24836-2021 tillsyn.docx", "A 24836-2021")</f>
        <v/>
      </c>
      <c r="Y110">
        <f>HYPERLINK("https://klasma.github.io/Logging_1766/tillsynsmail/A 24836-2021 tillsynsmail.docx", "A 24836-2021")</f>
        <v/>
      </c>
    </row>
    <row r="111" ht="15" customHeight="1">
      <c r="A111" t="inlineStr">
        <is>
          <t>A 28169-2021</t>
        </is>
      </c>
      <c r="B111" s="1" t="n">
        <v>44355</v>
      </c>
      <c r="C111" s="1" t="n">
        <v>45212</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HYPERLINK("https://klasma.github.io/Logging_1782/karta/A 28169-2021 karta.png", "A 28169-2021")</f>
        <v/>
      </c>
      <c r="U111">
        <f>HYPERLINK("https://klasma.github.io/Logging_1782/knärot/A 28169-2021 knärot.png", "A 28169-2021")</f>
        <v/>
      </c>
      <c r="V111">
        <f>HYPERLINK("https://klasma.github.io/Logging_1782/klagomål/A 28169-2021 klagomål.docx", "A 28169-2021")</f>
        <v/>
      </c>
      <c r="W111">
        <f>HYPERLINK("https://klasma.github.io/Logging_1782/klagomålsmail/A 28169-2021 klagomålsmail.docx", "A 28169-2021")</f>
        <v/>
      </c>
      <c r="X111">
        <f>HYPERLINK("https://klasma.github.io/Logging_1782/tillsyn/A 28169-2021 tillsyn.docx", "A 28169-2021")</f>
        <v/>
      </c>
      <c r="Y111">
        <f>HYPERLINK("https://klasma.github.io/Logging_1782/tillsynsmail/A 28169-2021 tillsynsmail.docx", "A 28169-2021")</f>
        <v/>
      </c>
    </row>
    <row r="112" ht="15" customHeight="1">
      <c r="A112" t="inlineStr">
        <is>
          <t>A 36377-2021</t>
        </is>
      </c>
      <c r="B112" s="1" t="n">
        <v>44375</v>
      </c>
      <c r="C112" s="1" t="n">
        <v>45212</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HYPERLINK("https://klasma.github.io/Logging_1730/karta/A 36377-2021 karta.png", "A 36377-2021")</f>
        <v/>
      </c>
      <c r="V112">
        <f>HYPERLINK("https://klasma.github.io/Logging_1730/klagomål/A 36377-2021 klagomål.docx", "A 36377-2021")</f>
        <v/>
      </c>
      <c r="W112">
        <f>HYPERLINK("https://klasma.github.io/Logging_1730/klagomålsmail/A 36377-2021 klagomålsmail.docx", "A 36377-2021")</f>
        <v/>
      </c>
      <c r="X112">
        <f>HYPERLINK("https://klasma.github.io/Logging_1730/tillsyn/A 36377-2021 tillsyn.docx", "A 36377-2021")</f>
        <v/>
      </c>
      <c r="Y112">
        <f>HYPERLINK("https://klasma.github.io/Logging_1730/tillsynsmail/A 36377-2021 tillsynsmail.docx", "A 36377-2021")</f>
        <v/>
      </c>
    </row>
    <row r="113" ht="15" customHeight="1">
      <c r="A113" t="inlineStr">
        <is>
          <t>A 33327-2021</t>
        </is>
      </c>
      <c r="B113" s="1" t="n">
        <v>44377</v>
      </c>
      <c r="C113" s="1" t="n">
        <v>45212</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HYPERLINK("https://klasma.github.io/Logging_1765/karta/A 33327-2021 karta.png", "A 33327-2021")</f>
        <v/>
      </c>
      <c r="U113">
        <f>HYPERLINK("https://klasma.github.io/Logging_1765/knärot/A 33327-2021 knärot.png", "A 33327-2021")</f>
        <v/>
      </c>
      <c r="V113">
        <f>HYPERLINK("https://klasma.github.io/Logging_1765/klagomål/A 33327-2021 klagomål.docx", "A 33327-2021")</f>
        <v/>
      </c>
      <c r="W113">
        <f>HYPERLINK("https://klasma.github.io/Logging_1765/klagomålsmail/A 33327-2021 klagomålsmail.docx", "A 33327-2021")</f>
        <v/>
      </c>
      <c r="X113">
        <f>HYPERLINK("https://klasma.github.io/Logging_1765/tillsyn/A 33327-2021 tillsyn.docx", "A 33327-2021")</f>
        <v/>
      </c>
      <c r="Y113">
        <f>HYPERLINK("https://klasma.github.io/Logging_1765/tillsynsmail/A 33327-2021 tillsynsmail.docx", "A 33327-2021")</f>
        <v/>
      </c>
    </row>
    <row r="114" ht="15" customHeight="1">
      <c r="A114" t="inlineStr">
        <is>
          <t>A 63880-2021</t>
        </is>
      </c>
      <c r="B114" s="1" t="n">
        <v>44509</v>
      </c>
      <c r="C114" s="1" t="n">
        <v>45212</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HYPERLINK("https://klasma.github.io/Logging_1784/karta/A 63880-2021 karta.png", "A 63880-2021")</f>
        <v/>
      </c>
      <c r="V114">
        <f>HYPERLINK("https://klasma.github.io/Logging_1784/klagomål/A 63880-2021 klagomål.docx", "A 63880-2021")</f>
        <v/>
      </c>
      <c r="W114">
        <f>HYPERLINK("https://klasma.github.io/Logging_1784/klagomålsmail/A 63880-2021 klagomålsmail.docx", "A 63880-2021")</f>
        <v/>
      </c>
      <c r="X114">
        <f>HYPERLINK("https://klasma.github.io/Logging_1784/tillsyn/A 63880-2021 tillsyn.docx", "A 63880-2021")</f>
        <v/>
      </c>
      <c r="Y114">
        <f>HYPERLINK("https://klasma.github.io/Logging_1784/tillsynsmail/A 63880-2021 tillsynsmail.docx", "A 63880-2021")</f>
        <v/>
      </c>
    </row>
    <row r="115" ht="15" customHeight="1">
      <c r="A115" t="inlineStr">
        <is>
          <t>A 70301-2021</t>
        </is>
      </c>
      <c r="B115" s="1" t="n">
        <v>44536</v>
      </c>
      <c r="C115" s="1" t="n">
        <v>45212</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 artfynd.xlsx", "A 70301-2021")</f>
        <v/>
      </c>
      <c r="T115">
        <f>HYPERLINK("https://klasma.github.io/Logging_1737/karta/A 70301-2021 karta.png", "A 70301-2021")</f>
        <v/>
      </c>
      <c r="V115">
        <f>HYPERLINK("https://klasma.github.io/Logging_1737/klagomål/A 70301-2021 klagomål.docx", "A 70301-2021")</f>
        <v/>
      </c>
      <c r="W115">
        <f>HYPERLINK("https://klasma.github.io/Logging_1737/klagomålsmail/A 70301-2021 klagomålsmail.docx", "A 70301-2021")</f>
        <v/>
      </c>
      <c r="X115">
        <f>HYPERLINK("https://klasma.github.io/Logging_1737/tillsyn/A 70301-2021 tillsyn.docx", "A 70301-2021")</f>
        <v/>
      </c>
      <c r="Y115">
        <f>HYPERLINK("https://klasma.github.io/Logging_1737/tillsynsmail/A 70301-2021 tillsynsmail.docx", "A 70301-2021")</f>
        <v/>
      </c>
    </row>
    <row r="116" ht="15" customHeight="1">
      <c r="A116" t="inlineStr">
        <is>
          <t>A 8612-2022</t>
        </is>
      </c>
      <c r="B116" s="1" t="n">
        <v>44613</v>
      </c>
      <c r="C116" s="1" t="n">
        <v>45212</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 artfynd.xlsx", "A 8612-2022")</f>
        <v/>
      </c>
      <c r="T116">
        <f>HYPERLINK("https://klasma.github.io/Logging_1784/karta/A 8612-2022 karta.png", "A 8612-2022")</f>
        <v/>
      </c>
      <c r="V116">
        <f>HYPERLINK("https://klasma.github.io/Logging_1784/klagomål/A 8612-2022 klagomål.docx", "A 8612-2022")</f>
        <v/>
      </c>
      <c r="W116">
        <f>HYPERLINK("https://klasma.github.io/Logging_1784/klagomålsmail/A 8612-2022 klagomålsmail.docx", "A 8612-2022")</f>
        <v/>
      </c>
      <c r="X116">
        <f>HYPERLINK("https://klasma.github.io/Logging_1784/tillsyn/A 8612-2022 tillsyn.docx", "A 8612-2022")</f>
        <v/>
      </c>
      <c r="Y116">
        <f>HYPERLINK("https://klasma.github.io/Logging_1784/tillsynsmail/A 8612-2022 tillsynsmail.docx", "A 8612-2022")</f>
        <v/>
      </c>
    </row>
    <row r="117" ht="15" customHeight="1">
      <c r="A117" t="inlineStr">
        <is>
          <t>A 11927-2022</t>
        </is>
      </c>
      <c r="B117" s="1" t="n">
        <v>44635</v>
      </c>
      <c r="C117" s="1" t="n">
        <v>45212</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 artfynd.xlsx", "A 11927-2022")</f>
        <v/>
      </c>
      <c r="T117">
        <f>HYPERLINK("https://klasma.github.io/Logging_1780/karta/A 11927-2022 karta.png", "A 11927-2022")</f>
        <v/>
      </c>
      <c r="V117">
        <f>HYPERLINK("https://klasma.github.io/Logging_1780/klagomål/A 11927-2022 klagomål.docx", "A 11927-2022")</f>
        <v/>
      </c>
      <c r="W117">
        <f>HYPERLINK("https://klasma.github.io/Logging_1780/klagomålsmail/A 11927-2022 klagomålsmail.docx", "A 11927-2022")</f>
        <v/>
      </c>
      <c r="X117">
        <f>HYPERLINK("https://klasma.github.io/Logging_1780/tillsyn/A 11927-2022 tillsyn.docx", "A 11927-2022")</f>
        <v/>
      </c>
      <c r="Y117">
        <f>HYPERLINK("https://klasma.github.io/Logging_1780/tillsynsmail/A 11927-2022 tillsynsmail.docx", "A 11927-2022")</f>
        <v/>
      </c>
    </row>
    <row r="118" ht="15" customHeight="1">
      <c r="A118" t="inlineStr">
        <is>
          <t>A 23576-2022</t>
        </is>
      </c>
      <c r="B118" s="1" t="n">
        <v>44721</v>
      </c>
      <c r="C118" s="1" t="n">
        <v>45212</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 artfynd.xlsx", "A 23576-2022")</f>
        <v/>
      </c>
      <c r="T118">
        <f>HYPERLINK("https://klasma.github.io/Logging_1737/karta/A 23576-2022 karta.png", "A 23576-2022")</f>
        <v/>
      </c>
      <c r="V118">
        <f>HYPERLINK("https://klasma.github.io/Logging_1737/klagomål/A 23576-2022 klagomål.docx", "A 23576-2022")</f>
        <v/>
      </c>
      <c r="W118">
        <f>HYPERLINK("https://klasma.github.io/Logging_1737/klagomålsmail/A 23576-2022 klagomålsmail.docx", "A 23576-2022")</f>
        <v/>
      </c>
      <c r="X118">
        <f>HYPERLINK("https://klasma.github.io/Logging_1737/tillsyn/A 23576-2022 tillsyn.docx", "A 23576-2022")</f>
        <v/>
      </c>
      <c r="Y118">
        <f>HYPERLINK("https://klasma.github.io/Logging_1737/tillsynsmail/A 23576-2022 tillsynsmail.docx", "A 23576-2022")</f>
        <v/>
      </c>
    </row>
    <row r="119" ht="15" customHeight="1">
      <c r="A119" t="inlineStr">
        <is>
          <t>A 26898-2022</t>
        </is>
      </c>
      <c r="B119" s="1" t="n">
        <v>44740</v>
      </c>
      <c r="C119" s="1" t="n">
        <v>45212</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 artfynd.xlsx", "A 26898-2022")</f>
        <v/>
      </c>
      <c r="T119">
        <f>HYPERLINK("https://klasma.github.io/Logging_1730/karta/A 26898-2022 karta.png", "A 26898-2022")</f>
        <v/>
      </c>
      <c r="V119">
        <f>HYPERLINK("https://klasma.github.io/Logging_1730/klagomål/A 26898-2022 klagomål.docx", "A 26898-2022")</f>
        <v/>
      </c>
      <c r="W119">
        <f>HYPERLINK("https://klasma.github.io/Logging_1730/klagomålsmail/A 26898-2022 klagomålsmail.docx", "A 26898-2022")</f>
        <v/>
      </c>
      <c r="X119">
        <f>HYPERLINK("https://klasma.github.io/Logging_1730/tillsyn/A 26898-2022 tillsyn.docx", "A 26898-2022")</f>
        <v/>
      </c>
      <c r="Y119">
        <f>HYPERLINK("https://klasma.github.io/Logging_1730/tillsynsmail/A 26898-2022 tillsynsmail.docx", "A 26898-2022")</f>
        <v/>
      </c>
    </row>
    <row r="120" ht="15" customHeight="1">
      <c r="A120" t="inlineStr">
        <is>
          <t>A 31151-2022</t>
        </is>
      </c>
      <c r="B120" s="1" t="n">
        <v>44770</v>
      </c>
      <c r="C120" s="1" t="n">
        <v>45212</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 artfynd.xlsx", "A 31151-2022")</f>
        <v/>
      </c>
      <c r="T120">
        <f>HYPERLINK("https://klasma.github.io/Logging_1780/karta/A 31151-2022 karta.png", "A 31151-2022")</f>
        <v/>
      </c>
      <c r="V120">
        <f>HYPERLINK("https://klasma.github.io/Logging_1780/klagomål/A 31151-2022 klagomål.docx", "A 31151-2022")</f>
        <v/>
      </c>
      <c r="W120">
        <f>HYPERLINK("https://klasma.github.io/Logging_1780/klagomålsmail/A 31151-2022 klagomålsmail.docx", "A 31151-2022")</f>
        <v/>
      </c>
      <c r="X120">
        <f>HYPERLINK("https://klasma.github.io/Logging_1780/tillsyn/A 31151-2022 tillsyn.docx", "A 31151-2022")</f>
        <v/>
      </c>
      <c r="Y120">
        <f>HYPERLINK("https://klasma.github.io/Logging_1780/tillsynsmail/A 31151-2022 tillsynsmail.docx", "A 31151-2022")</f>
        <v/>
      </c>
    </row>
    <row r="121" ht="15" customHeight="1">
      <c r="A121" t="inlineStr">
        <is>
          <t>A 42480-2022</t>
        </is>
      </c>
      <c r="B121" s="1" t="n">
        <v>44831</v>
      </c>
      <c r="C121" s="1" t="n">
        <v>45212</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 artfynd.xlsx", "A 42480-2022")</f>
        <v/>
      </c>
      <c r="T121">
        <f>HYPERLINK("https://klasma.github.io/Logging_1737/karta/A 42480-2022 karta.png", "A 42480-2022")</f>
        <v/>
      </c>
      <c r="U121">
        <f>HYPERLINK("https://klasma.github.io/Logging_1737/knärot/A 42480-2022 knärot.png", "A 42480-2022")</f>
        <v/>
      </c>
      <c r="V121">
        <f>HYPERLINK("https://klasma.github.io/Logging_1737/klagomål/A 42480-2022 klagomål.docx", "A 42480-2022")</f>
        <v/>
      </c>
      <c r="W121">
        <f>HYPERLINK("https://klasma.github.io/Logging_1737/klagomålsmail/A 42480-2022 klagomålsmail.docx", "A 42480-2022")</f>
        <v/>
      </c>
      <c r="X121">
        <f>HYPERLINK("https://klasma.github.io/Logging_1737/tillsyn/A 42480-2022 tillsyn.docx", "A 42480-2022")</f>
        <v/>
      </c>
      <c r="Y121">
        <f>HYPERLINK("https://klasma.github.io/Logging_1737/tillsynsmail/A 42480-2022 tillsynsmail.docx", "A 42480-2022")</f>
        <v/>
      </c>
    </row>
    <row r="122" ht="15" customHeight="1">
      <c r="A122" t="inlineStr">
        <is>
          <t>A 53051-2022</t>
        </is>
      </c>
      <c r="B122" s="1" t="n">
        <v>44876</v>
      </c>
      <c r="C122" s="1" t="n">
        <v>45212</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 artfynd.xlsx", "A 53051-2022")</f>
        <v/>
      </c>
      <c r="T122">
        <f>HYPERLINK("https://klasma.github.io/Logging_1780/karta/A 53051-2022 karta.png", "A 53051-2022")</f>
        <v/>
      </c>
      <c r="V122">
        <f>HYPERLINK("https://klasma.github.io/Logging_1780/klagomål/A 53051-2022 klagomål.docx", "A 53051-2022")</f>
        <v/>
      </c>
      <c r="W122">
        <f>HYPERLINK("https://klasma.github.io/Logging_1780/klagomålsmail/A 53051-2022 klagomålsmail.docx", "A 53051-2022")</f>
        <v/>
      </c>
      <c r="X122">
        <f>HYPERLINK("https://klasma.github.io/Logging_1780/tillsyn/A 53051-2022 tillsyn.docx", "A 53051-2022")</f>
        <v/>
      </c>
      <c r="Y122">
        <f>HYPERLINK("https://klasma.github.io/Logging_1780/tillsynsmail/A 53051-2022 tillsynsmail.docx", "A 53051-2022")</f>
        <v/>
      </c>
    </row>
    <row r="123" ht="15" customHeight="1">
      <c r="A123" t="inlineStr">
        <is>
          <t>A 592-2023</t>
        </is>
      </c>
      <c r="B123" s="1" t="n">
        <v>44930</v>
      </c>
      <c r="C123" s="1" t="n">
        <v>45212</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 artfynd.xlsx", "A 592-2023")</f>
        <v/>
      </c>
      <c r="T123">
        <f>HYPERLINK("https://klasma.github.io/Logging_1730/karta/A 592-2023 karta.png", "A 592-2023")</f>
        <v/>
      </c>
      <c r="V123">
        <f>HYPERLINK("https://klasma.github.io/Logging_1730/klagomål/A 592-2023 klagomål.docx", "A 592-2023")</f>
        <v/>
      </c>
      <c r="W123">
        <f>HYPERLINK("https://klasma.github.io/Logging_1730/klagomålsmail/A 592-2023 klagomålsmail.docx", "A 592-2023")</f>
        <v/>
      </c>
      <c r="X123">
        <f>HYPERLINK("https://klasma.github.io/Logging_1730/tillsyn/A 592-2023 tillsyn.docx", "A 592-2023")</f>
        <v/>
      </c>
      <c r="Y123">
        <f>HYPERLINK("https://klasma.github.io/Logging_1730/tillsynsmail/A 592-2023 tillsynsmail.docx", "A 592-2023")</f>
        <v/>
      </c>
    </row>
    <row r="124" ht="15" customHeight="1">
      <c r="A124" t="inlineStr">
        <is>
          <t>A 2356-2023</t>
        </is>
      </c>
      <c r="B124" s="1" t="n">
        <v>44942</v>
      </c>
      <c r="C124" s="1" t="n">
        <v>45212</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 artfynd.xlsx", "A 2356-2023")</f>
        <v/>
      </c>
      <c r="T124">
        <f>HYPERLINK("https://klasma.github.io/Logging_1782/karta/A 2356-2023 karta.png", "A 2356-2023")</f>
        <v/>
      </c>
      <c r="V124">
        <f>HYPERLINK("https://klasma.github.io/Logging_1782/klagomål/A 2356-2023 klagomål.docx", "A 2356-2023")</f>
        <v/>
      </c>
      <c r="W124">
        <f>HYPERLINK("https://klasma.github.io/Logging_1782/klagomålsmail/A 2356-2023 klagomålsmail.docx", "A 2356-2023")</f>
        <v/>
      </c>
      <c r="X124">
        <f>HYPERLINK("https://klasma.github.io/Logging_1782/tillsyn/A 2356-2023 tillsyn.docx", "A 2356-2023")</f>
        <v/>
      </c>
      <c r="Y124">
        <f>HYPERLINK("https://klasma.github.io/Logging_1782/tillsynsmail/A 2356-2023 tillsynsmail.docx", "A 2356-2023")</f>
        <v/>
      </c>
    </row>
    <row r="125" ht="15" customHeight="1">
      <c r="A125" t="inlineStr">
        <is>
          <t>A 4486-2023</t>
        </is>
      </c>
      <c r="B125" s="1" t="n">
        <v>44956</v>
      </c>
      <c r="C125" s="1" t="n">
        <v>45212</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 artfynd.xlsx", "A 4486-2023")</f>
        <v/>
      </c>
      <c r="T125">
        <f>HYPERLINK("https://klasma.github.io/Logging_1737/karta/A 4486-2023 karta.png", "A 4486-2023")</f>
        <v/>
      </c>
      <c r="V125">
        <f>HYPERLINK("https://klasma.github.io/Logging_1737/klagomål/A 4486-2023 klagomål.docx", "A 4486-2023")</f>
        <v/>
      </c>
      <c r="W125">
        <f>HYPERLINK("https://klasma.github.io/Logging_1737/klagomålsmail/A 4486-2023 klagomålsmail.docx", "A 4486-2023")</f>
        <v/>
      </c>
      <c r="X125">
        <f>HYPERLINK("https://klasma.github.io/Logging_1737/tillsyn/A 4486-2023 tillsyn.docx", "A 4486-2023")</f>
        <v/>
      </c>
      <c r="Y125">
        <f>HYPERLINK("https://klasma.github.io/Logging_1737/tillsynsmail/A 4486-2023 tillsynsmail.docx", "A 4486-2023")</f>
        <v/>
      </c>
    </row>
    <row r="126" ht="15" customHeight="1">
      <c r="A126" t="inlineStr">
        <is>
          <t>A 11615-2023</t>
        </is>
      </c>
      <c r="B126" s="1" t="n">
        <v>44994</v>
      </c>
      <c r="C126" s="1" t="n">
        <v>45212</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 artfynd.xlsx", "A 11615-2023")</f>
        <v/>
      </c>
      <c r="T126">
        <f>HYPERLINK("https://klasma.github.io/Logging_1780/karta/A 11615-2023 karta.png", "A 11615-2023")</f>
        <v/>
      </c>
      <c r="V126">
        <f>HYPERLINK("https://klasma.github.io/Logging_1780/klagomål/A 11615-2023 klagomål.docx", "A 11615-2023")</f>
        <v/>
      </c>
      <c r="W126">
        <f>HYPERLINK("https://klasma.github.io/Logging_1780/klagomålsmail/A 11615-2023 klagomålsmail.docx", "A 11615-2023")</f>
        <v/>
      </c>
      <c r="X126">
        <f>HYPERLINK("https://klasma.github.io/Logging_1780/tillsyn/A 11615-2023 tillsyn.docx", "A 11615-2023")</f>
        <v/>
      </c>
      <c r="Y126">
        <f>HYPERLINK("https://klasma.github.io/Logging_1780/tillsynsmail/A 11615-2023 tillsynsmail.docx", "A 11615-2023")</f>
        <v/>
      </c>
    </row>
    <row r="127" ht="15" customHeight="1">
      <c r="A127" t="inlineStr">
        <is>
          <t>A 14815-2023</t>
        </is>
      </c>
      <c r="B127" s="1" t="n">
        <v>45014</v>
      </c>
      <c r="C127" s="1" t="n">
        <v>45212</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 artfynd.xlsx", "A 14815-2023")</f>
        <v/>
      </c>
      <c r="T127">
        <f>HYPERLINK("https://klasma.github.io/Logging_1780/karta/A 14815-2023 karta.png", "A 14815-2023")</f>
        <v/>
      </c>
      <c r="U127">
        <f>HYPERLINK("https://klasma.github.io/Logging_1780/knärot/A 14815-2023 knärot.png", "A 14815-2023")</f>
        <v/>
      </c>
      <c r="V127">
        <f>HYPERLINK("https://klasma.github.io/Logging_1780/klagomål/A 14815-2023 klagomål.docx", "A 14815-2023")</f>
        <v/>
      </c>
      <c r="W127">
        <f>HYPERLINK("https://klasma.github.io/Logging_1780/klagomålsmail/A 14815-2023 klagomålsmail.docx", "A 14815-2023")</f>
        <v/>
      </c>
      <c r="X127">
        <f>HYPERLINK("https://klasma.github.io/Logging_1780/tillsyn/A 14815-2023 tillsyn.docx", "A 14815-2023")</f>
        <v/>
      </c>
      <c r="Y127">
        <f>HYPERLINK("https://klasma.github.io/Logging_1780/tillsynsmail/A 14815-2023 tillsynsmail.docx", "A 14815-2023")</f>
        <v/>
      </c>
    </row>
    <row r="128" ht="15" customHeight="1">
      <c r="A128" t="inlineStr">
        <is>
          <t>A 26303-2023</t>
        </is>
      </c>
      <c r="B128" s="1" t="n">
        <v>45091</v>
      </c>
      <c r="C128" s="1" t="n">
        <v>45212</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 artfynd.xlsx", "A 26303-2023")</f>
        <v/>
      </c>
      <c r="T128">
        <f>HYPERLINK("https://klasma.github.io/Logging_1782/karta/A 26303-2023 karta.png", "A 26303-2023")</f>
        <v/>
      </c>
      <c r="V128">
        <f>HYPERLINK("https://klasma.github.io/Logging_1782/klagomål/A 26303-2023 klagomål.docx", "A 26303-2023")</f>
        <v/>
      </c>
      <c r="W128">
        <f>HYPERLINK("https://klasma.github.io/Logging_1782/klagomålsmail/A 26303-2023 klagomålsmail.docx", "A 26303-2023")</f>
        <v/>
      </c>
      <c r="X128">
        <f>HYPERLINK("https://klasma.github.io/Logging_1782/tillsyn/A 26303-2023 tillsyn.docx", "A 26303-2023")</f>
        <v/>
      </c>
      <c r="Y128">
        <f>HYPERLINK("https://klasma.github.io/Logging_1782/tillsynsmail/A 26303-2023 tillsynsmail.docx", "A 26303-2023")</f>
        <v/>
      </c>
    </row>
    <row r="129" ht="15" customHeight="1">
      <c r="A129" t="inlineStr">
        <is>
          <t>A 32615-2023</t>
        </is>
      </c>
      <c r="B129" s="1" t="n">
        <v>45121</v>
      </c>
      <c r="C129" s="1" t="n">
        <v>45212</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 artfynd.xlsx", "A 32615-2023")</f>
        <v/>
      </c>
      <c r="T129">
        <f>HYPERLINK("https://klasma.github.io/Logging_1784/karta/A 32615-2023 karta.png", "A 32615-2023")</f>
        <v/>
      </c>
      <c r="U129">
        <f>HYPERLINK("https://klasma.github.io/Logging_1784/knärot/A 32615-2023 knärot.png", "A 32615-2023")</f>
        <v/>
      </c>
      <c r="V129">
        <f>HYPERLINK("https://klasma.github.io/Logging_1784/klagomål/A 32615-2023 klagomål.docx", "A 32615-2023")</f>
        <v/>
      </c>
      <c r="W129">
        <f>HYPERLINK("https://klasma.github.io/Logging_1784/klagomålsmail/A 32615-2023 klagomålsmail.docx", "A 32615-2023")</f>
        <v/>
      </c>
      <c r="X129">
        <f>HYPERLINK("https://klasma.github.io/Logging_1784/tillsyn/A 32615-2023 tillsyn.docx", "A 32615-2023")</f>
        <v/>
      </c>
      <c r="Y129">
        <f>HYPERLINK("https://klasma.github.io/Logging_1784/tillsynsmail/A 32615-2023 tillsynsmail.docx", "A 32615-2023")</f>
        <v/>
      </c>
    </row>
    <row r="130" ht="15" customHeight="1">
      <c r="A130" t="inlineStr">
        <is>
          <t>A 42590-2023</t>
        </is>
      </c>
      <c r="B130" s="1" t="n">
        <v>45181</v>
      </c>
      <c r="C130" s="1" t="n">
        <v>45212</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 artfynd.xlsx", "A 42590-2023")</f>
        <v/>
      </c>
      <c r="T130">
        <f>HYPERLINK("https://klasma.github.io/Logging_1737/karta/A 42590-2023 karta.png", "A 42590-2023")</f>
        <v/>
      </c>
      <c r="V130">
        <f>HYPERLINK("https://klasma.github.io/Logging_1737/klagomål/A 42590-2023 klagomål.docx", "A 42590-2023")</f>
        <v/>
      </c>
      <c r="W130">
        <f>HYPERLINK("https://klasma.github.io/Logging_1737/klagomålsmail/A 42590-2023 klagomålsmail.docx", "A 42590-2023")</f>
        <v/>
      </c>
      <c r="X130">
        <f>HYPERLINK("https://klasma.github.io/Logging_1737/tillsyn/A 42590-2023 tillsyn.docx", "A 42590-2023")</f>
        <v/>
      </c>
      <c r="Y130">
        <f>HYPERLINK("https://klasma.github.io/Logging_1737/tillsynsmail/A 42590-2023 tillsynsmail.docx", "A 42590-2023")</f>
        <v/>
      </c>
    </row>
    <row r="131" ht="15" customHeight="1">
      <c r="A131" t="inlineStr">
        <is>
          <t>A 46016-2023</t>
        </is>
      </c>
      <c r="B131" s="1" t="n">
        <v>45196</v>
      </c>
      <c r="C131" s="1" t="n">
        <v>45212</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 artfynd.xlsx", "A 46016-2023")</f>
        <v/>
      </c>
      <c r="T131">
        <f>HYPERLINK("https://klasma.github.io/Logging_1737/karta/A 46016-2023 karta.png", "A 46016-2023")</f>
        <v/>
      </c>
      <c r="V131">
        <f>HYPERLINK("https://klasma.github.io/Logging_1737/klagomål/A 46016-2023 klagomål.docx", "A 46016-2023")</f>
        <v/>
      </c>
      <c r="W131">
        <f>HYPERLINK("https://klasma.github.io/Logging_1737/klagomålsmail/A 46016-2023 klagomålsmail.docx", "A 46016-2023")</f>
        <v/>
      </c>
      <c r="X131">
        <f>HYPERLINK("https://klasma.github.io/Logging_1737/tillsyn/A 46016-2023 tillsyn.docx", "A 46016-2023")</f>
        <v/>
      </c>
      <c r="Y131">
        <f>HYPERLINK("https://klasma.github.io/Logging_1737/tillsynsmail/A 46016-2023 tillsynsmail.docx", "A 46016-2023")</f>
        <v/>
      </c>
    </row>
    <row r="132" ht="15" customHeight="1">
      <c r="A132" t="inlineStr">
        <is>
          <t>A 36762-2018</t>
        </is>
      </c>
      <c r="B132" s="1" t="n">
        <v>43332</v>
      </c>
      <c r="C132" s="1" t="n">
        <v>45212</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 artfynd.xlsx", "A 36762-2018")</f>
        <v/>
      </c>
      <c r="T132">
        <f>HYPERLINK("https://klasma.github.io/Logging_1784/karta/A 36762-2018 karta.png", "A 36762-2018")</f>
        <v/>
      </c>
      <c r="U132">
        <f>HYPERLINK("https://klasma.github.io/Logging_1784/knärot/A 36762-2018 knärot.png", "A 36762-2018")</f>
        <v/>
      </c>
      <c r="V132">
        <f>HYPERLINK("https://klasma.github.io/Logging_1784/klagomål/A 36762-2018 klagomål.docx", "A 36762-2018")</f>
        <v/>
      </c>
      <c r="W132">
        <f>HYPERLINK("https://klasma.github.io/Logging_1784/klagomålsmail/A 36762-2018 klagomålsmail.docx", "A 36762-2018")</f>
        <v/>
      </c>
      <c r="X132">
        <f>HYPERLINK("https://klasma.github.io/Logging_1784/tillsyn/A 36762-2018 tillsyn.docx", "A 36762-2018")</f>
        <v/>
      </c>
      <c r="Y132">
        <f>HYPERLINK("https://klasma.github.io/Logging_1784/tillsynsmail/A 36762-2018 tillsynsmail.docx", "A 36762-2018")</f>
        <v/>
      </c>
    </row>
    <row r="133" ht="15" customHeight="1">
      <c r="A133" t="inlineStr">
        <is>
          <t>A 45025-2018</t>
        </is>
      </c>
      <c r="B133" s="1" t="n">
        <v>43360</v>
      </c>
      <c r="C133" s="1" t="n">
        <v>45212</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 artfynd.xlsx", "A 45025-2018")</f>
        <v/>
      </c>
      <c r="T133">
        <f>HYPERLINK("https://klasma.github.io/Logging_1785/karta/A 45025-2018 karta.png", "A 45025-2018")</f>
        <v/>
      </c>
      <c r="V133">
        <f>HYPERLINK("https://klasma.github.io/Logging_1785/klagomål/A 45025-2018 klagomål.docx", "A 45025-2018")</f>
        <v/>
      </c>
      <c r="W133">
        <f>HYPERLINK("https://klasma.github.io/Logging_1785/klagomålsmail/A 45025-2018 klagomålsmail.docx", "A 45025-2018")</f>
        <v/>
      </c>
      <c r="X133">
        <f>HYPERLINK("https://klasma.github.io/Logging_1785/tillsyn/A 45025-2018 tillsyn.docx", "A 45025-2018")</f>
        <v/>
      </c>
      <c r="Y133">
        <f>HYPERLINK("https://klasma.github.io/Logging_1785/tillsynsmail/A 45025-2018 tillsynsmail.docx", "A 45025-2018")</f>
        <v/>
      </c>
    </row>
    <row r="134" ht="15" customHeight="1">
      <c r="A134" t="inlineStr">
        <is>
          <t>A 54558-2018</t>
        </is>
      </c>
      <c r="B134" s="1" t="n">
        <v>43385</v>
      </c>
      <c r="C134" s="1" t="n">
        <v>45212</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 artfynd.xlsx", "A 54558-2018")</f>
        <v/>
      </c>
      <c r="T134">
        <f>HYPERLINK("https://klasma.github.io/Logging_1737/karta/A 54558-2018 karta.png", "A 54558-2018")</f>
        <v/>
      </c>
      <c r="V134">
        <f>HYPERLINK("https://klasma.github.io/Logging_1737/klagomål/A 54558-2018 klagomål.docx", "A 54558-2018")</f>
        <v/>
      </c>
      <c r="W134">
        <f>HYPERLINK("https://klasma.github.io/Logging_1737/klagomålsmail/A 54558-2018 klagomålsmail.docx", "A 54558-2018")</f>
        <v/>
      </c>
      <c r="X134">
        <f>HYPERLINK("https://klasma.github.io/Logging_1737/tillsyn/A 54558-2018 tillsyn.docx", "A 54558-2018")</f>
        <v/>
      </c>
      <c r="Y134">
        <f>HYPERLINK("https://klasma.github.io/Logging_1737/tillsynsmail/A 54558-2018 tillsynsmail.docx", "A 54558-2018")</f>
        <v/>
      </c>
    </row>
    <row r="135" ht="15" customHeight="1">
      <c r="A135" t="inlineStr">
        <is>
          <t>A 57535-2018</t>
        </is>
      </c>
      <c r="B135" s="1" t="n">
        <v>43397</v>
      </c>
      <c r="C135" s="1" t="n">
        <v>45212</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 artfynd.xlsx", "A 57535-2018")</f>
        <v/>
      </c>
      <c r="T135">
        <f>HYPERLINK("https://klasma.github.io/Logging_1784/karta/A 57535-2018 karta.png", "A 57535-2018")</f>
        <v/>
      </c>
      <c r="V135">
        <f>HYPERLINK("https://klasma.github.io/Logging_1784/klagomål/A 57535-2018 klagomål.docx", "A 57535-2018")</f>
        <v/>
      </c>
      <c r="W135">
        <f>HYPERLINK("https://klasma.github.io/Logging_1784/klagomålsmail/A 57535-2018 klagomålsmail.docx", "A 57535-2018")</f>
        <v/>
      </c>
      <c r="X135">
        <f>HYPERLINK("https://klasma.github.io/Logging_1784/tillsyn/A 57535-2018 tillsyn.docx", "A 57535-2018")</f>
        <v/>
      </c>
      <c r="Y135">
        <f>HYPERLINK("https://klasma.github.io/Logging_1784/tillsynsmail/A 57535-2018 tillsynsmail.docx", "A 57535-2018")</f>
        <v/>
      </c>
    </row>
    <row r="136" ht="15" customHeight="1">
      <c r="A136" t="inlineStr">
        <is>
          <t>A 59351-2018</t>
        </is>
      </c>
      <c r="B136" s="1" t="n">
        <v>43418</v>
      </c>
      <c r="C136" s="1" t="n">
        <v>45212</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 artfynd.xlsx", "A 59351-2018")</f>
        <v/>
      </c>
      <c r="T136">
        <f>HYPERLINK("https://klasma.github.io/Logging_1730/karta/A 59351-2018 karta.png", "A 59351-2018")</f>
        <v/>
      </c>
      <c r="U136">
        <f>HYPERLINK("https://klasma.github.io/Logging_1730/knärot/A 59351-2018 knärot.png", "A 59351-2018")</f>
        <v/>
      </c>
      <c r="V136">
        <f>HYPERLINK("https://klasma.github.io/Logging_1730/klagomål/A 59351-2018 klagomål.docx", "A 59351-2018")</f>
        <v/>
      </c>
      <c r="W136">
        <f>HYPERLINK("https://klasma.github.io/Logging_1730/klagomålsmail/A 59351-2018 klagomålsmail.docx", "A 59351-2018")</f>
        <v/>
      </c>
      <c r="X136">
        <f>HYPERLINK("https://klasma.github.io/Logging_1730/tillsyn/A 59351-2018 tillsyn.docx", "A 59351-2018")</f>
        <v/>
      </c>
      <c r="Y136">
        <f>HYPERLINK("https://klasma.github.io/Logging_1730/tillsynsmail/A 59351-2018 tillsynsmail.docx", "A 59351-2018")</f>
        <v/>
      </c>
    </row>
    <row r="137" ht="15" customHeight="1">
      <c r="A137" t="inlineStr">
        <is>
          <t>A 10801-2019</t>
        </is>
      </c>
      <c r="B137" s="1" t="n">
        <v>43514</v>
      </c>
      <c r="C137" s="1" t="n">
        <v>45212</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 artfynd.xlsx", "A 10801-2019")</f>
        <v/>
      </c>
      <c r="T137">
        <f>HYPERLINK("https://klasma.github.io/Logging_1781/karta/A 10801-2019 karta.png", "A 10801-2019")</f>
        <v/>
      </c>
      <c r="V137">
        <f>HYPERLINK("https://klasma.github.io/Logging_1781/klagomål/A 10801-2019 klagomål.docx", "A 10801-2019")</f>
        <v/>
      </c>
      <c r="W137">
        <f>HYPERLINK("https://klasma.github.io/Logging_1781/klagomålsmail/A 10801-2019 klagomålsmail.docx", "A 10801-2019")</f>
        <v/>
      </c>
      <c r="X137">
        <f>HYPERLINK("https://klasma.github.io/Logging_1781/tillsyn/A 10801-2019 tillsyn.docx", "A 10801-2019")</f>
        <v/>
      </c>
      <c r="Y137">
        <f>HYPERLINK("https://klasma.github.io/Logging_1781/tillsynsmail/A 10801-2019 tillsynsmail.docx", "A 10801-2019")</f>
        <v/>
      </c>
    </row>
    <row r="138" ht="15" customHeight="1">
      <c r="A138" t="inlineStr">
        <is>
          <t>A 13511-2019</t>
        </is>
      </c>
      <c r="B138" s="1" t="n">
        <v>43530</v>
      </c>
      <c r="C138" s="1" t="n">
        <v>45212</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 artfynd.xlsx", "A 13511-2019")</f>
        <v/>
      </c>
      <c r="T138">
        <f>HYPERLINK("https://klasma.github.io/Logging_1781/karta/A 13511-2019 karta.png", "A 13511-2019")</f>
        <v/>
      </c>
      <c r="V138">
        <f>HYPERLINK("https://klasma.github.io/Logging_1781/klagomål/A 13511-2019 klagomål.docx", "A 13511-2019")</f>
        <v/>
      </c>
      <c r="W138">
        <f>HYPERLINK("https://klasma.github.io/Logging_1781/klagomålsmail/A 13511-2019 klagomålsmail.docx", "A 13511-2019")</f>
        <v/>
      </c>
      <c r="X138">
        <f>HYPERLINK("https://klasma.github.io/Logging_1781/tillsyn/A 13511-2019 tillsyn.docx", "A 13511-2019")</f>
        <v/>
      </c>
      <c r="Y138">
        <f>HYPERLINK("https://klasma.github.io/Logging_1781/tillsynsmail/A 13511-2019 tillsynsmail.docx", "A 13511-2019")</f>
        <v/>
      </c>
    </row>
    <row r="139" ht="15" customHeight="1">
      <c r="A139" t="inlineStr">
        <is>
          <t>A 17617-2019</t>
        </is>
      </c>
      <c r="B139" s="1" t="n">
        <v>43555</v>
      </c>
      <c r="C139" s="1" t="n">
        <v>45212</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 artfynd.xlsx", "A 17617-2019")</f>
        <v/>
      </c>
      <c r="T139">
        <f>HYPERLINK("https://klasma.github.io/Logging_1737/karta/A 17617-2019 karta.png", "A 17617-2019")</f>
        <v/>
      </c>
      <c r="U139">
        <f>HYPERLINK("https://klasma.github.io/Logging_1737/knärot/A 17617-2019 knärot.png", "A 17617-2019")</f>
        <v/>
      </c>
      <c r="V139">
        <f>HYPERLINK("https://klasma.github.io/Logging_1737/klagomål/A 17617-2019 klagomål.docx", "A 17617-2019")</f>
        <v/>
      </c>
      <c r="W139">
        <f>HYPERLINK("https://klasma.github.io/Logging_1737/klagomålsmail/A 17617-2019 klagomålsmail.docx", "A 17617-2019")</f>
        <v/>
      </c>
      <c r="X139">
        <f>HYPERLINK("https://klasma.github.io/Logging_1737/tillsyn/A 17617-2019 tillsyn.docx", "A 17617-2019")</f>
        <v/>
      </c>
      <c r="Y139">
        <f>HYPERLINK("https://klasma.github.io/Logging_1737/tillsynsmail/A 17617-2019 tillsynsmail.docx", "A 17617-2019")</f>
        <v/>
      </c>
    </row>
    <row r="140" ht="15" customHeight="1">
      <c r="A140" t="inlineStr">
        <is>
          <t>A 18528-2019</t>
        </is>
      </c>
      <c r="B140" s="1" t="n">
        <v>43559</v>
      </c>
      <c r="C140" s="1" t="n">
        <v>45212</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 artfynd.xlsx", "A 18528-2019")</f>
        <v/>
      </c>
      <c r="T140">
        <f>HYPERLINK("https://klasma.github.io/Logging_1737/karta/A 18528-2019 karta.png", "A 18528-2019")</f>
        <v/>
      </c>
      <c r="V140">
        <f>HYPERLINK("https://klasma.github.io/Logging_1737/klagomål/A 18528-2019 klagomål.docx", "A 18528-2019")</f>
        <v/>
      </c>
      <c r="W140">
        <f>HYPERLINK("https://klasma.github.io/Logging_1737/klagomålsmail/A 18528-2019 klagomålsmail.docx", "A 18528-2019")</f>
        <v/>
      </c>
      <c r="X140">
        <f>HYPERLINK("https://klasma.github.io/Logging_1737/tillsyn/A 18528-2019 tillsyn.docx", "A 18528-2019")</f>
        <v/>
      </c>
      <c r="Y140">
        <f>HYPERLINK("https://klasma.github.io/Logging_1737/tillsynsmail/A 18528-2019 tillsynsmail.docx", "A 18528-2019")</f>
        <v/>
      </c>
    </row>
    <row r="141" ht="15" customHeight="1">
      <c r="A141" t="inlineStr">
        <is>
          <t>A 60661-2019</t>
        </is>
      </c>
      <c r="B141" s="1" t="n">
        <v>43781</v>
      </c>
      <c r="C141" s="1" t="n">
        <v>45212</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 artfynd.xlsx", "A 60661-2019")</f>
        <v/>
      </c>
      <c r="T141">
        <f>HYPERLINK("https://klasma.github.io/Logging_1737/karta/A 60661-2019 karta.png", "A 60661-2019")</f>
        <v/>
      </c>
      <c r="V141">
        <f>HYPERLINK("https://klasma.github.io/Logging_1737/klagomål/A 60661-2019 klagomål.docx", "A 60661-2019")</f>
        <v/>
      </c>
      <c r="W141">
        <f>HYPERLINK("https://klasma.github.io/Logging_1737/klagomålsmail/A 60661-2019 klagomålsmail.docx", "A 60661-2019")</f>
        <v/>
      </c>
      <c r="X141">
        <f>HYPERLINK("https://klasma.github.io/Logging_1737/tillsyn/A 60661-2019 tillsyn.docx", "A 60661-2019")</f>
        <v/>
      </c>
      <c r="Y141">
        <f>HYPERLINK("https://klasma.github.io/Logging_1737/tillsynsmail/A 60661-2019 tillsynsmail.docx", "A 60661-2019")</f>
        <v/>
      </c>
    </row>
    <row r="142" ht="15" customHeight="1">
      <c r="A142" t="inlineStr">
        <is>
          <t>A 68629-2019</t>
        </is>
      </c>
      <c r="B142" s="1" t="n">
        <v>43819</v>
      </c>
      <c r="C142" s="1" t="n">
        <v>45212</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 artfynd.xlsx", "A 68629-2019")</f>
        <v/>
      </c>
      <c r="T142">
        <f>HYPERLINK("https://klasma.github.io/Logging_1784/karta/A 68629-2019 karta.png", "A 68629-2019")</f>
        <v/>
      </c>
      <c r="V142">
        <f>HYPERLINK("https://klasma.github.io/Logging_1784/klagomål/A 68629-2019 klagomål.docx", "A 68629-2019")</f>
        <v/>
      </c>
      <c r="W142">
        <f>HYPERLINK("https://klasma.github.io/Logging_1784/klagomålsmail/A 68629-2019 klagomålsmail.docx", "A 68629-2019")</f>
        <v/>
      </c>
      <c r="X142">
        <f>HYPERLINK("https://klasma.github.io/Logging_1784/tillsyn/A 68629-2019 tillsyn.docx", "A 68629-2019")</f>
        <v/>
      </c>
      <c r="Y142">
        <f>HYPERLINK("https://klasma.github.io/Logging_1784/tillsynsmail/A 68629-2019 tillsynsmail.docx", "A 68629-2019")</f>
        <v/>
      </c>
    </row>
    <row r="143" ht="15" customHeight="1">
      <c r="A143" t="inlineStr">
        <is>
          <t>A 3380-2020</t>
        </is>
      </c>
      <c r="B143" s="1" t="n">
        <v>43852</v>
      </c>
      <c r="C143" s="1" t="n">
        <v>45212</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 artfynd.xlsx", "A 3380-2020")</f>
        <v/>
      </c>
      <c r="T143">
        <f>HYPERLINK("https://klasma.github.io/Logging_1765/karta/A 3380-2020 karta.png", "A 3380-2020")</f>
        <v/>
      </c>
      <c r="V143">
        <f>HYPERLINK("https://klasma.github.io/Logging_1765/klagomål/A 3380-2020 klagomål.docx", "A 3380-2020")</f>
        <v/>
      </c>
      <c r="W143">
        <f>HYPERLINK("https://klasma.github.io/Logging_1765/klagomålsmail/A 3380-2020 klagomålsmail.docx", "A 3380-2020")</f>
        <v/>
      </c>
      <c r="X143">
        <f>HYPERLINK("https://klasma.github.io/Logging_1765/tillsyn/A 3380-2020 tillsyn.docx", "A 3380-2020")</f>
        <v/>
      </c>
      <c r="Y143">
        <f>HYPERLINK("https://klasma.github.io/Logging_1765/tillsynsmail/A 3380-2020 tillsynsmail.docx", "A 3380-2020")</f>
        <v/>
      </c>
    </row>
    <row r="144" ht="15" customHeight="1">
      <c r="A144" t="inlineStr">
        <is>
          <t>A 9464-2020</t>
        </is>
      </c>
      <c r="B144" s="1" t="n">
        <v>43880</v>
      </c>
      <c r="C144" s="1" t="n">
        <v>45212</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 artfynd.xlsx", "A 9464-2020")</f>
        <v/>
      </c>
      <c r="T144">
        <f>HYPERLINK("https://klasma.github.io/Logging_1765/karta/A 9464-2020 karta.png", "A 9464-2020")</f>
        <v/>
      </c>
      <c r="U144">
        <f>HYPERLINK("https://klasma.github.io/Logging_1765/knärot/A 9464-2020 knärot.png", "A 9464-2020")</f>
        <v/>
      </c>
      <c r="V144">
        <f>HYPERLINK("https://klasma.github.io/Logging_1765/klagomål/A 9464-2020 klagomål.docx", "A 9464-2020")</f>
        <v/>
      </c>
      <c r="W144">
        <f>HYPERLINK("https://klasma.github.io/Logging_1765/klagomålsmail/A 9464-2020 klagomålsmail.docx", "A 9464-2020")</f>
        <v/>
      </c>
      <c r="X144">
        <f>HYPERLINK("https://klasma.github.io/Logging_1765/tillsyn/A 9464-2020 tillsyn.docx", "A 9464-2020")</f>
        <v/>
      </c>
      <c r="Y144">
        <f>HYPERLINK("https://klasma.github.io/Logging_1765/tillsynsmail/A 9464-2020 tillsynsmail.docx", "A 9464-2020")</f>
        <v/>
      </c>
    </row>
    <row r="145" ht="15" customHeight="1">
      <c r="A145" t="inlineStr">
        <is>
          <t>A 18231-2020</t>
        </is>
      </c>
      <c r="B145" s="1" t="n">
        <v>43928</v>
      </c>
      <c r="C145" s="1" t="n">
        <v>45212</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 artfynd.xlsx", "A 18231-2020")</f>
        <v/>
      </c>
      <c r="T145">
        <f>HYPERLINK("https://klasma.github.io/Logging_1780/karta/A 18231-2020 karta.png", "A 18231-2020")</f>
        <v/>
      </c>
      <c r="U145">
        <f>HYPERLINK("https://klasma.github.io/Logging_1780/knärot/A 18231-2020 knärot.png", "A 18231-2020")</f>
        <v/>
      </c>
      <c r="V145">
        <f>HYPERLINK("https://klasma.github.io/Logging_1780/klagomål/A 18231-2020 klagomål.docx", "A 18231-2020")</f>
        <v/>
      </c>
      <c r="W145">
        <f>HYPERLINK("https://klasma.github.io/Logging_1780/klagomålsmail/A 18231-2020 klagomålsmail.docx", "A 18231-2020")</f>
        <v/>
      </c>
      <c r="X145">
        <f>HYPERLINK("https://klasma.github.io/Logging_1780/tillsyn/A 18231-2020 tillsyn.docx", "A 18231-2020")</f>
        <v/>
      </c>
      <c r="Y145">
        <f>HYPERLINK("https://klasma.github.io/Logging_1780/tillsynsmail/A 18231-2020 tillsynsmail.docx", "A 18231-2020")</f>
        <v/>
      </c>
    </row>
    <row r="146" ht="15" customHeight="1">
      <c r="A146" t="inlineStr">
        <is>
          <t>A 34418-2020</t>
        </is>
      </c>
      <c r="B146" s="1" t="n">
        <v>44029</v>
      </c>
      <c r="C146" s="1" t="n">
        <v>45212</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 artfynd.xlsx", "A 34418-2020")</f>
        <v/>
      </c>
      <c r="T146">
        <f>HYPERLINK("https://klasma.github.io/Logging_1760/karta/A 34418-2020 karta.png", "A 34418-2020")</f>
        <v/>
      </c>
      <c r="V146">
        <f>HYPERLINK("https://klasma.github.io/Logging_1760/klagomål/A 34418-2020 klagomål.docx", "A 34418-2020")</f>
        <v/>
      </c>
      <c r="W146">
        <f>HYPERLINK("https://klasma.github.io/Logging_1760/klagomålsmail/A 34418-2020 klagomålsmail.docx", "A 34418-2020")</f>
        <v/>
      </c>
      <c r="X146">
        <f>HYPERLINK("https://klasma.github.io/Logging_1760/tillsyn/A 34418-2020 tillsyn.docx", "A 34418-2020")</f>
        <v/>
      </c>
      <c r="Y146">
        <f>HYPERLINK("https://klasma.github.io/Logging_1760/tillsynsmail/A 34418-2020 tillsynsmail.docx", "A 34418-2020")</f>
        <v/>
      </c>
    </row>
    <row r="147" ht="15" customHeight="1">
      <c r="A147" t="inlineStr">
        <is>
          <t>A 42882-2020</t>
        </is>
      </c>
      <c r="B147" s="1" t="n">
        <v>44078</v>
      </c>
      <c r="C147" s="1" t="n">
        <v>45212</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 artfynd.xlsx", "A 42882-2020")</f>
        <v/>
      </c>
      <c r="T147">
        <f>HYPERLINK("https://klasma.github.io/Logging_1782/karta/A 42882-2020 karta.png", "A 42882-2020")</f>
        <v/>
      </c>
      <c r="V147">
        <f>HYPERLINK("https://klasma.github.io/Logging_1782/klagomål/A 42882-2020 klagomål.docx", "A 42882-2020")</f>
        <v/>
      </c>
      <c r="W147">
        <f>HYPERLINK("https://klasma.github.io/Logging_1782/klagomålsmail/A 42882-2020 klagomålsmail.docx", "A 42882-2020")</f>
        <v/>
      </c>
      <c r="X147">
        <f>HYPERLINK("https://klasma.github.io/Logging_1782/tillsyn/A 42882-2020 tillsyn.docx", "A 42882-2020")</f>
        <v/>
      </c>
      <c r="Y147">
        <f>HYPERLINK("https://klasma.github.io/Logging_1782/tillsynsmail/A 42882-2020 tillsynsmail.docx", "A 42882-2020")</f>
        <v/>
      </c>
    </row>
    <row r="148" ht="15" customHeight="1">
      <c r="A148" t="inlineStr">
        <is>
          <t>A 43407-2020</t>
        </is>
      </c>
      <c r="B148" s="1" t="n">
        <v>44081</v>
      </c>
      <c r="C148" s="1" t="n">
        <v>45212</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 artfynd.xlsx", "A 43407-2020")</f>
        <v/>
      </c>
      <c r="T148">
        <f>HYPERLINK("https://klasma.github.io/Logging_1781/karta/A 43407-2020 karta.png", "A 43407-2020")</f>
        <v/>
      </c>
      <c r="U148">
        <f>HYPERLINK("https://klasma.github.io/Logging_1781/knärot/A 43407-2020 knärot.png", "A 43407-2020")</f>
        <v/>
      </c>
      <c r="V148">
        <f>HYPERLINK("https://klasma.github.io/Logging_1781/klagomål/A 43407-2020 klagomål.docx", "A 43407-2020")</f>
        <v/>
      </c>
      <c r="W148">
        <f>HYPERLINK("https://klasma.github.io/Logging_1781/klagomålsmail/A 43407-2020 klagomålsmail.docx", "A 43407-2020")</f>
        <v/>
      </c>
      <c r="X148">
        <f>HYPERLINK("https://klasma.github.io/Logging_1781/tillsyn/A 43407-2020 tillsyn.docx", "A 43407-2020")</f>
        <v/>
      </c>
      <c r="Y148">
        <f>HYPERLINK("https://klasma.github.io/Logging_1781/tillsynsmail/A 43407-2020 tillsynsmail.docx", "A 43407-2020")</f>
        <v/>
      </c>
    </row>
    <row r="149" ht="15" customHeight="1">
      <c r="A149" t="inlineStr">
        <is>
          <t>A 53198-2020</t>
        </is>
      </c>
      <c r="B149" s="1" t="n">
        <v>44122</v>
      </c>
      <c r="C149" s="1" t="n">
        <v>45212</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 artfynd.xlsx", "A 53198-2020")</f>
        <v/>
      </c>
      <c r="T149">
        <f>HYPERLINK("https://klasma.github.io/Logging_1737/karta/A 53198-2020 karta.png", "A 53198-2020")</f>
        <v/>
      </c>
      <c r="V149">
        <f>HYPERLINK("https://klasma.github.io/Logging_1737/klagomål/A 53198-2020 klagomål.docx", "A 53198-2020")</f>
        <v/>
      </c>
      <c r="W149">
        <f>HYPERLINK("https://klasma.github.io/Logging_1737/klagomålsmail/A 53198-2020 klagomålsmail.docx", "A 53198-2020")</f>
        <v/>
      </c>
      <c r="X149">
        <f>HYPERLINK("https://klasma.github.io/Logging_1737/tillsyn/A 53198-2020 tillsyn.docx", "A 53198-2020")</f>
        <v/>
      </c>
      <c r="Y149">
        <f>HYPERLINK("https://klasma.github.io/Logging_1737/tillsynsmail/A 53198-2020 tillsynsmail.docx", "A 53198-2020")</f>
        <v/>
      </c>
    </row>
    <row r="150" ht="15" customHeight="1">
      <c r="A150" t="inlineStr">
        <is>
          <t>A 1524-2021</t>
        </is>
      </c>
      <c r="B150" s="1" t="n">
        <v>44209</v>
      </c>
      <c r="C150" s="1" t="n">
        <v>45212</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 artfynd.xlsx", "A 1524-2021")</f>
        <v/>
      </c>
      <c r="T150">
        <f>HYPERLINK("https://klasma.github.io/Logging_1737/karta/A 1524-2021 karta.png", "A 1524-2021")</f>
        <v/>
      </c>
      <c r="V150">
        <f>HYPERLINK("https://klasma.github.io/Logging_1737/klagomål/A 1524-2021 klagomål.docx", "A 1524-2021")</f>
        <v/>
      </c>
      <c r="W150">
        <f>HYPERLINK("https://klasma.github.io/Logging_1737/klagomålsmail/A 1524-2021 klagomålsmail.docx", "A 1524-2021")</f>
        <v/>
      </c>
      <c r="X150">
        <f>HYPERLINK("https://klasma.github.io/Logging_1737/tillsyn/A 1524-2021 tillsyn.docx", "A 1524-2021")</f>
        <v/>
      </c>
      <c r="Y150">
        <f>HYPERLINK("https://klasma.github.io/Logging_1737/tillsynsmail/A 1524-2021 tillsynsmail.docx", "A 1524-2021")</f>
        <v/>
      </c>
    </row>
    <row r="151" ht="15" customHeight="1">
      <c r="A151" t="inlineStr">
        <is>
          <t>A 10098-2021</t>
        </is>
      </c>
      <c r="B151" s="1" t="n">
        <v>44253</v>
      </c>
      <c r="C151" s="1" t="n">
        <v>45212</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 artfynd.xlsx", "A 10098-2021")</f>
        <v/>
      </c>
      <c r="T151">
        <f>HYPERLINK("https://klasma.github.io/Logging_1764/karta/A 10098-2021 karta.png", "A 10098-2021")</f>
        <v/>
      </c>
      <c r="V151">
        <f>HYPERLINK("https://klasma.github.io/Logging_1764/klagomål/A 10098-2021 klagomål.docx", "A 10098-2021")</f>
        <v/>
      </c>
      <c r="W151">
        <f>HYPERLINK("https://klasma.github.io/Logging_1764/klagomålsmail/A 10098-2021 klagomålsmail.docx", "A 10098-2021")</f>
        <v/>
      </c>
      <c r="X151">
        <f>HYPERLINK("https://klasma.github.io/Logging_1764/tillsyn/A 10098-2021 tillsyn.docx", "A 10098-2021")</f>
        <v/>
      </c>
      <c r="Y151">
        <f>HYPERLINK("https://klasma.github.io/Logging_1764/tillsynsmail/A 10098-2021 tillsynsmail.docx", "A 10098-2021")</f>
        <v/>
      </c>
    </row>
    <row r="152" ht="15" customHeight="1">
      <c r="A152" t="inlineStr">
        <is>
          <t>A 11581-2021</t>
        </is>
      </c>
      <c r="B152" s="1" t="n">
        <v>44264</v>
      </c>
      <c r="C152" s="1" t="n">
        <v>45212</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 artfynd.xlsx", "A 11581-2021")</f>
        <v/>
      </c>
      <c r="T152">
        <f>HYPERLINK("https://klasma.github.io/Logging_1780/karta/A 11581-2021 karta.png", "A 11581-2021")</f>
        <v/>
      </c>
      <c r="V152">
        <f>HYPERLINK("https://klasma.github.io/Logging_1780/klagomål/A 11581-2021 klagomål.docx", "A 11581-2021")</f>
        <v/>
      </c>
      <c r="W152">
        <f>HYPERLINK("https://klasma.github.io/Logging_1780/klagomålsmail/A 11581-2021 klagomålsmail.docx", "A 11581-2021")</f>
        <v/>
      </c>
      <c r="X152">
        <f>HYPERLINK("https://klasma.github.io/Logging_1780/tillsyn/A 11581-2021 tillsyn.docx", "A 11581-2021")</f>
        <v/>
      </c>
      <c r="Y152">
        <f>HYPERLINK("https://klasma.github.io/Logging_1780/tillsynsmail/A 11581-2021 tillsynsmail.docx", "A 11581-2021")</f>
        <v/>
      </c>
    </row>
    <row r="153" ht="15" customHeight="1">
      <c r="A153" t="inlineStr">
        <is>
          <t>A 17055-2021</t>
        </is>
      </c>
      <c r="B153" s="1" t="n">
        <v>44296</v>
      </c>
      <c r="C153" s="1" t="n">
        <v>45212</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 artfynd.xlsx", "A 17055-2021")</f>
        <v/>
      </c>
      <c r="T153">
        <f>HYPERLINK("https://klasma.github.io/Logging_1730/karta/A 17055-2021 karta.png", "A 17055-2021")</f>
        <v/>
      </c>
      <c r="V153">
        <f>HYPERLINK("https://klasma.github.io/Logging_1730/klagomål/A 17055-2021 klagomål.docx", "A 17055-2021")</f>
        <v/>
      </c>
      <c r="W153">
        <f>HYPERLINK("https://klasma.github.io/Logging_1730/klagomålsmail/A 17055-2021 klagomålsmail.docx", "A 17055-2021")</f>
        <v/>
      </c>
      <c r="X153">
        <f>HYPERLINK("https://klasma.github.io/Logging_1730/tillsyn/A 17055-2021 tillsyn.docx", "A 17055-2021")</f>
        <v/>
      </c>
      <c r="Y153">
        <f>HYPERLINK("https://klasma.github.io/Logging_1730/tillsynsmail/A 17055-2021 tillsynsmail.docx", "A 17055-2021")</f>
        <v/>
      </c>
    </row>
    <row r="154" ht="15" customHeight="1">
      <c r="A154" t="inlineStr">
        <is>
          <t>A 22410-2021</t>
        </is>
      </c>
      <c r="B154" s="1" t="n">
        <v>44326</v>
      </c>
      <c r="C154" s="1" t="n">
        <v>45212</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 artfynd.xlsx", "A 22410-2021")</f>
        <v/>
      </c>
      <c r="T154">
        <f>HYPERLINK("https://klasma.github.io/Logging_1782/karta/A 22410-2021 karta.png", "A 22410-2021")</f>
        <v/>
      </c>
      <c r="V154">
        <f>HYPERLINK("https://klasma.github.io/Logging_1782/klagomål/A 22410-2021 klagomål.docx", "A 22410-2021")</f>
        <v/>
      </c>
      <c r="W154">
        <f>HYPERLINK("https://klasma.github.io/Logging_1782/klagomålsmail/A 22410-2021 klagomålsmail.docx", "A 22410-2021")</f>
        <v/>
      </c>
      <c r="X154">
        <f>HYPERLINK("https://klasma.github.io/Logging_1782/tillsyn/A 22410-2021 tillsyn.docx", "A 22410-2021")</f>
        <v/>
      </c>
      <c r="Y154">
        <f>HYPERLINK("https://klasma.github.io/Logging_1782/tillsynsmail/A 22410-2021 tillsynsmail.docx", "A 22410-2021")</f>
        <v/>
      </c>
    </row>
    <row r="155" ht="15" customHeight="1">
      <c r="A155" t="inlineStr">
        <is>
          <t>A 33866-2021</t>
        </is>
      </c>
      <c r="B155" s="1" t="n">
        <v>44378</v>
      </c>
      <c r="C155" s="1" t="n">
        <v>45212</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 artfynd.xlsx", "A 33866-2021")</f>
        <v/>
      </c>
      <c r="T155">
        <f>HYPERLINK("https://klasma.github.io/Logging_1780/karta/A 33866-2021 karta.png", "A 33866-2021")</f>
        <v/>
      </c>
      <c r="V155">
        <f>HYPERLINK("https://klasma.github.io/Logging_1780/klagomål/A 33866-2021 klagomål.docx", "A 33866-2021")</f>
        <v/>
      </c>
      <c r="W155">
        <f>HYPERLINK("https://klasma.github.io/Logging_1780/klagomålsmail/A 33866-2021 klagomålsmail.docx", "A 33866-2021")</f>
        <v/>
      </c>
      <c r="X155">
        <f>HYPERLINK("https://klasma.github.io/Logging_1780/tillsyn/A 33866-2021 tillsyn.docx", "A 33866-2021")</f>
        <v/>
      </c>
      <c r="Y155">
        <f>HYPERLINK("https://klasma.github.io/Logging_1780/tillsynsmail/A 33866-2021 tillsynsmail.docx", "A 33866-2021")</f>
        <v/>
      </c>
    </row>
    <row r="156" ht="15" customHeight="1">
      <c r="A156" t="inlineStr">
        <is>
          <t>A 43023-2021</t>
        </is>
      </c>
      <c r="B156" s="1" t="n">
        <v>44431</v>
      </c>
      <c r="C156" s="1" t="n">
        <v>45212</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 artfynd.xlsx", "A 43023-2021")</f>
        <v/>
      </c>
      <c r="T156">
        <f>HYPERLINK("https://klasma.github.io/Logging_1737/karta/A 43023-2021 karta.png", "A 43023-2021")</f>
        <v/>
      </c>
      <c r="V156">
        <f>HYPERLINK("https://klasma.github.io/Logging_1737/klagomål/A 43023-2021 klagomål.docx", "A 43023-2021")</f>
        <v/>
      </c>
      <c r="W156">
        <f>HYPERLINK("https://klasma.github.io/Logging_1737/klagomålsmail/A 43023-2021 klagomålsmail.docx", "A 43023-2021")</f>
        <v/>
      </c>
      <c r="X156">
        <f>HYPERLINK("https://klasma.github.io/Logging_1737/tillsyn/A 43023-2021 tillsyn.docx", "A 43023-2021")</f>
        <v/>
      </c>
      <c r="Y156">
        <f>HYPERLINK("https://klasma.github.io/Logging_1737/tillsynsmail/A 43023-2021 tillsynsmail.docx", "A 43023-2021")</f>
        <v/>
      </c>
    </row>
    <row r="157" ht="15" customHeight="1">
      <c r="A157" t="inlineStr">
        <is>
          <t>A 45750-2021</t>
        </is>
      </c>
      <c r="B157" s="1" t="n">
        <v>44435</v>
      </c>
      <c r="C157" s="1" t="n">
        <v>45212</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 artfynd.xlsx", "A 45750-2021")</f>
        <v/>
      </c>
      <c r="T157">
        <f>HYPERLINK("https://klasma.github.io/Logging_1784/karta/A 45750-2021 karta.png", "A 45750-2021")</f>
        <v/>
      </c>
      <c r="V157">
        <f>HYPERLINK("https://klasma.github.io/Logging_1784/klagomål/A 45750-2021 klagomål.docx", "A 45750-2021")</f>
        <v/>
      </c>
      <c r="W157">
        <f>HYPERLINK("https://klasma.github.io/Logging_1784/klagomålsmail/A 45750-2021 klagomålsmail.docx", "A 45750-2021")</f>
        <v/>
      </c>
      <c r="X157">
        <f>HYPERLINK("https://klasma.github.io/Logging_1784/tillsyn/A 45750-2021 tillsyn.docx", "A 45750-2021")</f>
        <v/>
      </c>
      <c r="Y157">
        <f>HYPERLINK("https://klasma.github.io/Logging_1784/tillsynsmail/A 45750-2021 tillsynsmail.docx", "A 45750-2021")</f>
        <v/>
      </c>
    </row>
    <row r="158" ht="15" customHeight="1">
      <c r="A158" t="inlineStr">
        <is>
          <t>A 48762-2021</t>
        </is>
      </c>
      <c r="B158" s="1" t="n">
        <v>44452</v>
      </c>
      <c r="C158" s="1" t="n">
        <v>45212</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 artfynd.xlsx", "A 48762-2021")</f>
        <v/>
      </c>
      <c r="T158">
        <f>HYPERLINK("https://klasma.github.io/Logging_1785/karta/A 48762-2021 karta.png", "A 48762-2021")</f>
        <v/>
      </c>
      <c r="V158">
        <f>HYPERLINK("https://klasma.github.io/Logging_1785/klagomål/A 48762-2021 klagomål.docx", "A 48762-2021")</f>
        <v/>
      </c>
      <c r="W158">
        <f>HYPERLINK("https://klasma.github.io/Logging_1785/klagomålsmail/A 48762-2021 klagomålsmail.docx", "A 48762-2021")</f>
        <v/>
      </c>
      <c r="X158">
        <f>HYPERLINK("https://klasma.github.io/Logging_1785/tillsyn/A 48762-2021 tillsyn.docx", "A 48762-2021")</f>
        <v/>
      </c>
      <c r="Y158">
        <f>HYPERLINK("https://klasma.github.io/Logging_1785/tillsynsmail/A 48762-2021 tillsynsmail.docx", "A 48762-2021")</f>
        <v/>
      </c>
    </row>
    <row r="159" ht="15" customHeight="1">
      <c r="A159" t="inlineStr">
        <is>
          <t>A 51072-2021</t>
        </is>
      </c>
      <c r="B159" s="1" t="n">
        <v>44461</v>
      </c>
      <c r="C159" s="1" t="n">
        <v>45212</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 artfynd.xlsx", "A 51072-2021")</f>
        <v/>
      </c>
      <c r="T159">
        <f>HYPERLINK("https://klasma.github.io/Logging_1763/karta/A 51072-2021 karta.png", "A 51072-2021")</f>
        <v/>
      </c>
      <c r="V159">
        <f>HYPERLINK("https://klasma.github.io/Logging_1763/klagomål/A 51072-2021 klagomål.docx", "A 51072-2021")</f>
        <v/>
      </c>
      <c r="W159">
        <f>HYPERLINK("https://klasma.github.io/Logging_1763/klagomålsmail/A 51072-2021 klagomålsmail.docx", "A 51072-2021")</f>
        <v/>
      </c>
      <c r="X159">
        <f>HYPERLINK("https://klasma.github.io/Logging_1763/tillsyn/A 51072-2021 tillsyn.docx", "A 51072-2021")</f>
        <v/>
      </c>
      <c r="Y159">
        <f>HYPERLINK("https://klasma.github.io/Logging_1763/tillsynsmail/A 51072-2021 tillsynsmail.docx", "A 51072-2021")</f>
        <v/>
      </c>
    </row>
    <row r="160" ht="15" customHeight="1">
      <c r="A160" t="inlineStr">
        <is>
          <t>A 54323-2021</t>
        </is>
      </c>
      <c r="B160" s="1" t="n">
        <v>44472</v>
      </c>
      <c r="C160" s="1" t="n">
        <v>45212</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 artfynd.xlsx", "A 54323-2021")</f>
        <v/>
      </c>
      <c r="T160">
        <f>HYPERLINK("https://klasma.github.io/Logging_1784/karta/A 54323-2021 karta.png", "A 54323-2021")</f>
        <v/>
      </c>
      <c r="V160">
        <f>HYPERLINK("https://klasma.github.io/Logging_1784/klagomål/A 54323-2021 klagomål.docx", "A 54323-2021")</f>
        <v/>
      </c>
      <c r="W160">
        <f>HYPERLINK("https://klasma.github.io/Logging_1784/klagomålsmail/A 54323-2021 klagomålsmail.docx", "A 54323-2021")</f>
        <v/>
      </c>
      <c r="X160">
        <f>HYPERLINK("https://klasma.github.io/Logging_1784/tillsyn/A 54323-2021 tillsyn.docx", "A 54323-2021")</f>
        <v/>
      </c>
      <c r="Y160">
        <f>HYPERLINK("https://klasma.github.io/Logging_1784/tillsynsmail/A 54323-2021 tillsynsmail.docx", "A 54323-2021")</f>
        <v/>
      </c>
    </row>
    <row r="161" ht="15" customHeight="1">
      <c r="A161" t="inlineStr">
        <is>
          <t>A 65319-2021</t>
        </is>
      </c>
      <c r="B161" s="1" t="n">
        <v>44515</v>
      </c>
      <c r="C161" s="1" t="n">
        <v>45212</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 artfynd.xlsx", "A 65319-2021")</f>
        <v/>
      </c>
      <c r="T161">
        <f>HYPERLINK("https://klasma.github.io/Logging_1765/karta/A 65319-2021 karta.png", "A 65319-2021")</f>
        <v/>
      </c>
      <c r="U161">
        <f>HYPERLINK("https://klasma.github.io/Logging_1765/knärot/A 65319-2021 knärot.png", "A 65319-2021")</f>
        <v/>
      </c>
      <c r="V161">
        <f>HYPERLINK("https://klasma.github.io/Logging_1765/klagomål/A 65319-2021 klagomål.docx", "A 65319-2021")</f>
        <v/>
      </c>
      <c r="W161">
        <f>HYPERLINK("https://klasma.github.io/Logging_1765/klagomålsmail/A 65319-2021 klagomålsmail.docx", "A 65319-2021")</f>
        <v/>
      </c>
      <c r="X161">
        <f>HYPERLINK("https://klasma.github.io/Logging_1765/tillsyn/A 65319-2021 tillsyn.docx", "A 65319-2021")</f>
        <v/>
      </c>
      <c r="Y161">
        <f>HYPERLINK("https://klasma.github.io/Logging_1765/tillsynsmail/A 65319-2021 tillsynsmail.docx", "A 65319-2021")</f>
        <v/>
      </c>
    </row>
    <row r="162" ht="15" customHeight="1">
      <c r="A162" t="inlineStr">
        <is>
          <t>A 66072-2021</t>
        </is>
      </c>
      <c r="B162" s="1" t="n">
        <v>44517</v>
      </c>
      <c r="C162" s="1" t="n">
        <v>45212</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 artfynd.xlsx", "A 66072-2021")</f>
        <v/>
      </c>
      <c r="T162">
        <f>HYPERLINK("https://klasma.github.io/Logging_1763/karta/A 66072-2021 karta.png", "A 66072-2021")</f>
        <v/>
      </c>
      <c r="V162">
        <f>HYPERLINK("https://klasma.github.io/Logging_1763/klagomål/A 66072-2021 klagomål.docx", "A 66072-2021")</f>
        <v/>
      </c>
      <c r="W162">
        <f>HYPERLINK("https://klasma.github.io/Logging_1763/klagomålsmail/A 66072-2021 klagomålsmail.docx", "A 66072-2021")</f>
        <v/>
      </c>
      <c r="X162">
        <f>HYPERLINK("https://klasma.github.io/Logging_1763/tillsyn/A 66072-2021 tillsyn.docx", "A 66072-2021")</f>
        <v/>
      </c>
      <c r="Y162">
        <f>HYPERLINK("https://klasma.github.io/Logging_1763/tillsynsmail/A 66072-2021 tillsynsmail.docx", "A 66072-2021")</f>
        <v/>
      </c>
    </row>
    <row r="163" ht="15" customHeight="1">
      <c r="A163" t="inlineStr">
        <is>
          <t>A 67528-2021</t>
        </is>
      </c>
      <c r="B163" s="1" t="n">
        <v>44524</v>
      </c>
      <c r="C163" s="1" t="n">
        <v>45212</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 artfynd.xlsx", "A 67528-2021")</f>
        <v/>
      </c>
      <c r="T163">
        <f>HYPERLINK("https://klasma.github.io/Logging_1737/karta/A 67528-2021 karta.png", "A 67528-2021")</f>
        <v/>
      </c>
      <c r="V163">
        <f>HYPERLINK("https://klasma.github.io/Logging_1737/klagomål/A 67528-2021 klagomål.docx", "A 67528-2021")</f>
        <v/>
      </c>
      <c r="W163">
        <f>HYPERLINK("https://klasma.github.io/Logging_1737/klagomålsmail/A 67528-2021 klagomålsmail.docx", "A 67528-2021")</f>
        <v/>
      </c>
      <c r="X163">
        <f>HYPERLINK("https://klasma.github.io/Logging_1737/tillsyn/A 67528-2021 tillsyn.docx", "A 67528-2021")</f>
        <v/>
      </c>
      <c r="Y163">
        <f>HYPERLINK("https://klasma.github.io/Logging_1737/tillsynsmail/A 67528-2021 tillsynsmail.docx", "A 67528-2021")</f>
        <v/>
      </c>
    </row>
    <row r="164" ht="15" customHeight="1">
      <c r="A164" t="inlineStr">
        <is>
          <t>A 69928-2021</t>
        </is>
      </c>
      <c r="B164" s="1" t="n">
        <v>44533</v>
      </c>
      <c r="C164" s="1" t="n">
        <v>45212</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HYPERLINK("https://klasma.github.io/Logging_1784/karta/A 69928-2021 karta.png", "A 69928-2021")</f>
        <v/>
      </c>
      <c r="V164">
        <f>HYPERLINK("https://klasma.github.io/Logging_1784/klagomål/A 69928-2021 klagomål.docx", "A 69928-2021")</f>
        <v/>
      </c>
      <c r="W164">
        <f>HYPERLINK("https://klasma.github.io/Logging_1784/klagomålsmail/A 69928-2021 klagomålsmail.docx", "A 69928-2021")</f>
        <v/>
      </c>
      <c r="X164">
        <f>HYPERLINK("https://klasma.github.io/Logging_1784/tillsyn/A 69928-2021 tillsyn.docx", "A 69928-2021")</f>
        <v/>
      </c>
      <c r="Y164">
        <f>HYPERLINK("https://klasma.github.io/Logging_1784/tillsynsmail/A 69928-2021 tillsynsmail.docx", "A 69928-2021")</f>
        <v/>
      </c>
    </row>
    <row r="165" ht="15" customHeight="1">
      <c r="A165" t="inlineStr">
        <is>
          <t>A 72989-2021</t>
        </is>
      </c>
      <c r="B165" s="1" t="n">
        <v>44549</v>
      </c>
      <c r="C165" s="1" t="n">
        <v>45212</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HYPERLINK("https://klasma.github.io/Logging_1763/karta/A 72989-2021 karta.png", "A 72989-2021")</f>
        <v/>
      </c>
      <c r="V165">
        <f>HYPERLINK("https://klasma.github.io/Logging_1763/klagomål/A 72989-2021 klagomål.docx", "A 72989-2021")</f>
        <v/>
      </c>
      <c r="W165">
        <f>HYPERLINK("https://klasma.github.io/Logging_1763/klagomålsmail/A 72989-2021 klagomålsmail.docx", "A 72989-2021")</f>
        <v/>
      </c>
      <c r="X165">
        <f>HYPERLINK("https://klasma.github.io/Logging_1763/tillsyn/A 72989-2021 tillsyn.docx", "A 72989-2021")</f>
        <v/>
      </c>
      <c r="Y165">
        <f>HYPERLINK("https://klasma.github.io/Logging_1763/tillsynsmail/A 72989-2021 tillsynsmail.docx", "A 72989-2021")</f>
        <v/>
      </c>
    </row>
    <row r="166" ht="15" customHeight="1">
      <c r="A166" t="inlineStr">
        <is>
          <t>A 573-2022</t>
        </is>
      </c>
      <c r="B166" s="1" t="n">
        <v>44566</v>
      </c>
      <c r="C166" s="1" t="n">
        <v>45212</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HYPERLINK("https://klasma.github.io/Logging_1766/karta/A 573-2022 karta.png", "A 573-2022")</f>
        <v/>
      </c>
      <c r="V166">
        <f>HYPERLINK("https://klasma.github.io/Logging_1766/klagomål/A 573-2022 klagomål.docx", "A 573-2022")</f>
        <v/>
      </c>
      <c r="W166">
        <f>HYPERLINK("https://klasma.github.io/Logging_1766/klagomålsmail/A 573-2022 klagomålsmail.docx", "A 573-2022")</f>
        <v/>
      </c>
      <c r="X166">
        <f>HYPERLINK("https://klasma.github.io/Logging_1766/tillsyn/A 573-2022 tillsyn.docx", "A 573-2022")</f>
        <v/>
      </c>
      <c r="Y166">
        <f>HYPERLINK("https://klasma.github.io/Logging_1766/tillsynsmail/A 573-2022 tillsynsmail.docx", "A 573-2022")</f>
        <v/>
      </c>
    </row>
    <row r="167" ht="15" customHeight="1">
      <c r="A167" t="inlineStr">
        <is>
          <t>A 656-2022</t>
        </is>
      </c>
      <c r="B167" s="1" t="n">
        <v>44566</v>
      </c>
      <c r="C167" s="1" t="n">
        <v>45212</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HYPERLINK("https://klasma.github.io/Logging_1783/karta/A 656-2022 karta.png", "A 656-2022")</f>
        <v/>
      </c>
      <c r="V167">
        <f>HYPERLINK("https://klasma.github.io/Logging_1783/klagomål/A 656-2022 klagomål.docx", "A 656-2022")</f>
        <v/>
      </c>
      <c r="W167">
        <f>HYPERLINK("https://klasma.github.io/Logging_1783/klagomålsmail/A 656-2022 klagomålsmail.docx", "A 656-2022")</f>
        <v/>
      </c>
      <c r="X167">
        <f>HYPERLINK("https://klasma.github.io/Logging_1783/tillsyn/A 656-2022 tillsyn.docx", "A 656-2022")</f>
        <v/>
      </c>
      <c r="Y167">
        <f>HYPERLINK("https://klasma.github.io/Logging_1783/tillsynsmail/A 656-2022 tillsynsmail.docx", "A 656-2022")</f>
        <v/>
      </c>
    </row>
    <row r="168" ht="15" customHeight="1">
      <c r="A168" t="inlineStr">
        <is>
          <t>A 3340-2022</t>
        </is>
      </c>
      <c r="B168" s="1" t="n">
        <v>44585</v>
      </c>
      <c r="C168" s="1" t="n">
        <v>45212</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HYPERLINK("https://klasma.github.io/Logging_1784/karta/A 3340-2022 karta.png", "A 3340-2022")</f>
        <v/>
      </c>
      <c r="V168">
        <f>HYPERLINK("https://klasma.github.io/Logging_1784/klagomål/A 3340-2022 klagomål.docx", "A 3340-2022")</f>
        <v/>
      </c>
      <c r="W168">
        <f>HYPERLINK("https://klasma.github.io/Logging_1784/klagomålsmail/A 3340-2022 klagomålsmail.docx", "A 3340-2022")</f>
        <v/>
      </c>
      <c r="X168">
        <f>HYPERLINK("https://klasma.github.io/Logging_1784/tillsyn/A 3340-2022 tillsyn.docx", "A 3340-2022")</f>
        <v/>
      </c>
      <c r="Y168">
        <f>HYPERLINK("https://klasma.github.io/Logging_1784/tillsynsmail/A 3340-2022 tillsynsmail.docx", "A 3340-2022")</f>
        <v/>
      </c>
    </row>
    <row r="169" ht="15" customHeight="1">
      <c r="A169" t="inlineStr">
        <is>
          <t>A 12372-2022</t>
        </is>
      </c>
      <c r="B169" s="1" t="n">
        <v>44637</v>
      </c>
      <c r="C169" s="1" t="n">
        <v>45212</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HYPERLINK("https://klasma.github.io/Logging_1737/karta/A 12372-2022 karta.png", "A 12372-2022")</f>
        <v/>
      </c>
      <c r="V169">
        <f>HYPERLINK("https://klasma.github.io/Logging_1737/klagomål/A 12372-2022 klagomål.docx", "A 12372-2022")</f>
        <v/>
      </c>
      <c r="W169">
        <f>HYPERLINK("https://klasma.github.io/Logging_1737/klagomålsmail/A 12372-2022 klagomålsmail.docx", "A 12372-2022")</f>
        <v/>
      </c>
      <c r="X169">
        <f>HYPERLINK("https://klasma.github.io/Logging_1737/tillsyn/A 12372-2022 tillsyn.docx", "A 12372-2022")</f>
        <v/>
      </c>
      <c r="Y169">
        <f>HYPERLINK("https://klasma.github.io/Logging_1737/tillsynsmail/A 12372-2022 tillsynsmail.docx", "A 12372-2022")</f>
        <v/>
      </c>
    </row>
    <row r="170" ht="15" customHeight="1">
      <c r="A170" t="inlineStr">
        <is>
          <t>A 12375-2022</t>
        </is>
      </c>
      <c r="B170" s="1" t="n">
        <v>44637</v>
      </c>
      <c r="C170" s="1" t="n">
        <v>45212</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HYPERLINK("https://klasma.github.io/Logging_1737/karta/A 12375-2022 karta.png", "A 12375-2022")</f>
        <v/>
      </c>
      <c r="V170">
        <f>HYPERLINK("https://klasma.github.io/Logging_1737/klagomål/A 12375-2022 klagomål.docx", "A 12375-2022")</f>
        <v/>
      </c>
      <c r="W170">
        <f>HYPERLINK("https://klasma.github.io/Logging_1737/klagomålsmail/A 12375-2022 klagomålsmail.docx", "A 12375-2022")</f>
        <v/>
      </c>
      <c r="X170">
        <f>HYPERLINK("https://klasma.github.io/Logging_1737/tillsyn/A 12375-2022 tillsyn.docx", "A 12375-2022")</f>
        <v/>
      </c>
      <c r="Y170">
        <f>HYPERLINK("https://klasma.github.io/Logging_1737/tillsynsmail/A 12375-2022 tillsynsmail.docx", "A 12375-2022")</f>
        <v/>
      </c>
    </row>
    <row r="171" ht="15" customHeight="1">
      <c r="A171" t="inlineStr">
        <is>
          <t>A 16766-2022</t>
        </is>
      </c>
      <c r="B171" s="1" t="n">
        <v>44673</v>
      </c>
      <c r="C171" s="1" t="n">
        <v>45212</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HYPERLINK("https://klasma.github.io/Logging_1785/karta/A 16766-2022 karta.png", "A 16766-2022")</f>
        <v/>
      </c>
      <c r="V171">
        <f>HYPERLINK("https://klasma.github.io/Logging_1785/klagomål/A 16766-2022 klagomål.docx", "A 16766-2022")</f>
        <v/>
      </c>
      <c r="W171">
        <f>HYPERLINK("https://klasma.github.io/Logging_1785/klagomålsmail/A 16766-2022 klagomålsmail.docx", "A 16766-2022")</f>
        <v/>
      </c>
      <c r="X171">
        <f>HYPERLINK("https://klasma.github.io/Logging_1785/tillsyn/A 16766-2022 tillsyn.docx", "A 16766-2022")</f>
        <v/>
      </c>
      <c r="Y171">
        <f>HYPERLINK("https://klasma.github.io/Logging_1785/tillsynsmail/A 16766-2022 tillsynsmail.docx", "A 16766-2022")</f>
        <v/>
      </c>
    </row>
    <row r="172" ht="15" customHeight="1">
      <c r="A172" t="inlineStr">
        <is>
          <t>A 20765-2022</t>
        </is>
      </c>
      <c r="B172" s="1" t="n">
        <v>44701</v>
      </c>
      <c r="C172" s="1" t="n">
        <v>45212</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HYPERLINK("https://klasma.github.io/Logging_1780/karta/A 20765-2022 karta.png", "A 20765-2022")</f>
        <v/>
      </c>
      <c r="V172">
        <f>HYPERLINK("https://klasma.github.io/Logging_1780/klagomål/A 20765-2022 klagomål.docx", "A 20765-2022")</f>
        <v/>
      </c>
      <c r="W172">
        <f>HYPERLINK("https://klasma.github.io/Logging_1780/klagomålsmail/A 20765-2022 klagomålsmail.docx", "A 20765-2022")</f>
        <v/>
      </c>
      <c r="X172">
        <f>HYPERLINK("https://klasma.github.io/Logging_1780/tillsyn/A 20765-2022 tillsyn.docx", "A 20765-2022")</f>
        <v/>
      </c>
      <c r="Y172">
        <f>HYPERLINK("https://klasma.github.io/Logging_1780/tillsynsmail/A 20765-2022 tillsynsmail.docx", "A 20765-2022")</f>
        <v/>
      </c>
    </row>
    <row r="173" ht="15" customHeight="1">
      <c r="A173" t="inlineStr">
        <is>
          <t>A 24616-2022</t>
        </is>
      </c>
      <c r="B173" s="1" t="n">
        <v>44727</v>
      </c>
      <c r="C173" s="1" t="n">
        <v>45212</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HYPERLINK("https://klasma.github.io/Logging_1761/karta/A 24616-2022 karta.png", "A 24616-2022")</f>
        <v/>
      </c>
      <c r="U173">
        <f>HYPERLINK("https://klasma.github.io/Logging_1761/knärot/A 24616-2022 knärot.png", "A 24616-2022")</f>
        <v/>
      </c>
      <c r="V173">
        <f>HYPERLINK("https://klasma.github.io/Logging_1761/klagomål/A 24616-2022 klagomål.docx", "A 24616-2022")</f>
        <v/>
      </c>
      <c r="W173">
        <f>HYPERLINK("https://klasma.github.io/Logging_1761/klagomålsmail/A 24616-2022 klagomålsmail.docx", "A 24616-2022")</f>
        <v/>
      </c>
      <c r="X173">
        <f>HYPERLINK("https://klasma.github.io/Logging_1761/tillsyn/A 24616-2022 tillsyn.docx", "A 24616-2022")</f>
        <v/>
      </c>
      <c r="Y173">
        <f>HYPERLINK("https://klasma.github.io/Logging_1761/tillsynsmail/A 24616-2022 tillsynsmail.docx", "A 24616-2022")</f>
        <v/>
      </c>
    </row>
    <row r="174" ht="15" customHeight="1">
      <c r="A174" t="inlineStr">
        <is>
          <t>A 28156-2022</t>
        </is>
      </c>
      <c r="B174" s="1" t="n">
        <v>44746</v>
      </c>
      <c r="C174" s="1" t="n">
        <v>45212</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HYPERLINK("https://klasma.github.io/Logging_1737/karta/A 28156-2022 karta.png", "A 28156-2022")</f>
        <v/>
      </c>
      <c r="V174">
        <f>HYPERLINK("https://klasma.github.io/Logging_1737/klagomål/A 28156-2022 klagomål.docx", "A 28156-2022")</f>
        <v/>
      </c>
      <c r="W174">
        <f>HYPERLINK("https://klasma.github.io/Logging_1737/klagomålsmail/A 28156-2022 klagomålsmail.docx", "A 28156-2022")</f>
        <v/>
      </c>
      <c r="X174">
        <f>HYPERLINK("https://klasma.github.io/Logging_1737/tillsyn/A 28156-2022 tillsyn.docx", "A 28156-2022")</f>
        <v/>
      </c>
      <c r="Y174">
        <f>HYPERLINK("https://klasma.github.io/Logging_1737/tillsynsmail/A 28156-2022 tillsynsmail.docx", "A 28156-2022")</f>
        <v/>
      </c>
    </row>
    <row r="175" ht="15" customHeight="1">
      <c r="A175" t="inlineStr">
        <is>
          <t>A 31603-2022</t>
        </is>
      </c>
      <c r="B175" s="1" t="n">
        <v>44775</v>
      </c>
      <c r="C175" s="1" t="n">
        <v>45212</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HYPERLINK("https://klasma.github.io/Logging_1766/karta/A 31603-2022 karta.png", "A 31603-2022")</f>
        <v/>
      </c>
      <c r="V175">
        <f>HYPERLINK("https://klasma.github.io/Logging_1766/klagomål/A 31603-2022 klagomål.docx", "A 31603-2022")</f>
        <v/>
      </c>
      <c r="W175">
        <f>HYPERLINK("https://klasma.github.io/Logging_1766/klagomålsmail/A 31603-2022 klagomålsmail.docx", "A 31603-2022")</f>
        <v/>
      </c>
      <c r="X175">
        <f>HYPERLINK("https://klasma.github.io/Logging_1766/tillsyn/A 31603-2022 tillsyn.docx", "A 31603-2022")</f>
        <v/>
      </c>
      <c r="Y175">
        <f>HYPERLINK("https://klasma.github.io/Logging_1766/tillsynsmail/A 31603-2022 tillsynsmail.docx", "A 31603-2022")</f>
        <v/>
      </c>
    </row>
    <row r="176" ht="15" customHeight="1">
      <c r="A176" t="inlineStr">
        <is>
          <t>A 34930-2022</t>
        </is>
      </c>
      <c r="B176" s="1" t="n">
        <v>44796</v>
      </c>
      <c r="C176" s="1" t="n">
        <v>45212</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HYPERLINK("https://klasma.github.io/Logging_1737/karta/A 34930-2022 karta.png", "A 34930-2022")</f>
        <v/>
      </c>
      <c r="V176">
        <f>HYPERLINK("https://klasma.github.io/Logging_1737/klagomål/A 34930-2022 klagomål.docx", "A 34930-2022")</f>
        <v/>
      </c>
      <c r="W176">
        <f>HYPERLINK("https://klasma.github.io/Logging_1737/klagomålsmail/A 34930-2022 klagomålsmail.docx", "A 34930-2022")</f>
        <v/>
      </c>
      <c r="X176">
        <f>HYPERLINK("https://klasma.github.io/Logging_1737/tillsyn/A 34930-2022 tillsyn.docx", "A 34930-2022")</f>
        <v/>
      </c>
      <c r="Y176">
        <f>HYPERLINK("https://klasma.github.io/Logging_1737/tillsynsmail/A 34930-2022 tillsynsmail.docx", "A 34930-2022")</f>
        <v/>
      </c>
    </row>
    <row r="177" ht="15" customHeight="1">
      <c r="A177" t="inlineStr">
        <is>
          <t>A 38221-2022</t>
        </is>
      </c>
      <c r="B177" s="1" t="n">
        <v>44812</v>
      </c>
      <c r="C177" s="1" t="n">
        <v>45212</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HYPERLINK("https://klasma.github.io/Logging_1737/karta/A 38221-2022 karta.png", "A 38221-2022")</f>
        <v/>
      </c>
      <c r="V177">
        <f>HYPERLINK("https://klasma.github.io/Logging_1737/klagomål/A 38221-2022 klagomål.docx", "A 38221-2022")</f>
        <v/>
      </c>
      <c r="W177">
        <f>HYPERLINK("https://klasma.github.io/Logging_1737/klagomålsmail/A 38221-2022 klagomålsmail.docx", "A 38221-2022")</f>
        <v/>
      </c>
      <c r="X177">
        <f>HYPERLINK("https://klasma.github.io/Logging_1737/tillsyn/A 38221-2022 tillsyn.docx", "A 38221-2022")</f>
        <v/>
      </c>
      <c r="Y177">
        <f>HYPERLINK("https://klasma.github.io/Logging_1737/tillsynsmail/A 38221-2022 tillsynsmail.docx", "A 38221-2022")</f>
        <v/>
      </c>
    </row>
    <row r="178" ht="15" customHeight="1">
      <c r="A178" t="inlineStr">
        <is>
          <t>A 45523-2022</t>
        </is>
      </c>
      <c r="B178" s="1" t="n">
        <v>44845</v>
      </c>
      <c r="C178" s="1" t="n">
        <v>45212</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HYPERLINK("https://klasma.github.io/Logging_1782/karta/A 45523-2022 karta.png", "A 45523-2022")</f>
        <v/>
      </c>
      <c r="V178">
        <f>HYPERLINK("https://klasma.github.io/Logging_1782/klagomål/A 45523-2022 klagomål.docx", "A 45523-2022")</f>
        <v/>
      </c>
      <c r="W178">
        <f>HYPERLINK("https://klasma.github.io/Logging_1782/klagomålsmail/A 45523-2022 klagomålsmail.docx", "A 45523-2022")</f>
        <v/>
      </c>
      <c r="X178">
        <f>HYPERLINK("https://klasma.github.io/Logging_1782/tillsyn/A 45523-2022 tillsyn.docx", "A 45523-2022")</f>
        <v/>
      </c>
      <c r="Y178">
        <f>HYPERLINK("https://klasma.github.io/Logging_1782/tillsynsmail/A 45523-2022 tillsynsmail.docx", "A 45523-2022")</f>
        <v/>
      </c>
    </row>
    <row r="179" ht="15" customHeight="1">
      <c r="A179" t="inlineStr">
        <is>
          <t>A 50431-2022</t>
        </is>
      </c>
      <c r="B179" s="1" t="n">
        <v>44861</v>
      </c>
      <c r="C179" s="1" t="n">
        <v>45212</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HYPERLINK("https://klasma.github.io/Logging_1785/karta/A 50431-2022 karta.png", "A 50431-2022")</f>
        <v/>
      </c>
      <c r="V179">
        <f>HYPERLINK("https://klasma.github.io/Logging_1785/klagomål/A 50431-2022 klagomål.docx", "A 50431-2022")</f>
        <v/>
      </c>
      <c r="W179">
        <f>HYPERLINK("https://klasma.github.io/Logging_1785/klagomålsmail/A 50431-2022 klagomålsmail.docx", "A 50431-2022")</f>
        <v/>
      </c>
      <c r="X179">
        <f>HYPERLINK("https://klasma.github.io/Logging_1785/tillsyn/A 50431-2022 tillsyn.docx", "A 50431-2022")</f>
        <v/>
      </c>
      <c r="Y179">
        <f>HYPERLINK("https://klasma.github.io/Logging_1785/tillsynsmail/A 50431-2022 tillsynsmail.docx", "A 50431-2022")</f>
        <v/>
      </c>
    </row>
    <row r="180" ht="15" customHeight="1">
      <c r="A180" t="inlineStr">
        <is>
          <t>A 50102-2022</t>
        </is>
      </c>
      <c r="B180" s="1" t="n">
        <v>44865</v>
      </c>
      <c r="C180" s="1" t="n">
        <v>45212</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HYPERLINK("https://klasma.github.io/Logging_1730/karta/A 50102-2022 karta.png", "A 50102-2022")</f>
        <v/>
      </c>
      <c r="V180">
        <f>HYPERLINK("https://klasma.github.io/Logging_1730/klagomål/A 50102-2022 klagomål.docx", "A 50102-2022")</f>
        <v/>
      </c>
      <c r="W180">
        <f>HYPERLINK("https://klasma.github.io/Logging_1730/klagomålsmail/A 50102-2022 klagomålsmail.docx", "A 50102-2022")</f>
        <v/>
      </c>
      <c r="X180">
        <f>HYPERLINK("https://klasma.github.io/Logging_1730/tillsyn/A 50102-2022 tillsyn.docx", "A 50102-2022")</f>
        <v/>
      </c>
      <c r="Y180">
        <f>HYPERLINK("https://klasma.github.io/Logging_1730/tillsynsmail/A 50102-2022 tillsynsmail.docx", "A 50102-2022")</f>
        <v/>
      </c>
    </row>
    <row r="181" ht="15" customHeight="1">
      <c r="A181" t="inlineStr">
        <is>
          <t>A 51769-2022</t>
        </is>
      </c>
      <c r="B181" s="1" t="n">
        <v>44872</v>
      </c>
      <c r="C181" s="1" t="n">
        <v>45212</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HYPERLINK("https://klasma.github.io/Logging_1784/karta/A 51769-2022 karta.png", "A 51769-2022")</f>
        <v/>
      </c>
      <c r="U181">
        <f>HYPERLINK("https://klasma.github.io/Logging_1784/knärot/A 51769-2022 knärot.png", "A 51769-2022")</f>
        <v/>
      </c>
      <c r="V181">
        <f>HYPERLINK("https://klasma.github.io/Logging_1784/klagomål/A 51769-2022 klagomål.docx", "A 51769-2022")</f>
        <v/>
      </c>
      <c r="W181">
        <f>HYPERLINK("https://klasma.github.io/Logging_1784/klagomålsmail/A 51769-2022 klagomålsmail.docx", "A 51769-2022")</f>
        <v/>
      </c>
      <c r="X181">
        <f>HYPERLINK("https://klasma.github.io/Logging_1784/tillsyn/A 51769-2022 tillsyn.docx", "A 51769-2022")</f>
        <v/>
      </c>
      <c r="Y181">
        <f>HYPERLINK("https://klasma.github.io/Logging_1784/tillsynsmail/A 51769-2022 tillsynsmail.docx", "A 51769-2022")</f>
        <v/>
      </c>
    </row>
    <row r="182" ht="15" customHeight="1">
      <c r="A182" t="inlineStr">
        <is>
          <t>A 51928-2022</t>
        </is>
      </c>
      <c r="B182" s="1" t="n">
        <v>44872</v>
      </c>
      <c r="C182" s="1" t="n">
        <v>45212</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HYPERLINK("https://klasma.github.io/Logging_1765/karta/A 51928-2022 karta.png", "A 51928-2022")</f>
        <v/>
      </c>
      <c r="U182">
        <f>HYPERLINK("https://klasma.github.io/Logging_1765/knärot/A 51928-2022 knärot.png", "A 51928-2022")</f>
        <v/>
      </c>
      <c r="V182">
        <f>HYPERLINK("https://klasma.github.io/Logging_1765/klagomål/A 51928-2022 klagomål.docx", "A 51928-2022")</f>
        <v/>
      </c>
      <c r="W182">
        <f>HYPERLINK("https://klasma.github.io/Logging_1765/klagomålsmail/A 51928-2022 klagomålsmail.docx", "A 51928-2022")</f>
        <v/>
      </c>
      <c r="X182">
        <f>HYPERLINK("https://klasma.github.io/Logging_1765/tillsyn/A 51928-2022 tillsyn.docx", "A 51928-2022")</f>
        <v/>
      </c>
      <c r="Y182">
        <f>HYPERLINK("https://klasma.github.io/Logging_1765/tillsynsmail/A 51928-2022 tillsynsmail.docx", "A 51928-2022")</f>
        <v/>
      </c>
    </row>
    <row r="183" ht="15" customHeight="1">
      <c r="A183" t="inlineStr">
        <is>
          <t>A 54195-2022</t>
        </is>
      </c>
      <c r="B183" s="1" t="n">
        <v>44881</v>
      </c>
      <c r="C183" s="1" t="n">
        <v>45212</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HYPERLINK("https://klasma.github.io/Logging_1730/karta/A 54195-2022 karta.png", "A 54195-2022")</f>
        <v/>
      </c>
      <c r="V183">
        <f>HYPERLINK("https://klasma.github.io/Logging_1730/klagomål/A 54195-2022 klagomål.docx", "A 54195-2022")</f>
        <v/>
      </c>
      <c r="W183">
        <f>HYPERLINK("https://klasma.github.io/Logging_1730/klagomålsmail/A 54195-2022 klagomålsmail.docx", "A 54195-2022")</f>
        <v/>
      </c>
      <c r="X183">
        <f>HYPERLINK("https://klasma.github.io/Logging_1730/tillsyn/A 54195-2022 tillsyn.docx", "A 54195-2022")</f>
        <v/>
      </c>
      <c r="Y183">
        <f>HYPERLINK("https://klasma.github.io/Logging_1730/tillsynsmail/A 54195-2022 tillsynsmail.docx", "A 54195-2022")</f>
        <v/>
      </c>
    </row>
    <row r="184" ht="15" customHeight="1">
      <c r="A184" t="inlineStr">
        <is>
          <t>A 56624-2022</t>
        </is>
      </c>
      <c r="B184" s="1" t="n">
        <v>44893</v>
      </c>
      <c r="C184" s="1" t="n">
        <v>45212</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HYPERLINK("https://klasma.github.io/Logging_1766/karta/A 56624-2022 karta.png", "A 56624-2022")</f>
        <v/>
      </c>
      <c r="V184">
        <f>HYPERLINK("https://klasma.github.io/Logging_1766/klagomål/A 56624-2022 klagomål.docx", "A 56624-2022")</f>
        <v/>
      </c>
      <c r="W184">
        <f>HYPERLINK("https://klasma.github.io/Logging_1766/klagomålsmail/A 56624-2022 klagomålsmail.docx", "A 56624-2022")</f>
        <v/>
      </c>
      <c r="X184">
        <f>HYPERLINK("https://klasma.github.io/Logging_1766/tillsyn/A 56624-2022 tillsyn.docx", "A 56624-2022")</f>
        <v/>
      </c>
      <c r="Y184">
        <f>HYPERLINK("https://klasma.github.io/Logging_1766/tillsynsmail/A 56624-2022 tillsynsmail.docx", "A 56624-2022")</f>
        <v/>
      </c>
    </row>
    <row r="185" ht="15" customHeight="1">
      <c r="A185" t="inlineStr">
        <is>
          <t>A 60826-2022</t>
        </is>
      </c>
      <c r="B185" s="1" t="n">
        <v>44907</v>
      </c>
      <c r="C185" s="1" t="n">
        <v>45212</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HYPERLINK("https://klasma.github.io/Logging_1764/karta/A 60826-2022 karta.png", "A 60826-2022")</f>
        <v/>
      </c>
      <c r="V185">
        <f>HYPERLINK("https://klasma.github.io/Logging_1764/klagomål/A 60826-2022 klagomål.docx", "A 60826-2022")</f>
        <v/>
      </c>
      <c r="W185">
        <f>HYPERLINK("https://klasma.github.io/Logging_1764/klagomålsmail/A 60826-2022 klagomålsmail.docx", "A 60826-2022")</f>
        <v/>
      </c>
      <c r="X185">
        <f>HYPERLINK("https://klasma.github.io/Logging_1764/tillsyn/A 60826-2022 tillsyn.docx", "A 60826-2022")</f>
        <v/>
      </c>
      <c r="Y185">
        <f>HYPERLINK("https://klasma.github.io/Logging_1764/tillsynsmail/A 60826-2022 tillsynsmail.docx", "A 60826-2022")</f>
        <v/>
      </c>
    </row>
    <row r="186" ht="15" customHeight="1">
      <c r="A186" t="inlineStr">
        <is>
          <t>A 1198-2023</t>
        </is>
      </c>
      <c r="B186" s="1" t="n">
        <v>44935</v>
      </c>
      <c r="C186" s="1" t="n">
        <v>45212</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HYPERLINK("https://klasma.github.io/Logging_1765/karta/A 1198-2023 karta.png", "A 1198-2023")</f>
        <v/>
      </c>
      <c r="V186">
        <f>HYPERLINK("https://klasma.github.io/Logging_1765/klagomål/A 1198-2023 klagomål.docx", "A 1198-2023")</f>
        <v/>
      </c>
      <c r="W186">
        <f>HYPERLINK("https://klasma.github.io/Logging_1765/klagomålsmail/A 1198-2023 klagomålsmail.docx", "A 1198-2023")</f>
        <v/>
      </c>
      <c r="X186">
        <f>HYPERLINK("https://klasma.github.io/Logging_1765/tillsyn/A 1198-2023 tillsyn.docx", "A 1198-2023")</f>
        <v/>
      </c>
      <c r="Y186">
        <f>HYPERLINK("https://klasma.github.io/Logging_1765/tillsynsmail/A 1198-2023 tillsynsmail.docx", "A 1198-2023")</f>
        <v/>
      </c>
    </row>
    <row r="187" ht="15" customHeight="1">
      <c r="A187" t="inlineStr">
        <is>
          <t>A 2000-2023</t>
        </is>
      </c>
      <c r="B187" s="1" t="n">
        <v>44939</v>
      </c>
      <c r="C187" s="1" t="n">
        <v>45212</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HYPERLINK("https://klasma.github.io/Logging_1737/karta/A 2000-2023 karta.png", "A 2000-2023")</f>
        <v/>
      </c>
      <c r="V187">
        <f>HYPERLINK("https://klasma.github.io/Logging_1737/klagomål/A 2000-2023 klagomål.docx", "A 2000-2023")</f>
        <v/>
      </c>
      <c r="W187">
        <f>HYPERLINK("https://klasma.github.io/Logging_1737/klagomålsmail/A 2000-2023 klagomålsmail.docx", "A 2000-2023")</f>
        <v/>
      </c>
      <c r="X187">
        <f>HYPERLINK("https://klasma.github.io/Logging_1737/tillsyn/A 2000-2023 tillsyn.docx", "A 2000-2023")</f>
        <v/>
      </c>
      <c r="Y187">
        <f>HYPERLINK("https://klasma.github.io/Logging_1737/tillsynsmail/A 2000-2023 tillsynsmail.docx", "A 2000-2023")</f>
        <v/>
      </c>
    </row>
    <row r="188" ht="15" customHeight="1">
      <c r="A188" t="inlineStr">
        <is>
          <t>A 4718-2023</t>
        </is>
      </c>
      <c r="B188" s="1" t="n">
        <v>44957</v>
      </c>
      <c r="C188" s="1" t="n">
        <v>45212</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HYPERLINK("https://klasma.github.io/Logging_1737/karta/A 4718-2023 karta.png", "A 4718-2023")</f>
        <v/>
      </c>
      <c r="V188">
        <f>HYPERLINK("https://klasma.github.io/Logging_1737/klagomål/A 4718-2023 klagomål.docx", "A 4718-2023")</f>
        <v/>
      </c>
      <c r="W188">
        <f>HYPERLINK("https://klasma.github.io/Logging_1737/klagomålsmail/A 4718-2023 klagomålsmail.docx", "A 4718-2023")</f>
        <v/>
      </c>
      <c r="X188">
        <f>HYPERLINK("https://klasma.github.io/Logging_1737/tillsyn/A 4718-2023 tillsyn.docx", "A 4718-2023")</f>
        <v/>
      </c>
      <c r="Y188">
        <f>HYPERLINK("https://klasma.github.io/Logging_1737/tillsynsmail/A 4718-2023 tillsynsmail.docx", "A 4718-2023")</f>
        <v/>
      </c>
    </row>
    <row r="189" ht="15" customHeight="1">
      <c r="A189" t="inlineStr">
        <is>
          <t>A 12949-2023</t>
        </is>
      </c>
      <c r="B189" s="1" t="n">
        <v>45001</v>
      </c>
      <c r="C189" s="1" t="n">
        <v>45212</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HYPERLINK("https://klasma.github.io/Logging_1765/karta/A 12949-2023 karta.png", "A 12949-2023")</f>
        <v/>
      </c>
      <c r="V189">
        <f>HYPERLINK("https://klasma.github.io/Logging_1765/klagomål/A 12949-2023 klagomål.docx", "A 12949-2023")</f>
        <v/>
      </c>
      <c r="W189">
        <f>HYPERLINK("https://klasma.github.io/Logging_1765/klagomålsmail/A 12949-2023 klagomålsmail.docx", "A 12949-2023")</f>
        <v/>
      </c>
      <c r="X189">
        <f>HYPERLINK("https://klasma.github.io/Logging_1765/tillsyn/A 12949-2023 tillsyn.docx", "A 12949-2023")</f>
        <v/>
      </c>
      <c r="Y189">
        <f>HYPERLINK("https://klasma.github.io/Logging_1765/tillsynsmail/A 12949-2023 tillsynsmail.docx", "A 12949-2023")</f>
        <v/>
      </c>
    </row>
    <row r="190" ht="15" customHeight="1">
      <c r="A190" t="inlineStr">
        <is>
          <t>A 13364-2023</t>
        </is>
      </c>
      <c r="B190" s="1" t="n">
        <v>45005</v>
      </c>
      <c r="C190" s="1" t="n">
        <v>45212</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HYPERLINK("https://klasma.github.io/Logging_1737/karta/A 13364-2023 karta.png", "A 13364-2023")</f>
        <v/>
      </c>
      <c r="V190">
        <f>HYPERLINK("https://klasma.github.io/Logging_1737/klagomål/A 13364-2023 klagomål.docx", "A 13364-2023")</f>
        <v/>
      </c>
      <c r="W190">
        <f>HYPERLINK("https://klasma.github.io/Logging_1737/klagomålsmail/A 13364-2023 klagomålsmail.docx", "A 13364-2023")</f>
        <v/>
      </c>
      <c r="X190">
        <f>HYPERLINK("https://klasma.github.io/Logging_1737/tillsyn/A 13364-2023 tillsyn.docx", "A 13364-2023")</f>
        <v/>
      </c>
      <c r="Y190">
        <f>HYPERLINK("https://klasma.github.io/Logging_1737/tillsynsmail/A 13364-2023 tillsynsmail.docx", "A 13364-2023")</f>
        <v/>
      </c>
    </row>
    <row r="191" ht="15" customHeight="1">
      <c r="A191" t="inlineStr">
        <is>
          <t>A 13630-2023</t>
        </is>
      </c>
      <c r="B191" s="1" t="n">
        <v>45006</v>
      </c>
      <c r="C191" s="1" t="n">
        <v>45212</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HYPERLINK("https://klasma.github.io/Logging_1784/karta/A 13630-2023 karta.png", "A 13630-2023")</f>
        <v/>
      </c>
      <c r="V191">
        <f>HYPERLINK("https://klasma.github.io/Logging_1784/klagomål/A 13630-2023 klagomål.docx", "A 13630-2023")</f>
        <v/>
      </c>
      <c r="W191">
        <f>HYPERLINK("https://klasma.github.io/Logging_1784/klagomålsmail/A 13630-2023 klagomålsmail.docx", "A 13630-2023")</f>
        <v/>
      </c>
      <c r="X191">
        <f>HYPERLINK("https://klasma.github.io/Logging_1784/tillsyn/A 13630-2023 tillsyn.docx", "A 13630-2023")</f>
        <v/>
      </c>
      <c r="Y191">
        <f>HYPERLINK("https://klasma.github.io/Logging_1784/tillsynsmail/A 13630-2023 tillsynsmail.docx", "A 13630-2023")</f>
        <v/>
      </c>
    </row>
    <row r="192" ht="15" customHeight="1">
      <c r="A192" t="inlineStr">
        <is>
          <t>A 16414-2023</t>
        </is>
      </c>
      <c r="B192" s="1" t="n">
        <v>45022</v>
      </c>
      <c r="C192" s="1" t="n">
        <v>45212</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HYPERLINK("https://klasma.github.io/Logging_1737/karta/A 16414-2023 karta.png", "A 16414-2023")</f>
        <v/>
      </c>
      <c r="V192">
        <f>HYPERLINK("https://klasma.github.io/Logging_1737/klagomål/A 16414-2023 klagomål.docx", "A 16414-2023")</f>
        <v/>
      </c>
      <c r="W192">
        <f>HYPERLINK("https://klasma.github.io/Logging_1737/klagomålsmail/A 16414-2023 klagomålsmail.docx", "A 16414-2023")</f>
        <v/>
      </c>
      <c r="X192">
        <f>HYPERLINK("https://klasma.github.io/Logging_1737/tillsyn/A 16414-2023 tillsyn.docx", "A 16414-2023")</f>
        <v/>
      </c>
      <c r="Y192">
        <f>HYPERLINK("https://klasma.github.io/Logging_1737/tillsynsmail/A 16414-2023 tillsynsmail.docx", "A 16414-2023")</f>
        <v/>
      </c>
    </row>
    <row r="193" ht="15" customHeight="1">
      <c r="A193" t="inlineStr">
        <is>
          <t>A 16442-2023</t>
        </is>
      </c>
      <c r="B193" s="1" t="n">
        <v>45026</v>
      </c>
      <c r="C193" s="1" t="n">
        <v>45212</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HYPERLINK("https://klasma.github.io/Logging_1737/karta/A 16442-2023 karta.png", "A 16442-2023")</f>
        <v/>
      </c>
      <c r="V193">
        <f>HYPERLINK("https://klasma.github.io/Logging_1737/klagomål/A 16442-2023 klagomål.docx", "A 16442-2023")</f>
        <v/>
      </c>
      <c r="W193">
        <f>HYPERLINK("https://klasma.github.io/Logging_1737/klagomålsmail/A 16442-2023 klagomålsmail.docx", "A 16442-2023")</f>
        <v/>
      </c>
      <c r="X193">
        <f>HYPERLINK("https://klasma.github.io/Logging_1737/tillsyn/A 16442-2023 tillsyn.docx", "A 16442-2023")</f>
        <v/>
      </c>
      <c r="Y193">
        <f>HYPERLINK("https://klasma.github.io/Logging_1737/tillsynsmail/A 16442-2023 tillsynsmail.docx", "A 16442-2023")</f>
        <v/>
      </c>
    </row>
    <row r="194" ht="15" customHeight="1">
      <c r="A194" t="inlineStr">
        <is>
          <t>A 19945-2023</t>
        </is>
      </c>
      <c r="B194" s="1" t="n">
        <v>45054</v>
      </c>
      <c r="C194" s="1" t="n">
        <v>45212</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HYPERLINK("https://klasma.github.io/Logging_1782/karta/A 19945-2023 karta.png", "A 19945-2023")</f>
        <v/>
      </c>
      <c r="V194">
        <f>HYPERLINK("https://klasma.github.io/Logging_1782/klagomål/A 19945-2023 klagomål.docx", "A 19945-2023")</f>
        <v/>
      </c>
      <c r="W194">
        <f>HYPERLINK("https://klasma.github.io/Logging_1782/klagomålsmail/A 19945-2023 klagomålsmail.docx", "A 19945-2023")</f>
        <v/>
      </c>
      <c r="X194">
        <f>HYPERLINK("https://klasma.github.io/Logging_1782/tillsyn/A 19945-2023 tillsyn.docx", "A 19945-2023")</f>
        <v/>
      </c>
      <c r="Y194">
        <f>HYPERLINK("https://klasma.github.io/Logging_1782/tillsynsmail/A 19945-2023 tillsynsmail.docx", "A 19945-2023")</f>
        <v/>
      </c>
    </row>
    <row r="195" ht="15" customHeight="1">
      <c r="A195" t="inlineStr">
        <is>
          <t>A 41507-2023</t>
        </is>
      </c>
      <c r="B195" s="1" t="n">
        <v>45175</v>
      </c>
      <c r="C195" s="1" t="n">
        <v>45212</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HYPERLINK("https://klasma.github.io/Logging_1780/karta/A 41507-2023 karta.png", "A 41507-2023")</f>
        <v/>
      </c>
      <c r="V195">
        <f>HYPERLINK("https://klasma.github.io/Logging_1780/klagomål/A 41507-2023 klagomål.docx", "A 41507-2023")</f>
        <v/>
      </c>
      <c r="W195">
        <f>HYPERLINK("https://klasma.github.io/Logging_1780/klagomålsmail/A 41507-2023 klagomålsmail.docx", "A 41507-2023")</f>
        <v/>
      </c>
      <c r="X195">
        <f>HYPERLINK("https://klasma.github.io/Logging_1780/tillsyn/A 41507-2023 tillsyn.docx", "A 41507-2023")</f>
        <v/>
      </c>
      <c r="Y195">
        <f>HYPERLINK("https://klasma.github.io/Logging_1780/tillsynsmail/A 41507-2023 tillsynsmail.docx", "A 41507-2023")</f>
        <v/>
      </c>
    </row>
    <row r="196" ht="15" customHeight="1">
      <c r="A196" t="inlineStr">
        <is>
          <t>A 46008-2023</t>
        </is>
      </c>
      <c r="B196" s="1" t="n">
        <v>45196</v>
      </c>
      <c r="C196" s="1" t="n">
        <v>45212</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 artfynd.xlsx", "A 46008-2023")</f>
        <v/>
      </c>
      <c r="T196">
        <f>HYPERLINK("https://klasma.github.io/Logging_1737/karta/A 46008-2023 karta.png", "A 46008-2023")</f>
        <v/>
      </c>
      <c r="V196">
        <f>HYPERLINK("https://klasma.github.io/Logging_1737/klagomål/A 46008-2023 klagomål.docx", "A 46008-2023")</f>
        <v/>
      </c>
      <c r="W196">
        <f>HYPERLINK("https://klasma.github.io/Logging_1737/klagomålsmail/A 46008-2023 klagomålsmail.docx", "A 46008-2023")</f>
        <v/>
      </c>
      <c r="X196">
        <f>HYPERLINK("https://klasma.github.io/Logging_1737/tillsyn/A 46008-2023 tillsyn.docx", "A 46008-2023")</f>
        <v/>
      </c>
      <c r="Y196">
        <f>HYPERLINK("https://klasma.github.io/Logging_1737/tillsynsmail/A 46008-2023 tillsynsmail.docx", "A 46008-2023")</f>
        <v/>
      </c>
    </row>
    <row r="197" ht="15" customHeight="1">
      <c r="A197" t="inlineStr">
        <is>
          <t>A 36996-2018</t>
        </is>
      </c>
      <c r="B197" s="1" t="n">
        <v>43332</v>
      </c>
      <c r="C197" s="1" t="n">
        <v>45212</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 artfynd.xlsx", "A 36996-2018")</f>
        <v/>
      </c>
      <c r="T197">
        <f>HYPERLINK("https://klasma.github.io/Logging_1766/karta/A 36996-2018 karta.png", "A 36996-2018")</f>
        <v/>
      </c>
      <c r="V197">
        <f>HYPERLINK("https://klasma.github.io/Logging_1766/klagomål/A 36996-2018 klagomål.docx", "A 36996-2018")</f>
        <v/>
      </c>
      <c r="W197">
        <f>HYPERLINK("https://klasma.github.io/Logging_1766/klagomålsmail/A 36996-2018 klagomålsmail.docx", "A 36996-2018")</f>
        <v/>
      </c>
      <c r="X197">
        <f>HYPERLINK("https://klasma.github.io/Logging_1766/tillsyn/A 36996-2018 tillsyn.docx", "A 36996-2018")</f>
        <v/>
      </c>
      <c r="Y197">
        <f>HYPERLINK("https://klasma.github.io/Logging_1766/tillsynsmail/A 36996-2018 tillsynsmail.docx", "A 36996-2018")</f>
        <v/>
      </c>
    </row>
    <row r="198" ht="15" customHeight="1">
      <c r="A198" t="inlineStr">
        <is>
          <t>A 49243-2018</t>
        </is>
      </c>
      <c r="B198" s="1" t="n">
        <v>43376</v>
      </c>
      <c r="C198" s="1" t="n">
        <v>45212</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 artfynd.xlsx", "A 49243-2018")</f>
        <v/>
      </c>
      <c r="T198">
        <f>HYPERLINK("https://klasma.github.io/Logging_1730/karta/A 49243-2018 karta.png", "A 49243-2018")</f>
        <v/>
      </c>
      <c r="V198">
        <f>HYPERLINK("https://klasma.github.io/Logging_1730/klagomål/A 49243-2018 klagomål.docx", "A 49243-2018")</f>
        <v/>
      </c>
      <c r="W198">
        <f>HYPERLINK("https://klasma.github.io/Logging_1730/klagomålsmail/A 49243-2018 klagomålsmail.docx", "A 49243-2018")</f>
        <v/>
      </c>
      <c r="X198">
        <f>HYPERLINK("https://klasma.github.io/Logging_1730/tillsyn/A 49243-2018 tillsyn.docx", "A 49243-2018")</f>
        <v/>
      </c>
      <c r="Y198">
        <f>HYPERLINK("https://klasma.github.io/Logging_1730/tillsynsmail/A 49243-2018 tillsynsmail.docx", "A 49243-2018")</f>
        <v/>
      </c>
    </row>
    <row r="199" ht="15" customHeight="1">
      <c r="A199" t="inlineStr">
        <is>
          <t>A 56625-2018</t>
        </is>
      </c>
      <c r="B199" s="1" t="n">
        <v>43382</v>
      </c>
      <c r="C199" s="1" t="n">
        <v>45212</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 artfynd.xlsx", "A 56625-2018")</f>
        <v/>
      </c>
      <c r="T199">
        <f>HYPERLINK("https://klasma.github.io/Logging_1785/karta/A 56625-2018 karta.png", "A 56625-2018")</f>
        <v/>
      </c>
      <c r="V199">
        <f>HYPERLINK("https://klasma.github.io/Logging_1785/klagomål/A 56625-2018 klagomål.docx", "A 56625-2018")</f>
        <v/>
      </c>
      <c r="W199">
        <f>HYPERLINK("https://klasma.github.io/Logging_1785/klagomålsmail/A 56625-2018 klagomålsmail.docx", "A 56625-2018")</f>
        <v/>
      </c>
      <c r="X199">
        <f>HYPERLINK("https://klasma.github.io/Logging_1785/tillsyn/A 56625-2018 tillsyn.docx", "A 56625-2018")</f>
        <v/>
      </c>
      <c r="Y199">
        <f>HYPERLINK("https://klasma.github.io/Logging_1785/tillsynsmail/A 56625-2018 tillsynsmail.docx", "A 56625-2018")</f>
        <v/>
      </c>
    </row>
    <row r="200" ht="15" customHeight="1">
      <c r="A200" t="inlineStr">
        <is>
          <t>A 56529-2018</t>
        </is>
      </c>
      <c r="B200" s="1" t="n">
        <v>43401</v>
      </c>
      <c r="C200" s="1" t="n">
        <v>45212</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 artfynd.xlsx", "A 56529-2018")</f>
        <v/>
      </c>
      <c r="T200">
        <f>HYPERLINK("https://klasma.github.io/Logging_1737/karta/A 56529-2018 karta.png", "A 56529-2018")</f>
        <v/>
      </c>
      <c r="V200">
        <f>HYPERLINK("https://klasma.github.io/Logging_1737/klagomål/A 56529-2018 klagomål.docx", "A 56529-2018")</f>
        <v/>
      </c>
      <c r="W200">
        <f>HYPERLINK("https://klasma.github.io/Logging_1737/klagomålsmail/A 56529-2018 klagomålsmail.docx", "A 56529-2018")</f>
        <v/>
      </c>
      <c r="X200">
        <f>HYPERLINK("https://klasma.github.io/Logging_1737/tillsyn/A 56529-2018 tillsyn.docx", "A 56529-2018")</f>
        <v/>
      </c>
      <c r="Y200">
        <f>HYPERLINK("https://klasma.github.io/Logging_1737/tillsynsmail/A 56529-2018 tillsynsmail.docx", "A 56529-2018")</f>
        <v/>
      </c>
    </row>
    <row r="201" ht="15" customHeight="1">
      <c r="A201" t="inlineStr">
        <is>
          <t>A 56530-2018</t>
        </is>
      </c>
      <c r="B201" s="1" t="n">
        <v>43401</v>
      </c>
      <c r="C201" s="1" t="n">
        <v>45212</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 artfynd.xlsx", "A 56530-2018")</f>
        <v/>
      </c>
      <c r="T201">
        <f>HYPERLINK("https://klasma.github.io/Logging_1737/karta/A 56530-2018 karta.png", "A 56530-2018")</f>
        <v/>
      </c>
      <c r="V201">
        <f>HYPERLINK("https://klasma.github.io/Logging_1737/klagomål/A 56530-2018 klagomål.docx", "A 56530-2018")</f>
        <v/>
      </c>
      <c r="W201">
        <f>HYPERLINK("https://klasma.github.io/Logging_1737/klagomålsmail/A 56530-2018 klagomålsmail.docx", "A 56530-2018")</f>
        <v/>
      </c>
      <c r="X201">
        <f>HYPERLINK("https://klasma.github.io/Logging_1737/tillsyn/A 56530-2018 tillsyn.docx", "A 56530-2018")</f>
        <v/>
      </c>
      <c r="Y201">
        <f>HYPERLINK("https://klasma.github.io/Logging_1737/tillsynsmail/A 56530-2018 tillsynsmail.docx", "A 56530-2018")</f>
        <v/>
      </c>
    </row>
    <row r="202" ht="15" customHeight="1">
      <c r="A202" t="inlineStr">
        <is>
          <t>A 59035-2018</t>
        </is>
      </c>
      <c r="B202" s="1" t="n">
        <v>43411</v>
      </c>
      <c r="C202" s="1" t="n">
        <v>45212</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 artfynd.xlsx", "A 59035-2018")</f>
        <v/>
      </c>
      <c r="T202">
        <f>HYPERLINK("https://klasma.github.io/Logging_1783/karta/A 59035-2018 karta.png", "A 59035-2018")</f>
        <v/>
      </c>
      <c r="V202">
        <f>HYPERLINK("https://klasma.github.io/Logging_1783/klagomål/A 59035-2018 klagomål.docx", "A 59035-2018")</f>
        <v/>
      </c>
      <c r="W202">
        <f>HYPERLINK("https://klasma.github.io/Logging_1783/klagomålsmail/A 59035-2018 klagomålsmail.docx", "A 59035-2018")</f>
        <v/>
      </c>
      <c r="X202">
        <f>HYPERLINK("https://klasma.github.io/Logging_1783/tillsyn/A 59035-2018 tillsyn.docx", "A 59035-2018")</f>
        <v/>
      </c>
      <c r="Y202">
        <f>HYPERLINK("https://klasma.github.io/Logging_1783/tillsynsmail/A 59035-2018 tillsynsmail.docx", "A 59035-2018")</f>
        <v/>
      </c>
    </row>
    <row r="203" ht="15" customHeight="1">
      <c r="A203" t="inlineStr">
        <is>
          <t>A 59340-2018</t>
        </is>
      </c>
      <c r="B203" s="1" t="n">
        <v>43418</v>
      </c>
      <c r="C203" s="1" t="n">
        <v>45212</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 artfynd.xlsx", "A 59340-2018")</f>
        <v/>
      </c>
      <c r="T203">
        <f>HYPERLINK("https://klasma.github.io/Logging_1730/karta/A 59340-2018 karta.png", "A 59340-2018")</f>
        <v/>
      </c>
      <c r="V203">
        <f>HYPERLINK("https://klasma.github.io/Logging_1730/klagomål/A 59340-2018 klagomål.docx", "A 59340-2018")</f>
        <v/>
      </c>
      <c r="W203">
        <f>HYPERLINK("https://klasma.github.io/Logging_1730/klagomålsmail/A 59340-2018 klagomålsmail.docx", "A 59340-2018")</f>
        <v/>
      </c>
      <c r="X203">
        <f>HYPERLINK("https://klasma.github.io/Logging_1730/tillsyn/A 59340-2018 tillsyn.docx", "A 59340-2018")</f>
        <v/>
      </c>
      <c r="Y203">
        <f>HYPERLINK("https://klasma.github.io/Logging_1730/tillsynsmail/A 59340-2018 tillsynsmail.docx", "A 59340-2018")</f>
        <v/>
      </c>
    </row>
    <row r="204" ht="15" customHeight="1">
      <c r="A204" t="inlineStr">
        <is>
          <t>A 59564-2018</t>
        </is>
      </c>
      <c r="B204" s="1" t="n">
        <v>43419</v>
      </c>
      <c r="C204" s="1" t="n">
        <v>45212</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 artfynd.xlsx", "A 59564-2018")</f>
        <v/>
      </c>
      <c r="T204">
        <f>HYPERLINK("https://klasma.github.io/Logging_1780/karta/A 59564-2018 karta.png", "A 59564-2018")</f>
        <v/>
      </c>
      <c r="V204">
        <f>HYPERLINK("https://klasma.github.io/Logging_1780/klagomål/A 59564-2018 klagomål.docx", "A 59564-2018")</f>
        <v/>
      </c>
      <c r="W204">
        <f>HYPERLINK("https://klasma.github.io/Logging_1780/klagomålsmail/A 59564-2018 klagomålsmail.docx", "A 59564-2018")</f>
        <v/>
      </c>
      <c r="X204">
        <f>HYPERLINK("https://klasma.github.io/Logging_1780/tillsyn/A 59564-2018 tillsyn.docx", "A 59564-2018")</f>
        <v/>
      </c>
      <c r="Y204">
        <f>HYPERLINK("https://klasma.github.io/Logging_1780/tillsynsmail/A 59564-2018 tillsynsmail.docx", "A 59564-2018")</f>
        <v/>
      </c>
    </row>
    <row r="205" ht="15" customHeight="1">
      <c r="A205" t="inlineStr">
        <is>
          <t>A 59626-2018</t>
        </is>
      </c>
      <c r="B205" s="1" t="n">
        <v>43419</v>
      </c>
      <c r="C205" s="1" t="n">
        <v>45212</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 artfynd.xlsx", "A 59626-2018")</f>
        <v/>
      </c>
      <c r="T205">
        <f>HYPERLINK("https://klasma.github.io/Logging_1730/karta/A 59626-2018 karta.png", "A 59626-2018")</f>
        <v/>
      </c>
      <c r="U205">
        <f>HYPERLINK("https://klasma.github.io/Logging_1730/knärot/A 59626-2018 knärot.png", "A 59626-2018")</f>
        <v/>
      </c>
      <c r="V205">
        <f>HYPERLINK("https://klasma.github.io/Logging_1730/klagomål/A 59626-2018 klagomål.docx", "A 59626-2018")</f>
        <v/>
      </c>
      <c r="W205">
        <f>HYPERLINK("https://klasma.github.io/Logging_1730/klagomålsmail/A 59626-2018 klagomålsmail.docx", "A 59626-2018")</f>
        <v/>
      </c>
      <c r="X205">
        <f>HYPERLINK("https://klasma.github.io/Logging_1730/tillsyn/A 59626-2018 tillsyn.docx", "A 59626-2018")</f>
        <v/>
      </c>
      <c r="Y205">
        <f>HYPERLINK("https://klasma.github.io/Logging_1730/tillsynsmail/A 59626-2018 tillsynsmail.docx", "A 59626-2018")</f>
        <v/>
      </c>
    </row>
    <row r="206" ht="15" customHeight="1">
      <c r="A206" t="inlineStr">
        <is>
          <t>A 59625-2018</t>
        </is>
      </c>
      <c r="B206" s="1" t="n">
        <v>43419</v>
      </c>
      <c r="C206" s="1" t="n">
        <v>45212</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 artfynd.xlsx", "A 59625-2018")</f>
        <v/>
      </c>
      <c r="T206">
        <f>HYPERLINK("https://klasma.github.io/Logging_1730/karta/A 59625-2018 karta.png", "A 59625-2018")</f>
        <v/>
      </c>
      <c r="V206">
        <f>HYPERLINK("https://klasma.github.io/Logging_1730/klagomål/A 59625-2018 klagomål.docx", "A 59625-2018")</f>
        <v/>
      </c>
      <c r="W206">
        <f>HYPERLINK("https://klasma.github.io/Logging_1730/klagomålsmail/A 59625-2018 klagomålsmail.docx", "A 59625-2018")</f>
        <v/>
      </c>
      <c r="X206">
        <f>HYPERLINK("https://klasma.github.io/Logging_1730/tillsyn/A 59625-2018 tillsyn.docx", "A 59625-2018")</f>
        <v/>
      </c>
      <c r="Y206">
        <f>HYPERLINK("https://klasma.github.io/Logging_1730/tillsynsmail/A 59625-2018 tillsynsmail.docx", "A 59625-2018")</f>
        <v/>
      </c>
    </row>
    <row r="207" ht="15" customHeight="1">
      <c r="A207" t="inlineStr">
        <is>
          <t>A 66923-2018</t>
        </is>
      </c>
      <c r="B207" s="1" t="n">
        <v>43431</v>
      </c>
      <c r="C207" s="1" t="n">
        <v>45212</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 artfynd.xlsx", "A 66923-2018")</f>
        <v/>
      </c>
      <c r="T207">
        <f>HYPERLINK("https://klasma.github.io/Logging_1785/karta/A 66923-2018 karta.png", "A 66923-2018")</f>
        <v/>
      </c>
      <c r="V207">
        <f>HYPERLINK("https://klasma.github.io/Logging_1785/klagomål/A 66923-2018 klagomål.docx", "A 66923-2018")</f>
        <v/>
      </c>
      <c r="W207">
        <f>HYPERLINK("https://klasma.github.io/Logging_1785/klagomålsmail/A 66923-2018 klagomålsmail.docx", "A 66923-2018")</f>
        <v/>
      </c>
      <c r="X207">
        <f>HYPERLINK("https://klasma.github.io/Logging_1785/tillsyn/A 66923-2018 tillsyn.docx", "A 66923-2018")</f>
        <v/>
      </c>
      <c r="Y207">
        <f>HYPERLINK("https://klasma.github.io/Logging_1785/tillsynsmail/A 66923-2018 tillsynsmail.docx", "A 66923-2018")</f>
        <v/>
      </c>
    </row>
    <row r="208" ht="15" customHeight="1">
      <c r="A208" t="inlineStr">
        <is>
          <t>A 1254-2019</t>
        </is>
      </c>
      <c r="B208" s="1" t="n">
        <v>43461</v>
      </c>
      <c r="C208" s="1" t="n">
        <v>45212</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 artfynd.xlsx", "A 1254-2019")</f>
        <v/>
      </c>
      <c r="T208">
        <f>HYPERLINK("https://klasma.github.io/Logging_1785/karta/A 1254-2019 karta.png", "A 1254-2019")</f>
        <v/>
      </c>
      <c r="V208">
        <f>HYPERLINK("https://klasma.github.io/Logging_1785/klagomål/A 1254-2019 klagomål.docx", "A 1254-2019")</f>
        <v/>
      </c>
      <c r="W208">
        <f>HYPERLINK("https://klasma.github.io/Logging_1785/klagomålsmail/A 1254-2019 klagomålsmail.docx", "A 1254-2019")</f>
        <v/>
      </c>
      <c r="X208">
        <f>HYPERLINK("https://klasma.github.io/Logging_1785/tillsyn/A 1254-2019 tillsyn.docx", "A 1254-2019")</f>
        <v/>
      </c>
      <c r="Y208">
        <f>HYPERLINK("https://klasma.github.io/Logging_1785/tillsynsmail/A 1254-2019 tillsynsmail.docx", "A 1254-2019")</f>
        <v/>
      </c>
    </row>
    <row r="209" ht="15" customHeight="1">
      <c r="A209" t="inlineStr">
        <is>
          <t>A 2392-2019</t>
        </is>
      </c>
      <c r="B209" s="1" t="n">
        <v>43476</v>
      </c>
      <c r="C209" s="1" t="n">
        <v>45212</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 artfynd.xlsx", "A 2392-2019")</f>
        <v/>
      </c>
      <c r="T209">
        <f>HYPERLINK("https://klasma.github.io/Logging_1784/karta/A 2392-2019 karta.png", "A 2392-2019")</f>
        <v/>
      </c>
      <c r="U209">
        <f>HYPERLINK("https://klasma.github.io/Logging_1784/knärot/A 2392-2019 knärot.png", "A 2392-2019")</f>
        <v/>
      </c>
      <c r="V209">
        <f>HYPERLINK("https://klasma.github.io/Logging_1784/klagomål/A 2392-2019 klagomål.docx", "A 2392-2019")</f>
        <v/>
      </c>
      <c r="W209">
        <f>HYPERLINK("https://klasma.github.io/Logging_1784/klagomålsmail/A 2392-2019 klagomålsmail.docx", "A 2392-2019")</f>
        <v/>
      </c>
      <c r="X209">
        <f>HYPERLINK("https://klasma.github.io/Logging_1784/tillsyn/A 2392-2019 tillsyn.docx", "A 2392-2019")</f>
        <v/>
      </c>
      <c r="Y209">
        <f>HYPERLINK("https://klasma.github.io/Logging_1784/tillsynsmail/A 2392-2019 tillsynsmail.docx", "A 2392-2019")</f>
        <v/>
      </c>
    </row>
    <row r="210" ht="15" customHeight="1">
      <c r="A210" t="inlineStr">
        <is>
          <t>A 6077-2019</t>
        </is>
      </c>
      <c r="B210" s="1" t="n">
        <v>43493</v>
      </c>
      <c r="C210" s="1" t="n">
        <v>45212</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 artfynd.xlsx", "A 6077-2019")</f>
        <v/>
      </c>
      <c r="T210">
        <f>HYPERLINK("https://klasma.github.io/Logging_1782/karta/A 6077-2019 karta.png", "A 6077-2019")</f>
        <v/>
      </c>
      <c r="V210">
        <f>HYPERLINK("https://klasma.github.io/Logging_1782/klagomål/A 6077-2019 klagomål.docx", "A 6077-2019")</f>
        <v/>
      </c>
      <c r="W210">
        <f>HYPERLINK("https://klasma.github.io/Logging_1782/klagomålsmail/A 6077-2019 klagomålsmail.docx", "A 6077-2019")</f>
        <v/>
      </c>
      <c r="X210">
        <f>HYPERLINK("https://klasma.github.io/Logging_1782/tillsyn/A 6077-2019 tillsyn.docx", "A 6077-2019")</f>
        <v/>
      </c>
      <c r="Y210">
        <f>HYPERLINK("https://klasma.github.io/Logging_1782/tillsynsmail/A 6077-2019 tillsynsmail.docx", "A 6077-2019")</f>
        <v/>
      </c>
    </row>
    <row r="211" ht="15" customHeight="1">
      <c r="A211" t="inlineStr">
        <is>
          <t>A 7073-2019</t>
        </is>
      </c>
      <c r="B211" s="1" t="n">
        <v>43496</v>
      </c>
      <c r="C211" s="1" t="n">
        <v>45212</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 artfynd.xlsx", "A 7073-2019")</f>
        <v/>
      </c>
      <c r="T211">
        <f>HYPERLINK("https://klasma.github.io/Logging_1730/karta/A 7073-2019 karta.png", "A 7073-2019")</f>
        <v/>
      </c>
      <c r="V211">
        <f>HYPERLINK("https://klasma.github.io/Logging_1730/klagomål/A 7073-2019 klagomål.docx", "A 7073-2019")</f>
        <v/>
      </c>
      <c r="W211">
        <f>HYPERLINK("https://klasma.github.io/Logging_1730/klagomålsmail/A 7073-2019 klagomålsmail.docx", "A 7073-2019")</f>
        <v/>
      </c>
      <c r="X211">
        <f>HYPERLINK("https://klasma.github.io/Logging_1730/tillsyn/A 7073-2019 tillsyn.docx", "A 7073-2019")</f>
        <v/>
      </c>
      <c r="Y211">
        <f>HYPERLINK("https://klasma.github.io/Logging_1730/tillsynsmail/A 7073-2019 tillsynsmail.docx", "A 7073-2019")</f>
        <v/>
      </c>
    </row>
    <row r="212" ht="15" customHeight="1">
      <c r="A212" t="inlineStr">
        <is>
          <t>A 9067-2019</t>
        </is>
      </c>
      <c r="B212" s="1" t="n">
        <v>43504</v>
      </c>
      <c r="C212" s="1" t="n">
        <v>45212</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 artfynd.xlsx", "A 9067-2019")</f>
        <v/>
      </c>
      <c r="T212">
        <f>HYPERLINK("https://klasma.github.io/Logging_1780/karta/A 9067-2019 karta.png", "A 9067-2019")</f>
        <v/>
      </c>
      <c r="V212">
        <f>HYPERLINK("https://klasma.github.io/Logging_1780/klagomål/A 9067-2019 klagomål.docx", "A 9067-2019")</f>
        <v/>
      </c>
      <c r="W212">
        <f>HYPERLINK("https://klasma.github.io/Logging_1780/klagomålsmail/A 9067-2019 klagomålsmail.docx", "A 9067-2019")</f>
        <v/>
      </c>
      <c r="X212">
        <f>HYPERLINK("https://klasma.github.io/Logging_1780/tillsyn/A 9067-2019 tillsyn.docx", "A 9067-2019")</f>
        <v/>
      </c>
      <c r="Y212">
        <f>HYPERLINK("https://klasma.github.io/Logging_1780/tillsynsmail/A 9067-2019 tillsynsmail.docx", "A 9067-2019")</f>
        <v/>
      </c>
    </row>
    <row r="213" ht="15" customHeight="1">
      <c r="A213" t="inlineStr">
        <is>
          <t>A 14475-2019</t>
        </is>
      </c>
      <c r="B213" s="1" t="n">
        <v>43536</v>
      </c>
      <c r="C213" s="1" t="n">
        <v>45212</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 artfynd.xlsx", "A 14475-2019")</f>
        <v/>
      </c>
      <c r="T213">
        <f>HYPERLINK("https://klasma.github.io/Logging_1781/karta/A 14475-2019 karta.png", "A 14475-2019")</f>
        <v/>
      </c>
      <c r="V213">
        <f>HYPERLINK("https://klasma.github.io/Logging_1781/klagomål/A 14475-2019 klagomål.docx", "A 14475-2019")</f>
        <v/>
      </c>
      <c r="W213">
        <f>HYPERLINK("https://klasma.github.io/Logging_1781/klagomålsmail/A 14475-2019 klagomålsmail.docx", "A 14475-2019")</f>
        <v/>
      </c>
      <c r="X213">
        <f>HYPERLINK("https://klasma.github.io/Logging_1781/tillsyn/A 14475-2019 tillsyn.docx", "A 14475-2019")</f>
        <v/>
      </c>
      <c r="Y213">
        <f>HYPERLINK("https://klasma.github.io/Logging_1781/tillsynsmail/A 14475-2019 tillsynsmail.docx", "A 14475-2019")</f>
        <v/>
      </c>
    </row>
    <row r="214" ht="15" customHeight="1">
      <c r="A214" t="inlineStr">
        <is>
          <t>A 18499-2019</t>
        </is>
      </c>
      <c r="B214" s="1" t="n">
        <v>43559</v>
      </c>
      <c r="C214" s="1" t="n">
        <v>45212</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 artfynd.xlsx", "A 18499-2019")</f>
        <v/>
      </c>
      <c r="T214">
        <f>HYPERLINK("https://klasma.github.io/Logging_1737/karta/A 18499-2019 karta.png", "A 18499-2019")</f>
        <v/>
      </c>
      <c r="V214">
        <f>HYPERLINK("https://klasma.github.io/Logging_1737/klagomål/A 18499-2019 klagomål.docx", "A 18499-2019")</f>
        <v/>
      </c>
      <c r="W214">
        <f>HYPERLINK("https://klasma.github.io/Logging_1737/klagomålsmail/A 18499-2019 klagomålsmail.docx", "A 18499-2019")</f>
        <v/>
      </c>
      <c r="X214">
        <f>HYPERLINK("https://klasma.github.io/Logging_1737/tillsyn/A 18499-2019 tillsyn.docx", "A 18499-2019")</f>
        <v/>
      </c>
      <c r="Y214">
        <f>HYPERLINK("https://klasma.github.io/Logging_1737/tillsynsmail/A 18499-2019 tillsynsmail.docx", "A 18499-2019")</f>
        <v/>
      </c>
    </row>
    <row r="215" ht="15" customHeight="1">
      <c r="A215" t="inlineStr">
        <is>
          <t>A 18838-2019</t>
        </is>
      </c>
      <c r="B215" s="1" t="n">
        <v>43563</v>
      </c>
      <c r="C215" s="1" t="n">
        <v>45212</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 artfynd.xlsx", "A 18838-2019")</f>
        <v/>
      </c>
      <c r="T215">
        <f>HYPERLINK("https://klasma.github.io/Logging_1780/karta/A 18838-2019 karta.png", "A 18838-2019")</f>
        <v/>
      </c>
      <c r="V215">
        <f>HYPERLINK("https://klasma.github.io/Logging_1780/klagomål/A 18838-2019 klagomål.docx", "A 18838-2019")</f>
        <v/>
      </c>
      <c r="W215">
        <f>HYPERLINK("https://klasma.github.io/Logging_1780/klagomålsmail/A 18838-2019 klagomålsmail.docx", "A 18838-2019")</f>
        <v/>
      </c>
      <c r="X215">
        <f>HYPERLINK("https://klasma.github.io/Logging_1780/tillsyn/A 18838-2019 tillsyn.docx", "A 18838-2019")</f>
        <v/>
      </c>
      <c r="Y215">
        <f>HYPERLINK("https://klasma.github.io/Logging_1780/tillsynsmail/A 18838-2019 tillsynsmail.docx", "A 18838-2019")</f>
        <v/>
      </c>
    </row>
    <row r="216" ht="15" customHeight="1">
      <c r="A216" t="inlineStr">
        <is>
          <t>A 19213-2019</t>
        </is>
      </c>
      <c r="B216" s="1" t="n">
        <v>43564</v>
      </c>
      <c r="C216" s="1" t="n">
        <v>45212</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 artfynd.xlsx", "A 19213-2019")</f>
        <v/>
      </c>
      <c r="T216">
        <f>HYPERLINK("https://klasma.github.io/Logging_1784/karta/A 19213-2019 karta.png", "A 19213-2019")</f>
        <v/>
      </c>
      <c r="V216">
        <f>HYPERLINK("https://klasma.github.io/Logging_1784/klagomål/A 19213-2019 klagomål.docx", "A 19213-2019")</f>
        <v/>
      </c>
      <c r="W216">
        <f>HYPERLINK("https://klasma.github.io/Logging_1784/klagomålsmail/A 19213-2019 klagomålsmail.docx", "A 19213-2019")</f>
        <v/>
      </c>
      <c r="X216">
        <f>HYPERLINK("https://klasma.github.io/Logging_1784/tillsyn/A 19213-2019 tillsyn.docx", "A 19213-2019")</f>
        <v/>
      </c>
      <c r="Y216">
        <f>HYPERLINK("https://klasma.github.io/Logging_1784/tillsynsmail/A 19213-2019 tillsynsmail.docx", "A 19213-2019")</f>
        <v/>
      </c>
    </row>
    <row r="217" ht="15" customHeight="1">
      <c r="A217" t="inlineStr">
        <is>
          <t>A 23681-2019</t>
        </is>
      </c>
      <c r="B217" s="1" t="n">
        <v>43594</v>
      </c>
      <c r="C217" s="1" t="n">
        <v>45212</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 artfynd.xlsx", "A 23681-2019")</f>
        <v/>
      </c>
      <c r="T217">
        <f>HYPERLINK("https://klasma.github.io/Logging_1785/karta/A 23681-2019 karta.png", "A 23681-2019")</f>
        <v/>
      </c>
      <c r="V217">
        <f>HYPERLINK("https://klasma.github.io/Logging_1785/klagomål/A 23681-2019 klagomål.docx", "A 23681-2019")</f>
        <v/>
      </c>
      <c r="W217">
        <f>HYPERLINK("https://klasma.github.io/Logging_1785/klagomålsmail/A 23681-2019 klagomålsmail.docx", "A 23681-2019")</f>
        <v/>
      </c>
      <c r="X217">
        <f>HYPERLINK("https://klasma.github.io/Logging_1785/tillsyn/A 23681-2019 tillsyn.docx", "A 23681-2019")</f>
        <v/>
      </c>
      <c r="Y217">
        <f>HYPERLINK("https://klasma.github.io/Logging_1785/tillsynsmail/A 23681-2019 tillsynsmail.docx", "A 23681-2019")</f>
        <v/>
      </c>
    </row>
    <row r="218" ht="15" customHeight="1">
      <c r="A218" t="inlineStr">
        <is>
          <t>A 25652-2019</t>
        </is>
      </c>
      <c r="B218" s="1" t="n">
        <v>43607</v>
      </c>
      <c r="C218" s="1" t="n">
        <v>45212</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 artfynd.xlsx", "A 25652-2019")</f>
        <v/>
      </c>
      <c r="T218">
        <f>HYPERLINK("https://klasma.github.io/Logging_1780/karta/A 25652-2019 karta.png", "A 25652-2019")</f>
        <v/>
      </c>
      <c r="V218">
        <f>HYPERLINK("https://klasma.github.io/Logging_1780/klagomål/A 25652-2019 klagomål.docx", "A 25652-2019")</f>
        <v/>
      </c>
      <c r="W218">
        <f>HYPERLINK("https://klasma.github.io/Logging_1780/klagomålsmail/A 25652-2019 klagomålsmail.docx", "A 25652-2019")</f>
        <v/>
      </c>
      <c r="X218">
        <f>HYPERLINK("https://klasma.github.io/Logging_1780/tillsyn/A 25652-2019 tillsyn.docx", "A 25652-2019")</f>
        <v/>
      </c>
      <c r="Y218">
        <f>HYPERLINK("https://klasma.github.io/Logging_1780/tillsynsmail/A 25652-2019 tillsynsmail.docx", "A 25652-2019")</f>
        <v/>
      </c>
    </row>
    <row r="219" ht="15" customHeight="1">
      <c r="A219" t="inlineStr">
        <is>
          <t>A 27311-2019</t>
        </is>
      </c>
      <c r="B219" s="1" t="n">
        <v>43616</v>
      </c>
      <c r="C219" s="1" t="n">
        <v>45212</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 artfynd.xlsx", "A 27311-2019")</f>
        <v/>
      </c>
      <c r="T219">
        <f>HYPERLINK("https://klasma.github.io/Logging_1780/karta/A 27311-2019 karta.png", "A 27311-2019")</f>
        <v/>
      </c>
      <c r="V219">
        <f>HYPERLINK("https://klasma.github.io/Logging_1780/klagomål/A 27311-2019 klagomål.docx", "A 27311-2019")</f>
        <v/>
      </c>
      <c r="W219">
        <f>HYPERLINK("https://klasma.github.io/Logging_1780/klagomålsmail/A 27311-2019 klagomålsmail.docx", "A 27311-2019")</f>
        <v/>
      </c>
      <c r="X219">
        <f>HYPERLINK("https://klasma.github.io/Logging_1780/tillsyn/A 27311-2019 tillsyn.docx", "A 27311-2019")</f>
        <v/>
      </c>
      <c r="Y219">
        <f>HYPERLINK("https://klasma.github.io/Logging_1780/tillsynsmail/A 27311-2019 tillsynsmail.docx", "A 27311-2019")</f>
        <v/>
      </c>
    </row>
    <row r="220" ht="15" customHeight="1">
      <c r="A220" t="inlineStr">
        <is>
          <t>A 29032-2019</t>
        </is>
      </c>
      <c r="B220" s="1" t="n">
        <v>43621</v>
      </c>
      <c r="C220" s="1" t="n">
        <v>45212</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 artfynd.xlsx", "A 29032-2019")</f>
        <v/>
      </c>
      <c r="T220">
        <f>HYPERLINK("https://klasma.github.io/Logging_1765/karta/A 29032-2019 karta.png", "A 29032-2019")</f>
        <v/>
      </c>
      <c r="U220">
        <f>HYPERLINK("https://klasma.github.io/Logging_1765/knärot/A 29032-2019 knärot.png", "A 29032-2019")</f>
        <v/>
      </c>
      <c r="V220">
        <f>HYPERLINK("https://klasma.github.io/Logging_1765/klagomål/A 29032-2019 klagomål.docx", "A 29032-2019")</f>
        <v/>
      </c>
      <c r="W220">
        <f>HYPERLINK("https://klasma.github.io/Logging_1765/klagomålsmail/A 29032-2019 klagomålsmail.docx", "A 29032-2019")</f>
        <v/>
      </c>
      <c r="X220">
        <f>HYPERLINK("https://klasma.github.io/Logging_1765/tillsyn/A 29032-2019 tillsyn.docx", "A 29032-2019")</f>
        <v/>
      </c>
      <c r="Y220">
        <f>HYPERLINK("https://klasma.github.io/Logging_1765/tillsynsmail/A 29032-2019 tillsynsmail.docx", "A 29032-2019")</f>
        <v/>
      </c>
    </row>
    <row r="221" ht="15" customHeight="1">
      <c r="A221" t="inlineStr">
        <is>
          <t>A 28904-2019</t>
        </is>
      </c>
      <c r="B221" s="1" t="n">
        <v>43628</v>
      </c>
      <c r="C221" s="1" t="n">
        <v>45212</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 artfynd.xlsx", "A 28904-2019")</f>
        <v/>
      </c>
      <c r="T221">
        <f>HYPERLINK("https://klasma.github.io/Logging_1763/karta/A 28904-2019 karta.png", "A 28904-2019")</f>
        <v/>
      </c>
      <c r="V221">
        <f>HYPERLINK("https://klasma.github.io/Logging_1763/klagomål/A 28904-2019 klagomål.docx", "A 28904-2019")</f>
        <v/>
      </c>
      <c r="W221">
        <f>HYPERLINK("https://klasma.github.io/Logging_1763/klagomålsmail/A 28904-2019 klagomålsmail.docx", "A 28904-2019")</f>
        <v/>
      </c>
      <c r="X221">
        <f>HYPERLINK("https://klasma.github.io/Logging_1763/tillsyn/A 28904-2019 tillsyn.docx", "A 28904-2019")</f>
        <v/>
      </c>
      <c r="Y221">
        <f>HYPERLINK("https://klasma.github.io/Logging_1763/tillsynsmail/A 28904-2019 tillsynsmail.docx", "A 28904-2019")</f>
        <v/>
      </c>
    </row>
    <row r="222" ht="15" customHeight="1">
      <c r="A222" t="inlineStr">
        <is>
          <t>A 30304-2019</t>
        </is>
      </c>
      <c r="B222" s="1" t="n">
        <v>43634</v>
      </c>
      <c r="C222" s="1" t="n">
        <v>45212</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 artfynd.xlsx", "A 30304-2019")</f>
        <v/>
      </c>
      <c r="T222">
        <f>HYPERLINK("https://klasma.github.io/Logging_1784/karta/A 30304-2019 karta.png", "A 30304-2019")</f>
        <v/>
      </c>
      <c r="U222">
        <f>HYPERLINK("https://klasma.github.io/Logging_1784/knärot/A 30304-2019 knärot.png", "A 30304-2019")</f>
        <v/>
      </c>
      <c r="V222">
        <f>HYPERLINK("https://klasma.github.io/Logging_1784/klagomål/A 30304-2019 klagomål.docx", "A 30304-2019")</f>
        <v/>
      </c>
      <c r="W222">
        <f>HYPERLINK("https://klasma.github.io/Logging_1784/klagomålsmail/A 30304-2019 klagomålsmail.docx", "A 30304-2019")</f>
        <v/>
      </c>
      <c r="X222">
        <f>HYPERLINK("https://klasma.github.io/Logging_1784/tillsyn/A 30304-2019 tillsyn.docx", "A 30304-2019")</f>
        <v/>
      </c>
      <c r="Y222">
        <f>HYPERLINK("https://klasma.github.io/Logging_1784/tillsynsmail/A 30304-2019 tillsynsmail.docx", "A 30304-2019")</f>
        <v/>
      </c>
    </row>
    <row r="223" ht="15" customHeight="1">
      <c r="A223" t="inlineStr">
        <is>
          <t>A 31191-2019</t>
        </is>
      </c>
      <c r="B223" s="1" t="n">
        <v>43640</v>
      </c>
      <c r="C223" s="1" t="n">
        <v>45212</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 artfynd.xlsx", "A 31191-2019")</f>
        <v/>
      </c>
      <c r="T223">
        <f>HYPERLINK("https://klasma.github.io/Logging_1782/karta/A 31191-2019 karta.png", "A 31191-2019")</f>
        <v/>
      </c>
      <c r="V223">
        <f>HYPERLINK("https://klasma.github.io/Logging_1782/klagomål/A 31191-2019 klagomål.docx", "A 31191-2019")</f>
        <v/>
      </c>
      <c r="W223">
        <f>HYPERLINK("https://klasma.github.io/Logging_1782/klagomålsmail/A 31191-2019 klagomålsmail.docx", "A 31191-2019")</f>
        <v/>
      </c>
      <c r="X223">
        <f>HYPERLINK("https://klasma.github.io/Logging_1782/tillsyn/A 31191-2019 tillsyn.docx", "A 31191-2019")</f>
        <v/>
      </c>
      <c r="Y223">
        <f>HYPERLINK("https://klasma.github.io/Logging_1782/tillsynsmail/A 31191-2019 tillsynsmail.docx", "A 31191-2019")</f>
        <v/>
      </c>
    </row>
    <row r="224" ht="15" customHeight="1">
      <c r="A224" t="inlineStr">
        <is>
          <t>A 31848-2019</t>
        </is>
      </c>
      <c r="B224" s="1" t="n">
        <v>43642</v>
      </c>
      <c r="C224" s="1" t="n">
        <v>45212</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 artfynd.xlsx", "A 31848-2019")</f>
        <v/>
      </c>
      <c r="T224">
        <f>HYPERLINK("https://klasma.github.io/Logging_1737/karta/A 31848-2019 karta.png", "A 31848-2019")</f>
        <v/>
      </c>
      <c r="U224">
        <f>HYPERLINK("https://klasma.github.io/Logging_1737/knärot/A 31848-2019 knärot.png", "A 31848-2019")</f>
        <v/>
      </c>
      <c r="V224">
        <f>HYPERLINK("https://klasma.github.io/Logging_1737/klagomål/A 31848-2019 klagomål.docx", "A 31848-2019")</f>
        <v/>
      </c>
      <c r="W224">
        <f>HYPERLINK("https://klasma.github.io/Logging_1737/klagomålsmail/A 31848-2019 klagomålsmail.docx", "A 31848-2019")</f>
        <v/>
      </c>
      <c r="X224">
        <f>HYPERLINK("https://klasma.github.io/Logging_1737/tillsyn/A 31848-2019 tillsyn.docx", "A 31848-2019")</f>
        <v/>
      </c>
      <c r="Y224">
        <f>HYPERLINK("https://klasma.github.io/Logging_1737/tillsynsmail/A 31848-2019 tillsynsmail.docx", "A 31848-2019")</f>
        <v/>
      </c>
    </row>
    <row r="225" ht="15" customHeight="1">
      <c r="A225" t="inlineStr">
        <is>
          <t>A 41355-2019</t>
        </is>
      </c>
      <c r="B225" s="1" t="n">
        <v>43696</v>
      </c>
      <c r="C225" s="1" t="n">
        <v>45212</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 artfynd.xlsx", "A 41355-2019")</f>
        <v/>
      </c>
      <c r="T225">
        <f>HYPERLINK("https://klasma.github.io/Logging_1765/karta/A 41355-2019 karta.png", "A 41355-2019")</f>
        <v/>
      </c>
      <c r="V225">
        <f>HYPERLINK("https://klasma.github.io/Logging_1765/klagomål/A 41355-2019 klagomål.docx", "A 41355-2019")</f>
        <v/>
      </c>
      <c r="W225">
        <f>HYPERLINK("https://klasma.github.io/Logging_1765/klagomålsmail/A 41355-2019 klagomålsmail.docx", "A 41355-2019")</f>
        <v/>
      </c>
      <c r="X225">
        <f>HYPERLINK("https://klasma.github.io/Logging_1765/tillsyn/A 41355-2019 tillsyn.docx", "A 41355-2019")</f>
        <v/>
      </c>
      <c r="Y225">
        <f>HYPERLINK("https://klasma.github.io/Logging_1765/tillsynsmail/A 41355-2019 tillsynsmail.docx", "A 41355-2019")</f>
        <v/>
      </c>
    </row>
    <row r="226" ht="15" customHeight="1">
      <c r="A226" t="inlineStr">
        <is>
          <t>A 43500-2019</t>
        </is>
      </c>
      <c r="B226" s="1" t="n">
        <v>43706</v>
      </c>
      <c r="C226" s="1" t="n">
        <v>45212</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 artfynd.xlsx", "A 43500-2019")</f>
        <v/>
      </c>
      <c r="T226">
        <f>HYPERLINK("https://klasma.github.io/Logging_1766/karta/A 43500-2019 karta.png", "A 43500-2019")</f>
        <v/>
      </c>
      <c r="V226">
        <f>HYPERLINK("https://klasma.github.io/Logging_1766/klagomål/A 43500-2019 klagomål.docx", "A 43500-2019")</f>
        <v/>
      </c>
      <c r="W226">
        <f>HYPERLINK("https://klasma.github.io/Logging_1766/klagomålsmail/A 43500-2019 klagomålsmail.docx", "A 43500-2019")</f>
        <v/>
      </c>
      <c r="X226">
        <f>HYPERLINK("https://klasma.github.io/Logging_1766/tillsyn/A 43500-2019 tillsyn.docx", "A 43500-2019")</f>
        <v/>
      </c>
      <c r="Y226">
        <f>HYPERLINK("https://klasma.github.io/Logging_1766/tillsynsmail/A 43500-2019 tillsynsmail.docx", "A 43500-2019")</f>
        <v/>
      </c>
    </row>
    <row r="227" ht="15" customHeight="1">
      <c r="A227" t="inlineStr">
        <is>
          <t>A 45844-2019</t>
        </is>
      </c>
      <c r="B227" s="1" t="n">
        <v>43717</v>
      </c>
      <c r="C227" s="1" t="n">
        <v>45212</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 artfynd.xlsx", "A 45844-2019")</f>
        <v/>
      </c>
      <c r="T227">
        <f>HYPERLINK("https://klasma.github.io/Logging_1737/karta/A 45844-2019 karta.png", "A 45844-2019")</f>
        <v/>
      </c>
      <c r="V227">
        <f>HYPERLINK("https://klasma.github.io/Logging_1737/klagomål/A 45844-2019 klagomål.docx", "A 45844-2019")</f>
        <v/>
      </c>
      <c r="W227">
        <f>HYPERLINK("https://klasma.github.io/Logging_1737/klagomålsmail/A 45844-2019 klagomålsmail.docx", "A 45844-2019")</f>
        <v/>
      </c>
      <c r="X227">
        <f>HYPERLINK("https://klasma.github.io/Logging_1737/tillsyn/A 45844-2019 tillsyn.docx", "A 45844-2019")</f>
        <v/>
      </c>
      <c r="Y227">
        <f>HYPERLINK("https://klasma.github.io/Logging_1737/tillsynsmail/A 45844-2019 tillsynsmail.docx", "A 45844-2019")</f>
        <v/>
      </c>
    </row>
    <row r="228" ht="15" customHeight="1">
      <c r="A228" t="inlineStr">
        <is>
          <t>A 47192-2019</t>
        </is>
      </c>
      <c r="B228" s="1" t="n">
        <v>43721</v>
      </c>
      <c r="C228" s="1" t="n">
        <v>45212</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 artfynd.xlsx", "A 47192-2019")</f>
        <v/>
      </c>
      <c r="T228">
        <f>HYPERLINK("https://klasma.github.io/Logging_1715/karta/A 47192-2019 karta.png", "A 47192-2019")</f>
        <v/>
      </c>
      <c r="U228">
        <f>HYPERLINK("https://klasma.github.io/Logging_1715/knärot/A 47192-2019 knärot.png", "A 47192-2019")</f>
        <v/>
      </c>
      <c r="V228">
        <f>HYPERLINK("https://klasma.github.io/Logging_1715/klagomål/A 47192-2019 klagomål.docx", "A 47192-2019")</f>
        <v/>
      </c>
      <c r="W228">
        <f>HYPERLINK("https://klasma.github.io/Logging_1715/klagomålsmail/A 47192-2019 klagomålsmail.docx", "A 47192-2019")</f>
        <v/>
      </c>
      <c r="X228">
        <f>HYPERLINK("https://klasma.github.io/Logging_1715/tillsyn/A 47192-2019 tillsyn.docx", "A 47192-2019")</f>
        <v/>
      </c>
      <c r="Y228">
        <f>HYPERLINK("https://klasma.github.io/Logging_1715/tillsynsmail/A 47192-2019 tillsynsmail.docx", "A 47192-2019")</f>
        <v/>
      </c>
    </row>
    <row r="229" ht="15" customHeight="1">
      <c r="A229" t="inlineStr">
        <is>
          <t>A 47423-2019</t>
        </is>
      </c>
      <c r="B229" s="1" t="n">
        <v>43723</v>
      </c>
      <c r="C229" s="1" t="n">
        <v>45212</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 artfynd.xlsx", "A 47423-2019")</f>
        <v/>
      </c>
      <c r="T229">
        <f>HYPERLINK("https://klasma.github.io/Logging_1737/karta/A 47423-2019 karta.png", "A 47423-2019")</f>
        <v/>
      </c>
      <c r="V229">
        <f>HYPERLINK("https://klasma.github.io/Logging_1737/klagomål/A 47423-2019 klagomål.docx", "A 47423-2019")</f>
        <v/>
      </c>
      <c r="W229">
        <f>HYPERLINK("https://klasma.github.io/Logging_1737/klagomålsmail/A 47423-2019 klagomålsmail.docx", "A 47423-2019")</f>
        <v/>
      </c>
      <c r="X229">
        <f>HYPERLINK("https://klasma.github.io/Logging_1737/tillsyn/A 47423-2019 tillsyn.docx", "A 47423-2019")</f>
        <v/>
      </c>
      <c r="Y229">
        <f>HYPERLINK("https://klasma.github.io/Logging_1737/tillsynsmail/A 47423-2019 tillsynsmail.docx", "A 47423-2019")</f>
        <v/>
      </c>
    </row>
    <row r="230" ht="15" customHeight="1">
      <c r="A230" t="inlineStr">
        <is>
          <t>A 47834-2019</t>
        </is>
      </c>
      <c r="B230" s="1" t="n">
        <v>43725</v>
      </c>
      <c r="C230" s="1" t="n">
        <v>45212</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 artfynd.xlsx", "A 47834-2019")</f>
        <v/>
      </c>
      <c r="T230">
        <f>HYPERLINK("https://klasma.github.io/Logging_1765/karta/A 47834-2019 karta.png", "A 47834-2019")</f>
        <v/>
      </c>
      <c r="V230">
        <f>HYPERLINK("https://klasma.github.io/Logging_1765/klagomål/A 47834-2019 klagomål.docx", "A 47834-2019")</f>
        <v/>
      </c>
      <c r="W230">
        <f>HYPERLINK("https://klasma.github.io/Logging_1765/klagomålsmail/A 47834-2019 klagomålsmail.docx", "A 47834-2019")</f>
        <v/>
      </c>
      <c r="X230">
        <f>HYPERLINK("https://klasma.github.io/Logging_1765/tillsyn/A 47834-2019 tillsyn.docx", "A 47834-2019")</f>
        <v/>
      </c>
      <c r="Y230">
        <f>HYPERLINK("https://klasma.github.io/Logging_1765/tillsynsmail/A 47834-2019 tillsynsmail.docx", "A 47834-2019")</f>
        <v/>
      </c>
    </row>
    <row r="231" ht="15" customHeight="1">
      <c r="A231" t="inlineStr">
        <is>
          <t>A 48854-2019</t>
        </is>
      </c>
      <c r="B231" s="1" t="n">
        <v>43728</v>
      </c>
      <c r="C231" s="1" t="n">
        <v>45212</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 artfynd.xlsx", "A 48854-2019")</f>
        <v/>
      </c>
      <c r="T231">
        <f>HYPERLINK("https://klasma.github.io/Logging_1784/karta/A 48854-2019 karta.png", "A 48854-2019")</f>
        <v/>
      </c>
      <c r="U231">
        <f>HYPERLINK("https://klasma.github.io/Logging_1784/knärot/A 48854-2019 knärot.png", "A 48854-2019")</f>
        <v/>
      </c>
      <c r="V231">
        <f>HYPERLINK("https://klasma.github.io/Logging_1784/klagomål/A 48854-2019 klagomål.docx", "A 48854-2019")</f>
        <v/>
      </c>
      <c r="W231">
        <f>HYPERLINK("https://klasma.github.io/Logging_1784/klagomålsmail/A 48854-2019 klagomålsmail.docx", "A 48854-2019")</f>
        <v/>
      </c>
      <c r="X231">
        <f>HYPERLINK("https://klasma.github.io/Logging_1784/tillsyn/A 48854-2019 tillsyn.docx", "A 48854-2019")</f>
        <v/>
      </c>
      <c r="Y231">
        <f>HYPERLINK("https://klasma.github.io/Logging_1784/tillsynsmail/A 48854-2019 tillsynsmail.docx", "A 48854-2019")</f>
        <v/>
      </c>
    </row>
    <row r="232" ht="15" customHeight="1">
      <c r="A232" t="inlineStr">
        <is>
          <t>A 49192-2019</t>
        </is>
      </c>
      <c r="B232" s="1" t="n">
        <v>43731</v>
      </c>
      <c r="C232" s="1" t="n">
        <v>45212</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 artfynd.xlsx", "A 49192-2019")</f>
        <v/>
      </c>
      <c r="T232">
        <f>HYPERLINK("https://klasma.github.io/Logging_1765/karta/A 49192-2019 karta.png", "A 49192-2019")</f>
        <v/>
      </c>
      <c r="V232">
        <f>HYPERLINK("https://klasma.github.io/Logging_1765/klagomål/A 49192-2019 klagomål.docx", "A 49192-2019")</f>
        <v/>
      </c>
      <c r="W232">
        <f>HYPERLINK("https://klasma.github.io/Logging_1765/klagomålsmail/A 49192-2019 klagomålsmail.docx", "A 49192-2019")</f>
        <v/>
      </c>
      <c r="X232">
        <f>HYPERLINK("https://klasma.github.io/Logging_1765/tillsyn/A 49192-2019 tillsyn.docx", "A 49192-2019")</f>
        <v/>
      </c>
      <c r="Y232">
        <f>HYPERLINK("https://klasma.github.io/Logging_1765/tillsynsmail/A 49192-2019 tillsynsmail.docx", "A 49192-2019")</f>
        <v/>
      </c>
    </row>
    <row r="233" ht="15" customHeight="1">
      <c r="A233" t="inlineStr">
        <is>
          <t>A 50261-2019</t>
        </is>
      </c>
      <c r="B233" s="1" t="n">
        <v>43734</v>
      </c>
      <c r="C233" s="1" t="n">
        <v>45212</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 artfynd.xlsx", "A 50261-2019")</f>
        <v/>
      </c>
      <c r="T233">
        <f>HYPERLINK("https://klasma.github.io/Logging_1765/karta/A 50261-2019 karta.png", "A 50261-2019")</f>
        <v/>
      </c>
      <c r="V233">
        <f>HYPERLINK("https://klasma.github.io/Logging_1765/klagomål/A 50261-2019 klagomål.docx", "A 50261-2019")</f>
        <v/>
      </c>
      <c r="W233">
        <f>HYPERLINK("https://klasma.github.io/Logging_1765/klagomålsmail/A 50261-2019 klagomålsmail.docx", "A 50261-2019")</f>
        <v/>
      </c>
      <c r="X233">
        <f>HYPERLINK("https://klasma.github.io/Logging_1765/tillsyn/A 50261-2019 tillsyn.docx", "A 50261-2019")</f>
        <v/>
      </c>
      <c r="Y233">
        <f>HYPERLINK("https://klasma.github.io/Logging_1765/tillsynsmail/A 50261-2019 tillsynsmail.docx", "A 50261-2019")</f>
        <v/>
      </c>
    </row>
    <row r="234" ht="15" customHeight="1">
      <c r="A234" t="inlineStr">
        <is>
          <t>A 51021-2019</t>
        </is>
      </c>
      <c r="B234" s="1" t="n">
        <v>43739</v>
      </c>
      <c r="C234" s="1" t="n">
        <v>45212</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 artfynd.xlsx", "A 51021-2019")</f>
        <v/>
      </c>
      <c r="T234">
        <f>HYPERLINK("https://klasma.github.io/Logging_1783/karta/A 51021-2019 karta.png", "A 51021-2019")</f>
        <v/>
      </c>
      <c r="V234">
        <f>HYPERLINK("https://klasma.github.io/Logging_1783/klagomål/A 51021-2019 klagomål.docx", "A 51021-2019")</f>
        <v/>
      </c>
      <c r="W234">
        <f>HYPERLINK("https://klasma.github.io/Logging_1783/klagomålsmail/A 51021-2019 klagomålsmail.docx", "A 51021-2019")</f>
        <v/>
      </c>
      <c r="X234">
        <f>HYPERLINK("https://klasma.github.io/Logging_1783/tillsyn/A 51021-2019 tillsyn.docx", "A 51021-2019")</f>
        <v/>
      </c>
      <c r="Y234">
        <f>HYPERLINK("https://klasma.github.io/Logging_1783/tillsynsmail/A 51021-2019 tillsynsmail.docx", "A 51021-2019")</f>
        <v/>
      </c>
    </row>
    <row r="235" ht="15" customHeight="1">
      <c r="A235" t="inlineStr">
        <is>
          <t>A 53924-2019</t>
        </is>
      </c>
      <c r="B235" s="1" t="n">
        <v>43742</v>
      </c>
      <c r="C235" s="1" t="n">
        <v>45212</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 artfynd.xlsx", "A 53924-2019")</f>
        <v/>
      </c>
      <c r="T235">
        <f>HYPERLINK("https://klasma.github.io/Logging_1737/karta/A 53924-2019 karta.png", "A 53924-2019")</f>
        <v/>
      </c>
      <c r="V235">
        <f>HYPERLINK("https://klasma.github.io/Logging_1737/klagomål/A 53924-2019 klagomål.docx", "A 53924-2019")</f>
        <v/>
      </c>
      <c r="W235">
        <f>HYPERLINK("https://klasma.github.io/Logging_1737/klagomålsmail/A 53924-2019 klagomålsmail.docx", "A 53924-2019")</f>
        <v/>
      </c>
      <c r="X235">
        <f>HYPERLINK("https://klasma.github.io/Logging_1737/tillsyn/A 53924-2019 tillsyn.docx", "A 53924-2019")</f>
        <v/>
      </c>
      <c r="Y235">
        <f>HYPERLINK("https://klasma.github.io/Logging_1737/tillsynsmail/A 53924-2019 tillsynsmail.docx", "A 53924-2019")</f>
        <v/>
      </c>
    </row>
    <row r="236" ht="15" customHeight="1">
      <c r="A236" t="inlineStr">
        <is>
          <t>A 55931-2019</t>
        </is>
      </c>
      <c r="B236" s="1" t="n">
        <v>43761</v>
      </c>
      <c r="C236" s="1" t="n">
        <v>45212</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 artfynd.xlsx", "A 55931-2019")</f>
        <v/>
      </c>
      <c r="T236">
        <f>HYPERLINK("https://klasma.github.io/Logging_1784/karta/A 55931-2019 karta.png", "A 55931-2019")</f>
        <v/>
      </c>
      <c r="V236">
        <f>HYPERLINK("https://klasma.github.io/Logging_1784/klagomål/A 55931-2019 klagomål.docx", "A 55931-2019")</f>
        <v/>
      </c>
      <c r="W236">
        <f>HYPERLINK("https://klasma.github.io/Logging_1784/klagomålsmail/A 55931-2019 klagomålsmail.docx", "A 55931-2019")</f>
        <v/>
      </c>
      <c r="X236">
        <f>HYPERLINK("https://klasma.github.io/Logging_1784/tillsyn/A 55931-2019 tillsyn.docx", "A 55931-2019")</f>
        <v/>
      </c>
      <c r="Y236">
        <f>HYPERLINK("https://klasma.github.io/Logging_1784/tillsynsmail/A 55931-2019 tillsynsmail.docx", "A 55931-2019")</f>
        <v/>
      </c>
    </row>
    <row r="237" ht="15" customHeight="1">
      <c r="A237" t="inlineStr">
        <is>
          <t>A 56545-2019</t>
        </is>
      </c>
      <c r="B237" s="1" t="n">
        <v>43763</v>
      </c>
      <c r="C237" s="1" t="n">
        <v>45212</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 artfynd.xlsx", "A 56545-2019")</f>
        <v/>
      </c>
      <c r="T237">
        <f>HYPERLINK("https://klasma.github.io/Logging_1765/karta/A 56545-2019 karta.png", "A 56545-2019")</f>
        <v/>
      </c>
      <c r="V237">
        <f>HYPERLINK("https://klasma.github.io/Logging_1765/klagomål/A 56545-2019 klagomål.docx", "A 56545-2019")</f>
        <v/>
      </c>
      <c r="W237">
        <f>HYPERLINK("https://klasma.github.io/Logging_1765/klagomålsmail/A 56545-2019 klagomålsmail.docx", "A 56545-2019")</f>
        <v/>
      </c>
      <c r="X237">
        <f>HYPERLINK("https://klasma.github.io/Logging_1765/tillsyn/A 56545-2019 tillsyn.docx", "A 56545-2019")</f>
        <v/>
      </c>
      <c r="Y237">
        <f>HYPERLINK("https://klasma.github.io/Logging_1765/tillsynsmail/A 56545-2019 tillsynsmail.docx", "A 56545-2019")</f>
        <v/>
      </c>
    </row>
    <row r="238" ht="15" customHeight="1">
      <c r="A238" t="inlineStr">
        <is>
          <t>A 57014-2019</t>
        </is>
      </c>
      <c r="B238" s="1" t="n">
        <v>43766</v>
      </c>
      <c r="C238" s="1" t="n">
        <v>45212</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 artfynd.xlsx", "A 57014-2019")</f>
        <v/>
      </c>
      <c r="T238">
        <f>HYPERLINK("https://klasma.github.io/Logging_1730/karta/A 57014-2019 karta.png", "A 57014-2019")</f>
        <v/>
      </c>
      <c r="V238">
        <f>HYPERLINK("https://klasma.github.io/Logging_1730/klagomål/A 57014-2019 klagomål.docx", "A 57014-2019")</f>
        <v/>
      </c>
      <c r="W238">
        <f>HYPERLINK("https://klasma.github.io/Logging_1730/klagomålsmail/A 57014-2019 klagomålsmail.docx", "A 57014-2019")</f>
        <v/>
      </c>
      <c r="X238">
        <f>HYPERLINK("https://klasma.github.io/Logging_1730/tillsyn/A 57014-2019 tillsyn.docx", "A 57014-2019")</f>
        <v/>
      </c>
      <c r="Y238">
        <f>HYPERLINK("https://klasma.github.io/Logging_1730/tillsynsmail/A 57014-2019 tillsynsmail.docx", "A 57014-2019")</f>
        <v/>
      </c>
    </row>
    <row r="239" ht="15" customHeight="1">
      <c r="A239" t="inlineStr">
        <is>
          <t>A 63767-2019</t>
        </is>
      </c>
      <c r="B239" s="1" t="n">
        <v>43795</v>
      </c>
      <c r="C239" s="1" t="n">
        <v>45212</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 artfynd.xlsx", "A 63767-2019")</f>
        <v/>
      </c>
      <c r="T239">
        <f>HYPERLINK("https://klasma.github.io/Logging_1737/karta/A 63767-2019 karta.png", "A 63767-2019")</f>
        <v/>
      </c>
      <c r="V239">
        <f>HYPERLINK("https://klasma.github.io/Logging_1737/klagomål/A 63767-2019 klagomål.docx", "A 63767-2019")</f>
        <v/>
      </c>
      <c r="W239">
        <f>HYPERLINK("https://klasma.github.io/Logging_1737/klagomålsmail/A 63767-2019 klagomålsmail.docx", "A 63767-2019")</f>
        <v/>
      </c>
      <c r="X239">
        <f>HYPERLINK("https://klasma.github.io/Logging_1737/tillsyn/A 63767-2019 tillsyn.docx", "A 63767-2019")</f>
        <v/>
      </c>
      <c r="Y239">
        <f>HYPERLINK("https://klasma.github.io/Logging_1737/tillsynsmail/A 63767-2019 tillsynsmail.docx", "A 63767-2019")</f>
        <v/>
      </c>
    </row>
    <row r="240" ht="15" customHeight="1">
      <c r="A240" t="inlineStr">
        <is>
          <t>A 65129-2019</t>
        </is>
      </c>
      <c r="B240" s="1" t="n">
        <v>43802</v>
      </c>
      <c r="C240" s="1" t="n">
        <v>45212</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 artfynd.xlsx", "A 65129-2019")</f>
        <v/>
      </c>
      <c r="T240">
        <f>HYPERLINK("https://klasma.github.io/Logging_1737/karta/A 65129-2019 karta.png", "A 65129-2019")</f>
        <v/>
      </c>
      <c r="V240">
        <f>HYPERLINK("https://klasma.github.io/Logging_1737/klagomål/A 65129-2019 klagomål.docx", "A 65129-2019")</f>
        <v/>
      </c>
      <c r="W240">
        <f>HYPERLINK("https://klasma.github.io/Logging_1737/klagomålsmail/A 65129-2019 klagomålsmail.docx", "A 65129-2019")</f>
        <v/>
      </c>
      <c r="X240">
        <f>HYPERLINK("https://klasma.github.io/Logging_1737/tillsyn/A 65129-2019 tillsyn.docx", "A 65129-2019")</f>
        <v/>
      </c>
      <c r="Y240">
        <f>HYPERLINK("https://klasma.github.io/Logging_1737/tillsynsmail/A 65129-2019 tillsynsmail.docx", "A 65129-2019")</f>
        <v/>
      </c>
    </row>
    <row r="241" ht="15" customHeight="1">
      <c r="A241" t="inlineStr">
        <is>
          <t>A 65258-2019</t>
        </is>
      </c>
      <c r="B241" s="1" t="n">
        <v>43802</v>
      </c>
      <c r="C241" s="1" t="n">
        <v>45212</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 artfynd.xlsx", "A 65258-2019")</f>
        <v/>
      </c>
      <c r="T241">
        <f>HYPERLINK("https://klasma.github.io/Logging_1782/karta/A 65258-2019 karta.png", "A 65258-2019")</f>
        <v/>
      </c>
      <c r="V241">
        <f>HYPERLINK("https://klasma.github.io/Logging_1782/klagomål/A 65258-2019 klagomål.docx", "A 65258-2019")</f>
        <v/>
      </c>
      <c r="W241">
        <f>HYPERLINK("https://klasma.github.io/Logging_1782/klagomålsmail/A 65258-2019 klagomålsmail.docx", "A 65258-2019")</f>
        <v/>
      </c>
      <c r="X241">
        <f>HYPERLINK("https://klasma.github.io/Logging_1782/tillsyn/A 65258-2019 tillsyn.docx", "A 65258-2019")</f>
        <v/>
      </c>
      <c r="Y241">
        <f>HYPERLINK("https://klasma.github.io/Logging_1782/tillsynsmail/A 65258-2019 tillsynsmail.docx", "A 65258-2019")</f>
        <v/>
      </c>
    </row>
    <row r="242" ht="15" customHeight="1">
      <c r="A242" t="inlineStr">
        <is>
          <t>A 66238-2019</t>
        </is>
      </c>
      <c r="B242" s="1" t="n">
        <v>43808</v>
      </c>
      <c r="C242" s="1" t="n">
        <v>45212</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 artfynd.xlsx", "A 66238-2019")</f>
        <v/>
      </c>
      <c r="T242">
        <f>HYPERLINK("https://klasma.github.io/Logging_1766/karta/A 66238-2019 karta.png", "A 66238-2019")</f>
        <v/>
      </c>
      <c r="U242">
        <f>HYPERLINK("https://klasma.github.io/Logging_1766/knärot/A 66238-2019 knärot.png", "A 66238-2019")</f>
        <v/>
      </c>
      <c r="V242">
        <f>HYPERLINK("https://klasma.github.io/Logging_1766/klagomål/A 66238-2019 klagomål.docx", "A 66238-2019")</f>
        <v/>
      </c>
      <c r="W242">
        <f>HYPERLINK("https://klasma.github.io/Logging_1766/klagomålsmail/A 66238-2019 klagomålsmail.docx", "A 66238-2019")</f>
        <v/>
      </c>
      <c r="X242">
        <f>HYPERLINK("https://klasma.github.io/Logging_1766/tillsyn/A 66238-2019 tillsyn.docx", "A 66238-2019")</f>
        <v/>
      </c>
      <c r="Y242">
        <f>HYPERLINK("https://klasma.github.io/Logging_1766/tillsynsmail/A 66238-2019 tillsynsmail.docx", "A 66238-2019")</f>
        <v/>
      </c>
    </row>
    <row r="243" ht="15" customHeight="1">
      <c r="A243" t="inlineStr">
        <is>
          <t>A 1731-2020</t>
        </is>
      </c>
      <c r="B243" s="1" t="n">
        <v>43832</v>
      </c>
      <c r="C243" s="1" t="n">
        <v>45212</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 artfynd.xlsx", "A 1731-2020")</f>
        <v/>
      </c>
      <c r="T243">
        <f>HYPERLINK("https://klasma.github.io/Logging_1784/karta/A 1731-2020 karta.png", "A 1731-2020")</f>
        <v/>
      </c>
      <c r="V243">
        <f>HYPERLINK("https://klasma.github.io/Logging_1784/klagomål/A 1731-2020 klagomål.docx", "A 1731-2020")</f>
        <v/>
      </c>
      <c r="W243">
        <f>HYPERLINK("https://klasma.github.io/Logging_1784/klagomålsmail/A 1731-2020 klagomålsmail.docx", "A 1731-2020")</f>
        <v/>
      </c>
      <c r="X243">
        <f>HYPERLINK("https://klasma.github.io/Logging_1784/tillsyn/A 1731-2020 tillsyn.docx", "A 1731-2020")</f>
        <v/>
      </c>
      <c r="Y243">
        <f>HYPERLINK("https://klasma.github.io/Logging_1784/tillsynsmail/A 1731-2020 tillsynsmail.docx", "A 1731-2020")</f>
        <v/>
      </c>
    </row>
    <row r="244" ht="15" customHeight="1">
      <c r="A244" t="inlineStr">
        <is>
          <t>A 238-2020</t>
        </is>
      </c>
      <c r="B244" s="1" t="n">
        <v>43835</v>
      </c>
      <c r="C244" s="1" t="n">
        <v>45212</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 artfynd.xlsx", "A 238-2020")</f>
        <v/>
      </c>
      <c r="T244">
        <f>HYPERLINK("https://klasma.github.io/Logging_1784/karta/A 238-2020 karta.png", "A 238-2020")</f>
        <v/>
      </c>
      <c r="U244">
        <f>HYPERLINK("https://klasma.github.io/Logging_1784/knärot/A 238-2020 knärot.png", "A 238-2020")</f>
        <v/>
      </c>
      <c r="V244">
        <f>HYPERLINK("https://klasma.github.io/Logging_1784/klagomål/A 238-2020 klagomål.docx", "A 238-2020")</f>
        <v/>
      </c>
      <c r="W244">
        <f>HYPERLINK("https://klasma.github.io/Logging_1784/klagomålsmail/A 238-2020 klagomålsmail.docx", "A 238-2020")</f>
        <v/>
      </c>
      <c r="X244">
        <f>HYPERLINK("https://klasma.github.io/Logging_1784/tillsyn/A 238-2020 tillsyn.docx", "A 238-2020")</f>
        <v/>
      </c>
      <c r="Y244">
        <f>HYPERLINK("https://klasma.github.io/Logging_1784/tillsynsmail/A 238-2020 tillsynsmail.docx", "A 238-2020")</f>
        <v/>
      </c>
    </row>
    <row r="245" ht="15" customHeight="1">
      <c r="A245" t="inlineStr">
        <is>
          <t>A 2116-2020</t>
        </is>
      </c>
      <c r="B245" s="1" t="n">
        <v>43839</v>
      </c>
      <c r="C245" s="1" t="n">
        <v>45212</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 artfynd.xlsx", "A 2116-2020")</f>
        <v/>
      </c>
      <c r="T245">
        <f>HYPERLINK("https://klasma.github.io/Logging_1765/karta/A 2116-2020 karta.png", "A 2116-2020")</f>
        <v/>
      </c>
      <c r="V245">
        <f>HYPERLINK("https://klasma.github.io/Logging_1765/klagomål/A 2116-2020 klagomål.docx", "A 2116-2020")</f>
        <v/>
      </c>
      <c r="W245">
        <f>HYPERLINK("https://klasma.github.io/Logging_1765/klagomålsmail/A 2116-2020 klagomålsmail.docx", "A 2116-2020")</f>
        <v/>
      </c>
      <c r="X245">
        <f>HYPERLINK("https://klasma.github.io/Logging_1765/tillsyn/A 2116-2020 tillsyn.docx", "A 2116-2020")</f>
        <v/>
      </c>
      <c r="Y245">
        <f>HYPERLINK("https://klasma.github.io/Logging_1765/tillsynsmail/A 2116-2020 tillsynsmail.docx", "A 2116-2020")</f>
        <v/>
      </c>
    </row>
    <row r="246" ht="15" customHeight="1">
      <c r="A246" t="inlineStr">
        <is>
          <t>A 6299-2020</t>
        </is>
      </c>
      <c r="B246" s="1" t="n">
        <v>43866</v>
      </c>
      <c r="C246" s="1" t="n">
        <v>45212</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 artfynd.xlsx", "A 6299-2020")</f>
        <v/>
      </c>
      <c r="T246">
        <f>HYPERLINK("https://klasma.github.io/Logging_1780/karta/A 6299-2020 karta.png", "A 6299-2020")</f>
        <v/>
      </c>
      <c r="V246">
        <f>HYPERLINK("https://klasma.github.io/Logging_1780/klagomål/A 6299-2020 klagomål.docx", "A 6299-2020")</f>
        <v/>
      </c>
      <c r="W246">
        <f>HYPERLINK("https://klasma.github.io/Logging_1780/klagomålsmail/A 6299-2020 klagomålsmail.docx", "A 6299-2020")</f>
        <v/>
      </c>
      <c r="X246">
        <f>HYPERLINK("https://klasma.github.io/Logging_1780/tillsyn/A 6299-2020 tillsyn.docx", "A 6299-2020")</f>
        <v/>
      </c>
      <c r="Y246">
        <f>HYPERLINK("https://klasma.github.io/Logging_1780/tillsynsmail/A 6299-2020 tillsynsmail.docx", "A 6299-2020")</f>
        <v/>
      </c>
    </row>
    <row r="247" ht="15" customHeight="1">
      <c r="A247" t="inlineStr">
        <is>
          <t>A 9585-2020</t>
        </is>
      </c>
      <c r="B247" s="1" t="n">
        <v>43878</v>
      </c>
      <c r="C247" s="1" t="n">
        <v>45212</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 artfynd.xlsx", "A 9585-2020")</f>
        <v/>
      </c>
      <c r="T247">
        <f>HYPERLINK("https://klasma.github.io/Logging_1766/karta/A 9585-2020 karta.png", "A 9585-2020")</f>
        <v/>
      </c>
      <c r="V247">
        <f>HYPERLINK("https://klasma.github.io/Logging_1766/klagomål/A 9585-2020 klagomål.docx", "A 9585-2020")</f>
        <v/>
      </c>
      <c r="W247">
        <f>HYPERLINK("https://klasma.github.io/Logging_1766/klagomålsmail/A 9585-2020 klagomålsmail.docx", "A 9585-2020")</f>
        <v/>
      </c>
      <c r="X247">
        <f>HYPERLINK("https://klasma.github.io/Logging_1766/tillsyn/A 9585-2020 tillsyn.docx", "A 9585-2020")</f>
        <v/>
      </c>
      <c r="Y247">
        <f>HYPERLINK("https://klasma.github.io/Logging_1766/tillsynsmail/A 9585-2020 tillsynsmail.docx", "A 9585-2020")</f>
        <v/>
      </c>
    </row>
    <row r="248" ht="15" customHeight="1">
      <c r="A248" t="inlineStr">
        <is>
          <t>A 9988-2020</t>
        </is>
      </c>
      <c r="B248" s="1" t="n">
        <v>43882</v>
      </c>
      <c r="C248" s="1" t="n">
        <v>45212</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 artfynd.xlsx", "A 9988-2020")</f>
        <v/>
      </c>
      <c r="T248">
        <f>HYPERLINK("https://klasma.github.io/Logging_1766/karta/A 9988-2020 karta.png", "A 9988-2020")</f>
        <v/>
      </c>
      <c r="V248">
        <f>HYPERLINK("https://klasma.github.io/Logging_1766/klagomål/A 9988-2020 klagomål.docx", "A 9988-2020")</f>
        <v/>
      </c>
      <c r="W248">
        <f>HYPERLINK("https://klasma.github.io/Logging_1766/klagomålsmail/A 9988-2020 klagomålsmail.docx", "A 9988-2020")</f>
        <v/>
      </c>
      <c r="X248">
        <f>HYPERLINK("https://klasma.github.io/Logging_1766/tillsyn/A 9988-2020 tillsyn.docx", "A 9988-2020")</f>
        <v/>
      </c>
      <c r="Y248">
        <f>HYPERLINK("https://klasma.github.io/Logging_1766/tillsynsmail/A 9988-2020 tillsynsmail.docx", "A 9988-2020")</f>
        <v/>
      </c>
    </row>
    <row r="249" ht="15" customHeight="1">
      <c r="A249" t="inlineStr">
        <is>
          <t>A 10040-2020</t>
        </is>
      </c>
      <c r="B249" s="1" t="n">
        <v>43882</v>
      </c>
      <c r="C249" s="1" t="n">
        <v>45212</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 artfynd.xlsx", "A 10040-2020")</f>
        <v/>
      </c>
      <c r="T249">
        <f>HYPERLINK("https://klasma.github.io/Logging_1785/karta/A 10040-2020 karta.png", "A 10040-2020")</f>
        <v/>
      </c>
      <c r="V249">
        <f>HYPERLINK("https://klasma.github.io/Logging_1785/klagomål/A 10040-2020 klagomål.docx", "A 10040-2020")</f>
        <v/>
      </c>
      <c r="W249">
        <f>HYPERLINK("https://klasma.github.io/Logging_1785/klagomålsmail/A 10040-2020 klagomålsmail.docx", "A 10040-2020")</f>
        <v/>
      </c>
      <c r="X249">
        <f>HYPERLINK("https://klasma.github.io/Logging_1785/tillsyn/A 10040-2020 tillsyn.docx", "A 10040-2020")</f>
        <v/>
      </c>
      <c r="Y249">
        <f>HYPERLINK("https://klasma.github.io/Logging_1785/tillsynsmail/A 10040-2020 tillsynsmail.docx", "A 10040-2020")</f>
        <v/>
      </c>
    </row>
    <row r="250" ht="15" customHeight="1">
      <c r="A250" t="inlineStr">
        <is>
          <t>A 10858-2020</t>
        </is>
      </c>
      <c r="B250" s="1" t="n">
        <v>43889</v>
      </c>
      <c r="C250" s="1" t="n">
        <v>45212</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 artfynd.xlsx", "A 10858-2020")</f>
        <v/>
      </c>
      <c r="T250">
        <f>HYPERLINK("https://klasma.github.io/Logging_1784/karta/A 10858-2020 karta.png", "A 10858-2020")</f>
        <v/>
      </c>
      <c r="V250">
        <f>HYPERLINK("https://klasma.github.io/Logging_1784/klagomål/A 10858-2020 klagomål.docx", "A 10858-2020")</f>
        <v/>
      </c>
      <c r="W250">
        <f>HYPERLINK("https://klasma.github.io/Logging_1784/klagomålsmail/A 10858-2020 klagomålsmail.docx", "A 10858-2020")</f>
        <v/>
      </c>
      <c r="X250">
        <f>HYPERLINK("https://klasma.github.io/Logging_1784/tillsyn/A 10858-2020 tillsyn.docx", "A 10858-2020")</f>
        <v/>
      </c>
      <c r="Y250">
        <f>HYPERLINK("https://klasma.github.io/Logging_1784/tillsynsmail/A 10858-2020 tillsynsmail.docx", "A 10858-2020")</f>
        <v/>
      </c>
    </row>
    <row r="251" ht="15" customHeight="1">
      <c r="A251" t="inlineStr">
        <is>
          <t>A 13461-2020</t>
        </is>
      </c>
      <c r="B251" s="1" t="n">
        <v>43902</v>
      </c>
      <c r="C251" s="1" t="n">
        <v>45212</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 artfynd.xlsx", "A 13461-2020")</f>
        <v/>
      </c>
      <c r="T251">
        <f>HYPERLINK("https://klasma.github.io/Logging_1784/karta/A 13461-2020 karta.png", "A 13461-2020")</f>
        <v/>
      </c>
      <c r="U251">
        <f>HYPERLINK("https://klasma.github.io/Logging_1784/knärot/A 13461-2020 knärot.png", "A 13461-2020")</f>
        <v/>
      </c>
      <c r="V251">
        <f>HYPERLINK("https://klasma.github.io/Logging_1784/klagomål/A 13461-2020 klagomål.docx", "A 13461-2020")</f>
        <v/>
      </c>
      <c r="W251">
        <f>HYPERLINK("https://klasma.github.io/Logging_1784/klagomålsmail/A 13461-2020 klagomålsmail.docx", "A 13461-2020")</f>
        <v/>
      </c>
      <c r="X251">
        <f>HYPERLINK("https://klasma.github.io/Logging_1784/tillsyn/A 13461-2020 tillsyn.docx", "A 13461-2020")</f>
        <v/>
      </c>
      <c r="Y251">
        <f>HYPERLINK("https://klasma.github.io/Logging_1784/tillsynsmail/A 13461-2020 tillsynsmail.docx", "A 13461-2020")</f>
        <v/>
      </c>
    </row>
    <row r="252" ht="15" customHeight="1">
      <c r="A252" t="inlineStr">
        <is>
          <t>A 16031-2020</t>
        </is>
      </c>
      <c r="B252" s="1" t="n">
        <v>43915</v>
      </c>
      <c r="C252" s="1" t="n">
        <v>45212</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 artfynd.xlsx", "A 16031-2020")</f>
        <v/>
      </c>
      <c r="T252">
        <f>HYPERLINK("https://klasma.github.io/Logging_1781/karta/A 16031-2020 karta.png", "A 16031-2020")</f>
        <v/>
      </c>
      <c r="V252">
        <f>HYPERLINK("https://klasma.github.io/Logging_1781/klagomål/A 16031-2020 klagomål.docx", "A 16031-2020")</f>
        <v/>
      </c>
      <c r="W252">
        <f>HYPERLINK("https://klasma.github.io/Logging_1781/klagomålsmail/A 16031-2020 klagomålsmail.docx", "A 16031-2020")</f>
        <v/>
      </c>
      <c r="X252">
        <f>HYPERLINK("https://klasma.github.io/Logging_1781/tillsyn/A 16031-2020 tillsyn.docx", "A 16031-2020")</f>
        <v/>
      </c>
      <c r="Y252">
        <f>HYPERLINK("https://klasma.github.io/Logging_1781/tillsynsmail/A 16031-2020 tillsynsmail.docx", "A 16031-2020")</f>
        <v/>
      </c>
    </row>
    <row r="253" ht="15" customHeight="1">
      <c r="A253" t="inlineStr">
        <is>
          <t>A 18075-2020</t>
        </is>
      </c>
      <c r="B253" s="1" t="n">
        <v>43927</v>
      </c>
      <c r="C253" s="1" t="n">
        <v>45212</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 artfynd.xlsx", "A 18075-2020")</f>
        <v/>
      </c>
      <c r="T253">
        <f>HYPERLINK("https://klasma.github.io/Logging_1780/karta/A 18075-2020 karta.png", "A 18075-2020")</f>
        <v/>
      </c>
      <c r="V253">
        <f>HYPERLINK("https://klasma.github.io/Logging_1780/klagomål/A 18075-2020 klagomål.docx", "A 18075-2020")</f>
        <v/>
      </c>
      <c r="W253">
        <f>HYPERLINK("https://klasma.github.io/Logging_1780/klagomålsmail/A 18075-2020 klagomålsmail.docx", "A 18075-2020")</f>
        <v/>
      </c>
      <c r="X253">
        <f>HYPERLINK("https://klasma.github.io/Logging_1780/tillsyn/A 18075-2020 tillsyn.docx", "A 18075-2020")</f>
        <v/>
      </c>
      <c r="Y253">
        <f>HYPERLINK("https://klasma.github.io/Logging_1780/tillsynsmail/A 18075-2020 tillsynsmail.docx", "A 18075-2020")</f>
        <v/>
      </c>
    </row>
    <row r="254" ht="15" customHeight="1">
      <c r="A254" t="inlineStr">
        <is>
          <t>A 22217-2020</t>
        </is>
      </c>
      <c r="B254" s="1" t="n">
        <v>43955</v>
      </c>
      <c r="C254" s="1" t="n">
        <v>45212</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 artfynd.xlsx", "A 22217-2020")</f>
        <v/>
      </c>
      <c r="T254">
        <f>HYPERLINK("https://klasma.github.io/Logging_1781/karta/A 22217-2020 karta.png", "A 22217-2020")</f>
        <v/>
      </c>
      <c r="V254">
        <f>HYPERLINK("https://klasma.github.io/Logging_1781/klagomål/A 22217-2020 klagomål.docx", "A 22217-2020")</f>
        <v/>
      </c>
      <c r="W254">
        <f>HYPERLINK("https://klasma.github.io/Logging_1781/klagomålsmail/A 22217-2020 klagomålsmail.docx", "A 22217-2020")</f>
        <v/>
      </c>
      <c r="X254">
        <f>HYPERLINK("https://klasma.github.io/Logging_1781/tillsyn/A 22217-2020 tillsyn.docx", "A 22217-2020")</f>
        <v/>
      </c>
      <c r="Y254">
        <f>HYPERLINK("https://klasma.github.io/Logging_1781/tillsynsmail/A 22217-2020 tillsynsmail.docx", "A 22217-2020")</f>
        <v/>
      </c>
    </row>
    <row r="255" ht="15" customHeight="1">
      <c r="A255" t="inlineStr">
        <is>
          <t>A 28368-2020</t>
        </is>
      </c>
      <c r="B255" s="1" t="n">
        <v>43998</v>
      </c>
      <c r="C255" s="1" t="n">
        <v>45212</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 artfynd.xlsx", "A 28368-2020")</f>
        <v/>
      </c>
      <c r="T255">
        <f>HYPERLINK("https://klasma.github.io/Logging_1780/karta/A 28368-2020 karta.png", "A 28368-2020")</f>
        <v/>
      </c>
      <c r="V255">
        <f>HYPERLINK("https://klasma.github.io/Logging_1780/klagomål/A 28368-2020 klagomål.docx", "A 28368-2020")</f>
        <v/>
      </c>
      <c r="W255">
        <f>HYPERLINK("https://klasma.github.io/Logging_1780/klagomålsmail/A 28368-2020 klagomålsmail.docx", "A 28368-2020")</f>
        <v/>
      </c>
      <c r="X255">
        <f>HYPERLINK("https://klasma.github.io/Logging_1780/tillsyn/A 28368-2020 tillsyn.docx", "A 28368-2020")</f>
        <v/>
      </c>
      <c r="Y255">
        <f>HYPERLINK("https://klasma.github.io/Logging_1780/tillsynsmail/A 28368-2020 tillsynsmail.docx", "A 28368-2020")</f>
        <v/>
      </c>
    </row>
    <row r="256" ht="15" customHeight="1">
      <c r="A256" t="inlineStr">
        <is>
          <t>A 30729-2020</t>
        </is>
      </c>
      <c r="B256" s="1" t="n">
        <v>44008</v>
      </c>
      <c r="C256" s="1" t="n">
        <v>45212</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 artfynd.xlsx", "A 30729-2020")</f>
        <v/>
      </c>
      <c r="T256">
        <f>HYPERLINK("https://klasma.github.io/Logging_1784/karta/A 30729-2020 karta.png", "A 30729-2020")</f>
        <v/>
      </c>
      <c r="U256">
        <f>HYPERLINK("https://klasma.github.io/Logging_1784/knärot/A 30729-2020 knärot.png", "A 30729-2020")</f>
        <v/>
      </c>
      <c r="V256">
        <f>HYPERLINK("https://klasma.github.io/Logging_1784/klagomål/A 30729-2020 klagomål.docx", "A 30729-2020")</f>
        <v/>
      </c>
      <c r="W256">
        <f>HYPERLINK("https://klasma.github.io/Logging_1784/klagomålsmail/A 30729-2020 klagomålsmail.docx", "A 30729-2020")</f>
        <v/>
      </c>
      <c r="X256">
        <f>HYPERLINK("https://klasma.github.io/Logging_1784/tillsyn/A 30729-2020 tillsyn.docx", "A 30729-2020")</f>
        <v/>
      </c>
      <c r="Y256">
        <f>HYPERLINK("https://klasma.github.io/Logging_1784/tillsynsmail/A 30729-2020 tillsynsmail.docx", "A 30729-2020")</f>
        <v/>
      </c>
    </row>
    <row r="257" ht="15" customHeight="1">
      <c r="A257" t="inlineStr">
        <is>
          <t>A 34409-2020</t>
        </is>
      </c>
      <c r="B257" s="1" t="n">
        <v>44029</v>
      </c>
      <c r="C257" s="1" t="n">
        <v>45212</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 artfynd.xlsx", "A 34409-2020")</f>
        <v/>
      </c>
      <c r="T257">
        <f>HYPERLINK("https://klasma.github.io/Logging_1760/karta/A 34409-2020 karta.png", "A 34409-2020")</f>
        <v/>
      </c>
      <c r="V257">
        <f>HYPERLINK("https://klasma.github.io/Logging_1760/klagomål/A 34409-2020 klagomål.docx", "A 34409-2020")</f>
        <v/>
      </c>
      <c r="W257">
        <f>HYPERLINK("https://klasma.github.io/Logging_1760/klagomålsmail/A 34409-2020 klagomålsmail.docx", "A 34409-2020")</f>
        <v/>
      </c>
      <c r="X257">
        <f>HYPERLINK("https://klasma.github.io/Logging_1760/tillsyn/A 34409-2020 tillsyn.docx", "A 34409-2020")</f>
        <v/>
      </c>
      <c r="Y257">
        <f>HYPERLINK("https://klasma.github.io/Logging_1760/tillsynsmail/A 34409-2020 tillsynsmail.docx", "A 34409-2020")</f>
        <v/>
      </c>
    </row>
    <row r="258" ht="15" customHeight="1">
      <c r="A258" t="inlineStr">
        <is>
          <t>A 34769-2020</t>
        </is>
      </c>
      <c r="B258" s="1" t="n">
        <v>44035</v>
      </c>
      <c r="C258" s="1" t="n">
        <v>45212</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 artfynd.xlsx", "A 34769-2020")</f>
        <v/>
      </c>
      <c r="T258">
        <f>HYPERLINK("https://klasma.github.io/Logging_1784/karta/A 34769-2020 karta.png", "A 34769-2020")</f>
        <v/>
      </c>
      <c r="U258">
        <f>HYPERLINK("https://klasma.github.io/Logging_1784/knärot/A 34769-2020 knärot.png", "A 34769-2020")</f>
        <v/>
      </c>
      <c r="V258">
        <f>HYPERLINK("https://klasma.github.io/Logging_1784/klagomål/A 34769-2020 klagomål.docx", "A 34769-2020")</f>
        <v/>
      </c>
      <c r="W258">
        <f>HYPERLINK("https://klasma.github.io/Logging_1784/klagomålsmail/A 34769-2020 klagomålsmail.docx", "A 34769-2020")</f>
        <v/>
      </c>
      <c r="X258">
        <f>HYPERLINK("https://klasma.github.io/Logging_1784/tillsyn/A 34769-2020 tillsyn.docx", "A 34769-2020")</f>
        <v/>
      </c>
      <c r="Y258">
        <f>HYPERLINK("https://klasma.github.io/Logging_1784/tillsynsmail/A 34769-2020 tillsynsmail.docx", "A 34769-2020")</f>
        <v/>
      </c>
    </row>
    <row r="259" ht="15" customHeight="1">
      <c r="A259" t="inlineStr">
        <is>
          <t>A 35546-2020</t>
        </is>
      </c>
      <c r="B259" s="1" t="n">
        <v>44043</v>
      </c>
      <c r="C259" s="1" t="n">
        <v>45212</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 artfynd.xlsx", "A 35546-2020")</f>
        <v/>
      </c>
      <c r="T259">
        <f>HYPERLINK("https://klasma.github.io/Logging_1785/karta/A 35546-2020 karta.png", "A 35546-2020")</f>
        <v/>
      </c>
      <c r="V259">
        <f>HYPERLINK("https://klasma.github.io/Logging_1785/klagomål/A 35546-2020 klagomål.docx", "A 35546-2020")</f>
        <v/>
      </c>
      <c r="W259">
        <f>HYPERLINK("https://klasma.github.io/Logging_1785/klagomålsmail/A 35546-2020 klagomålsmail.docx", "A 35546-2020")</f>
        <v/>
      </c>
      <c r="X259">
        <f>HYPERLINK("https://klasma.github.io/Logging_1785/tillsyn/A 35546-2020 tillsyn.docx", "A 35546-2020")</f>
        <v/>
      </c>
      <c r="Y259">
        <f>HYPERLINK("https://klasma.github.io/Logging_1785/tillsynsmail/A 35546-2020 tillsynsmail.docx", "A 35546-2020")</f>
        <v/>
      </c>
    </row>
    <row r="260" ht="15" customHeight="1">
      <c r="A260" t="inlineStr">
        <is>
          <t>A 36585-2020</t>
        </is>
      </c>
      <c r="B260" s="1" t="n">
        <v>44050</v>
      </c>
      <c r="C260" s="1" t="n">
        <v>45212</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 artfynd.xlsx", "A 36585-2020")</f>
        <v/>
      </c>
      <c r="T260">
        <f>HYPERLINK("https://klasma.github.io/Logging_1765/karta/A 36585-2020 karta.png", "A 36585-2020")</f>
        <v/>
      </c>
      <c r="V260">
        <f>HYPERLINK("https://klasma.github.io/Logging_1765/klagomål/A 36585-2020 klagomål.docx", "A 36585-2020")</f>
        <v/>
      </c>
      <c r="W260">
        <f>HYPERLINK("https://klasma.github.io/Logging_1765/klagomålsmail/A 36585-2020 klagomålsmail.docx", "A 36585-2020")</f>
        <v/>
      </c>
      <c r="X260">
        <f>HYPERLINK("https://klasma.github.io/Logging_1765/tillsyn/A 36585-2020 tillsyn.docx", "A 36585-2020")</f>
        <v/>
      </c>
      <c r="Y260">
        <f>HYPERLINK("https://klasma.github.io/Logging_1765/tillsynsmail/A 36585-2020 tillsynsmail.docx", "A 36585-2020")</f>
        <v/>
      </c>
    </row>
    <row r="261" ht="15" customHeight="1">
      <c r="A261" t="inlineStr">
        <is>
          <t>A 36688-2020</t>
        </is>
      </c>
      <c r="B261" s="1" t="n">
        <v>44052</v>
      </c>
      <c r="C261" s="1" t="n">
        <v>45212</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 artfynd.xlsx", "A 36688-2020")</f>
        <v/>
      </c>
      <c r="T261">
        <f>HYPERLINK("https://klasma.github.io/Logging_1784/karta/A 36688-2020 karta.png", "A 36688-2020")</f>
        <v/>
      </c>
      <c r="U261">
        <f>HYPERLINK("https://klasma.github.io/Logging_1784/knärot/A 36688-2020 knärot.png", "A 36688-2020")</f>
        <v/>
      </c>
      <c r="V261">
        <f>HYPERLINK("https://klasma.github.io/Logging_1784/klagomål/A 36688-2020 klagomål.docx", "A 36688-2020")</f>
        <v/>
      </c>
      <c r="W261">
        <f>HYPERLINK("https://klasma.github.io/Logging_1784/klagomålsmail/A 36688-2020 klagomålsmail.docx", "A 36688-2020")</f>
        <v/>
      </c>
      <c r="X261">
        <f>HYPERLINK("https://klasma.github.io/Logging_1784/tillsyn/A 36688-2020 tillsyn.docx", "A 36688-2020")</f>
        <v/>
      </c>
      <c r="Y261">
        <f>HYPERLINK("https://klasma.github.io/Logging_1784/tillsynsmail/A 36688-2020 tillsynsmail.docx", "A 36688-2020")</f>
        <v/>
      </c>
    </row>
    <row r="262" ht="15" customHeight="1">
      <c r="A262" t="inlineStr">
        <is>
          <t>A 37035-2020</t>
        </is>
      </c>
      <c r="B262" s="1" t="n">
        <v>44054</v>
      </c>
      <c r="C262" s="1" t="n">
        <v>45212</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 artfynd.xlsx", "A 37035-2020")</f>
        <v/>
      </c>
      <c r="T262">
        <f>HYPERLINK("https://klasma.github.io/Logging_1737/karta/A 37035-2020 karta.png", "A 37035-2020")</f>
        <v/>
      </c>
      <c r="V262">
        <f>HYPERLINK("https://klasma.github.io/Logging_1737/klagomål/A 37035-2020 klagomål.docx", "A 37035-2020")</f>
        <v/>
      </c>
      <c r="W262">
        <f>HYPERLINK("https://klasma.github.io/Logging_1737/klagomålsmail/A 37035-2020 klagomålsmail.docx", "A 37035-2020")</f>
        <v/>
      </c>
      <c r="X262">
        <f>HYPERLINK("https://klasma.github.io/Logging_1737/tillsyn/A 37035-2020 tillsyn.docx", "A 37035-2020")</f>
        <v/>
      </c>
      <c r="Y262">
        <f>HYPERLINK("https://klasma.github.io/Logging_1737/tillsynsmail/A 37035-2020 tillsynsmail.docx", "A 37035-2020")</f>
        <v/>
      </c>
    </row>
    <row r="263" ht="15" customHeight="1">
      <c r="A263" t="inlineStr">
        <is>
          <t>A 38701-2020</t>
        </is>
      </c>
      <c r="B263" s="1" t="n">
        <v>44061</v>
      </c>
      <c r="C263" s="1" t="n">
        <v>45212</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 artfynd.xlsx", "A 38701-2020")</f>
        <v/>
      </c>
      <c r="T263">
        <f>HYPERLINK("https://klasma.github.io/Logging_1765/karta/A 38701-2020 karta.png", "A 38701-2020")</f>
        <v/>
      </c>
      <c r="V263">
        <f>HYPERLINK("https://klasma.github.io/Logging_1765/klagomål/A 38701-2020 klagomål.docx", "A 38701-2020")</f>
        <v/>
      </c>
      <c r="W263">
        <f>HYPERLINK("https://klasma.github.io/Logging_1765/klagomålsmail/A 38701-2020 klagomålsmail.docx", "A 38701-2020")</f>
        <v/>
      </c>
      <c r="X263">
        <f>HYPERLINK("https://klasma.github.io/Logging_1765/tillsyn/A 38701-2020 tillsyn.docx", "A 38701-2020")</f>
        <v/>
      </c>
      <c r="Y263">
        <f>HYPERLINK("https://klasma.github.io/Logging_1765/tillsynsmail/A 38701-2020 tillsynsmail.docx", "A 38701-2020")</f>
        <v/>
      </c>
    </row>
    <row r="264" ht="15" customHeight="1">
      <c r="A264" t="inlineStr">
        <is>
          <t>A 42542-2020</t>
        </is>
      </c>
      <c r="B264" s="1" t="n">
        <v>44077</v>
      </c>
      <c r="C264" s="1" t="n">
        <v>45212</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 artfynd.xlsx", "A 42542-2020")</f>
        <v/>
      </c>
      <c r="T264">
        <f>HYPERLINK("https://klasma.github.io/Logging_1782/karta/A 42542-2020 karta.png", "A 42542-2020")</f>
        <v/>
      </c>
      <c r="V264">
        <f>HYPERLINK("https://klasma.github.io/Logging_1782/klagomål/A 42542-2020 klagomål.docx", "A 42542-2020")</f>
        <v/>
      </c>
      <c r="W264">
        <f>HYPERLINK("https://klasma.github.io/Logging_1782/klagomålsmail/A 42542-2020 klagomålsmail.docx", "A 42542-2020")</f>
        <v/>
      </c>
      <c r="X264">
        <f>HYPERLINK("https://klasma.github.io/Logging_1782/tillsyn/A 42542-2020 tillsyn.docx", "A 42542-2020")</f>
        <v/>
      </c>
      <c r="Y264">
        <f>HYPERLINK("https://klasma.github.io/Logging_1782/tillsynsmail/A 42542-2020 tillsynsmail.docx", "A 42542-2020")</f>
        <v/>
      </c>
    </row>
    <row r="265" ht="15" customHeight="1">
      <c r="A265" t="inlineStr">
        <is>
          <t>A 47721-2020</t>
        </is>
      </c>
      <c r="B265" s="1" t="n">
        <v>44096</v>
      </c>
      <c r="C265" s="1" t="n">
        <v>45212</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 artfynd.xlsx", "A 47721-2020")</f>
        <v/>
      </c>
      <c r="T265">
        <f>HYPERLINK("https://klasma.github.io/Logging_1783/karta/A 47721-2020 karta.png", "A 47721-2020")</f>
        <v/>
      </c>
      <c r="V265">
        <f>HYPERLINK("https://klasma.github.io/Logging_1783/klagomål/A 47721-2020 klagomål.docx", "A 47721-2020")</f>
        <v/>
      </c>
      <c r="W265">
        <f>HYPERLINK("https://klasma.github.io/Logging_1783/klagomålsmail/A 47721-2020 klagomålsmail.docx", "A 47721-2020")</f>
        <v/>
      </c>
      <c r="X265">
        <f>HYPERLINK("https://klasma.github.io/Logging_1783/tillsyn/A 47721-2020 tillsyn.docx", "A 47721-2020")</f>
        <v/>
      </c>
      <c r="Y265">
        <f>HYPERLINK("https://klasma.github.io/Logging_1783/tillsynsmail/A 47721-2020 tillsynsmail.docx", "A 47721-2020")</f>
        <v/>
      </c>
    </row>
    <row r="266" ht="15" customHeight="1">
      <c r="A266" t="inlineStr">
        <is>
          <t>A 49591-2020</t>
        </is>
      </c>
      <c r="B266" s="1" t="n">
        <v>44105</v>
      </c>
      <c r="C266" s="1" t="n">
        <v>45212</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 artfynd.xlsx", "A 49591-2020")</f>
        <v/>
      </c>
      <c r="T266">
        <f>HYPERLINK("https://klasma.github.io/Logging_1781/karta/A 49591-2020 karta.png", "A 49591-2020")</f>
        <v/>
      </c>
      <c r="V266">
        <f>HYPERLINK("https://klasma.github.io/Logging_1781/klagomål/A 49591-2020 klagomål.docx", "A 49591-2020")</f>
        <v/>
      </c>
      <c r="W266">
        <f>HYPERLINK("https://klasma.github.io/Logging_1781/klagomålsmail/A 49591-2020 klagomålsmail.docx", "A 49591-2020")</f>
        <v/>
      </c>
      <c r="X266">
        <f>HYPERLINK("https://klasma.github.io/Logging_1781/tillsyn/A 49591-2020 tillsyn.docx", "A 49591-2020")</f>
        <v/>
      </c>
      <c r="Y266">
        <f>HYPERLINK("https://klasma.github.io/Logging_1781/tillsynsmail/A 49591-2020 tillsynsmail.docx", "A 49591-2020")</f>
        <v/>
      </c>
    </row>
    <row r="267" ht="15" customHeight="1">
      <c r="A267" t="inlineStr">
        <is>
          <t>A 50854-2020</t>
        </is>
      </c>
      <c r="B267" s="1" t="n">
        <v>44105</v>
      </c>
      <c r="C267" s="1" t="n">
        <v>45212</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 artfynd.xlsx", "A 50854-2020")</f>
        <v/>
      </c>
      <c r="T267">
        <f>HYPERLINK("https://klasma.github.io/Logging_1737/karta/A 50854-2020 karta.png", "A 50854-2020")</f>
        <v/>
      </c>
      <c r="U267">
        <f>HYPERLINK("https://klasma.github.io/Logging_1737/knärot/A 50854-2020 knärot.png", "A 50854-2020")</f>
        <v/>
      </c>
      <c r="V267">
        <f>HYPERLINK("https://klasma.github.io/Logging_1737/klagomål/A 50854-2020 klagomål.docx", "A 50854-2020")</f>
        <v/>
      </c>
      <c r="W267">
        <f>HYPERLINK("https://klasma.github.io/Logging_1737/klagomålsmail/A 50854-2020 klagomålsmail.docx", "A 50854-2020")</f>
        <v/>
      </c>
      <c r="X267">
        <f>HYPERLINK("https://klasma.github.io/Logging_1737/tillsyn/A 50854-2020 tillsyn.docx", "A 50854-2020")</f>
        <v/>
      </c>
      <c r="Y267">
        <f>HYPERLINK("https://klasma.github.io/Logging_1737/tillsynsmail/A 50854-2020 tillsynsmail.docx", "A 50854-2020")</f>
        <v/>
      </c>
    </row>
    <row r="268" ht="15" customHeight="1">
      <c r="A268" t="inlineStr">
        <is>
          <t>A 50089-2020</t>
        </is>
      </c>
      <c r="B268" s="1" t="n">
        <v>44109</v>
      </c>
      <c r="C268" s="1" t="n">
        <v>45212</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 artfynd.xlsx", "A 50089-2020")</f>
        <v/>
      </c>
      <c r="T268">
        <f>HYPERLINK("https://klasma.github.io/Logging_1737/karta/A 50089-2020 karta.png", "A 50089-2020")</f>
        <v/>
      </c>
      <c r="V268">
        <f>HYPERLINK("https://klasma.github.io/Logging_1737/klagomål/A 50089-2020 klagomål.docx", "A 50089-2020")</f>
        <v/>
      </c>
      <c r="W268">
        <f>HYPERLINK("https://klasma.github.io/Logging_1737/klagomålsmail/A 50089-2020 klagomålsmail.docx", "A 50089-2020")</f>
        <v/>
      </c>
      <c r="X268">
        <f>HYPERLINK("https://klasma.github.io/Logging_1737/tillsyn/A 50089-2020 tillsyn.docx", "A 50089-2020")</f>
        <v/>
      </c>
      <c r="Y268">
        <f>HYPERLINK("https://klasma.github.io/Logging_1737/tillsynsmail/A 50089-2020 tillsynsmail.docx", "A 50089-2020")</f>
        <v/>
      </c>
    </row>
    <row r="269" ht="15" customHeight="1">
      <c r="A269" t="inlineStr">
        <is>
          <t>A 53491-2020</t>
        </is>
      </c>
      <c r="B269" s="1" t="n">
        <v>44123</v>
      </c>
      <c r="C269" s="1" t="n">
        <v>45212</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 artfynd.xlsx", "A 53491-2020")</f>
        <v/>
      </c>
      <c r="T269">
        <f>HYPERLINK("https://klasma.github.io/Logging_1737/karta/A 53491-2020 karta.png", "A 53491-2020")</f>
        <v/>
      </c>
      <c r="V269">
        <f>HYPERLINK("https://klasma.github.io/Logging_1737/klagomål/A 53491-2020 klagomål.docx", "A 53491-2020")</f>
        <v/>
      </c>
      <c r="W269">
        <f>HYPERLINK("https://klasma.github.io/Logging_1737/klagomålsmail/A 53491-2020 klagomålsmail.docx", "A 53491-2020")</f>
        <v/>
      </c>
      <c r="X269">
        <f>HYPERLINK("https://klasma.github.io/Logging_1737/tillsyn/A 53491-2020 tillsyn.docx", "A 53491-2020")</f>
        <v/>
      </c>
      <c r="Y269">
        <f>HYPERLINK("https://klasma.github.io/Logging_1737/tillsynsmail/A 53491-2020 tillsynsmail.docx", "A 53491-2020")</f>
        <v/>
      </c>
    </row>
    <row r="270" ht="15" customHeight="1">
      <c r="A270" t="inlineStr">
        <is>
          <t>A 55736-2020</t>
        </is>
      </c>
      <c r="B270" s="1" t="n">
        <v>44132</v>
      </c>
      <c r="C270" s="1" t="n">
        <v>45212</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 artfynd.xlsx", "A 55736-2020")</f>
        <v/>
      </c>
      <c r="T270">
        <f>HYPERLINK("https://klasma.github.io/Logging_1784/karta/A 55736-2020 karta.png", "A 55736-2020")</f>
        <v/>
      </c>
      <c r="V270">
        <f>HYPERLINK("https://klasma.github.io/Logging_1784/klagomål/A 55736-2020 klagomål.docx", "A 55736-2020")</f>
        <v/>
      </c>
      <c r="W270">
        <f>HYPERLINK("https://klasma.github.io/Logging_1784/klagomålsmail/A 55736-2020 klagomålsmail.docx", "A 55736-2020")</f>
        <v/>
      </c>
      <c r="X270">
        <f>HYPERLINK("https://klasma.github.io/Logging_1784/tillsyn/A 55736-2020 tillsyn.docx", "A 55736-2020")</f>
        <v/>
      </c>
      <c r="Y270">
        <f>HYPERLINK("https://klasma.github.io/Logging_1784/tillsynsmail/A 55736-2020 tillsynsmail.docx", "A 55736-2020")</f>
        <v/>
      </c>
    </row>
    <row r="271" ht="15" customHeight="1">
      <c r="A271" t="inlineStr">
        <is>
          <t>A 56253-2020</t>
        </is>
      </c>
      <c r="B271" s="1" t="n">
        <v>44134</v>
      </c>
      <c r="C271" s="1" t="n">
        <v>45212</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 artfynd.xlsx", "A 56253-2020")</f>
        <v/>
      </c>
      <c r="T271">
        <f>HYPERLINK("https://klasma.github.io/Logging_1784/karta/A 56253-2020 karta.png", "A 56253-2020")</f>
        <v/>
      </c>
      <c r="V271">
        <f>HYPERLINK("https://klasma.github.io/Logging_1784/klagomål/A 56253-2020 klagomål.docx", "A 56253-2020")</f>
        <v/>
      </c>
      <c r="W271">
        <f>HYPERLINK("https://klasma.github.io/Logging_1784/klagomålsmail/A 56253-2020 klagomålsmail.docx", "A 56253-2020")</f>
        <v/>
      </c>
      <c r="X271">
        <f>HYPERLINK("https://klasma.github.io/Logging_1784/tillsyn/A 56253-2020 tillsyn.docx", "A 56253-2020")</f>
        <v/>
      </c>
      <c r="Y271">
        <f>HYPERLINK("https://klasma.github.io/Logging_1784/tillsynsmail/A 56253-2020 tillsynsmail.docx", "A 56253-2020")</f>
        <v/>
      </c>
    </row>
    <row r="272" ht="15" customHeight="1">
      <c r="A272" t="inlineStr">
        <is>
          <t>A 59466-2020</t>
        </is>
      </c>
      <c r="B272" s="1" t="n">
        <v>44148</v>
      </c>
      <c r="C272" s="1" t="n">
        <v>45212</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 artfynd.xlsx", "A 59466-2020")</f>
        <v/>
      </c>
      <c r="T272">
        <f>HYPERLINK("https://klasma.github.io/Logging_1785/karta/A 59466-2020 karta.png", "A 59466-2020")</f>
        <v/>
      </c>
      <c r="V272">
        <f>HYPERLINK("https://klasma.github.io/Logging_1785/klagomål/A 59466-2020 klagomål.docx", "A 59466-2020")</f>
        <v/>
      </c>
      <c r="W272">
        <f>HYPERLINK("https://klasma.github.io/Logging_1785/klagomålsmail/A 59466-2020 klagomålsmail.docx", "A 59466-2020")</f>
        <v/>
      </c>
      <c r="X272">
        <f>HYPERLINK("https://klasma.github.io/Logging_1785/tillsyn/A 59466-2020 tillsyn.docx", "A 59466-2020")</f>
        <v/>
      </c>
      <c r="Y272">
        <f>HYPERLINK("https://klasma.github.io/Logging_1785/tillsynsmail/A 59466-2020 tillsynsmail.docx", "A 59466-2020")</f>
        <v/>
      </c>
    </row>
    <row r="273" ht="15" customHeight="1">
      <c r="A273" t="inlineStr">
        <is>
          <t>A 63540-2020</t>
        </is>
      </c>
      <c r="B273" s="1" t="n">
        <v>44165</v>
      </c>
      <c r="C273" s="1" t="n">
        <v>45212</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 artfynd.xlsx", "A 63540-2020")</f>
        <v/>
      </c>
      <c r="T273">
        <f>HYPERLINK("https://klasma.github.io/Logging_1784/karta/A 63540-2020 karta.png", "A 63540-2020")</f>
        <v/>
      </c>
      <c r="U273">
        <f>HYPERLINK("https://klasma.github.io/Logging_1784/knärot/A 63540-2020 knärot.png", "A 63540-2020")</f>
        <v/>
      </c>
      <c r="V273">
        <f>HYPERLINK("https://klasma.github.io/Logging_1784/klagomål/A 63540-2020 klagomål.docx", "A 63540-2020")</f>
        <v/>
      </c>
      <c r="W273">
        <f>HYPERLINK("https://klasma.github.io/Logging_1784/klagomålsmail/A 63540-2020 klagomålsmail.docx", "A 63540-2020")</f>
        <v/>
      </c>
      <c r="X273">
        <f>HYPERLINK("https://klasma.github.io/Logging_1784/tillsyn/A 63540-2020 tillsyn.docx", "A 63540-2020")</f>
        <v/>
      </c>
      <c r="Y273">
        <f>HYPERLINK("https://klasma.github.io/Logging_1784/tillsynsmail/A 63540-2020 tillsynsmail.docx", "A 63540-2020")</f>
        <v/>
      </c>
    </row>
    <row r="274" ht="15" customHeight="1">
      <c r="A274" t="inlineStr">
        <is>
          <t>A 65851-2020</t>
        </is>
      </c>
      <c r="B274" s="1" t="n">
        <v>44174</v>
      </c>
      <c r="C274" s="1" t="n">
        <v>45212</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 artfynd.xlsx", "A 65851-2020")</f>
        <v/>
      </c>
      <c r="T274">
        <f>HYPERLINK("https://klasma.github.io/Logging_1780/karta/A 65851-2020 karta.png", "A 65851-2020")</f>
        <v/>
      </c>
      <c r="V274">
        <f>HYPERLINK("https://klasma.github.io/Logging_1780/klagomål/A 65851-2020 klagomål.docx", "A 65851-2020")</f>
        <v/>
      </c>
      <c r="W274">
        <f>HYPERLINK("https://klasma.github.io/Logging_1780/klagomålsmail/A 65851-2020 klagomålsmail.docx", "A 65851-2020")</f>
        <v/>
      </c>
      <c r="X274">
        <f>HYPERLINK("https://klasma.github.io/Logging_1780/tillsyn/A 65851-2020 tillsyn.docx", "A 65851-2020")</f>
        <v/>
      </c>
      <c r="Y274">
        <f>HYPERLINK("https://klasma.github.io/Logging_1780/tillsynsmail/A 65851-2020 tillsynsmail.docx", "A 65851-2020")</f>
        <v/>
      </c>
    </row>
    <row r="275" ht="15" customHeight="1">
      <c r="A275" t="inlineStr">
        <is>
          <t>A 67928-2020</t>
        </is>
      </c>
      <c r="B275" s="1" t="n">
        <v>44182</v>
      </c>
      <c r="C275" s="1" t="n">
        <v>45212</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 artfynd.xlsx", "A 67928-2020")</f>
        <v/>
      </c>
      <c r="T275">
        <f>HYPERLINK("https://klasma.github.io/Logging_1780/karta/A 67928-2020 karta.png", "A 67928-2020")</f>
        <v/>
      </c>
      <c r="V275">
        <f>HYPERLINK("https://klasma.github.io/Logging_1780/klagomål/A 67928-2020 klagomål.docx", "A 67928-2020")</f>
        <v/>
      </c>
      <c r="W275">
        <f>HYPERLINK("https://klasma.github.io/Logging_1780/klagomålsmail/A 67928-2020 klagomålsmail.docx", "A 67928-2020")</f>
        <v/>
      </c>
      <c r="X275">
        <f>HYPERLINK("https://klasma.github.io/Logging_1780/tillsyn/A 67928-2020 tillsyn.docx", "A 67928-2020")</f>
        <v/>
      </c>
      <c r="Y275">
        <f>HYPERLINK("https://klasma.github.io/Logging_1780/tillsynsmail/A 67928-2020 tillsynsmail.docx", "A 67928-2020")</f>
        <v/>
      </c>
    </row>
    <row r="276" ht="15" customHeight="1">
      <c r="A276" t="inlineStr">
        <is>
          <t>A 68077-2020</t>
        </is>
      </c>
      <c r="B276" s="1" t="n">
        <v>44183</v>
      </c>
      <c r="C276" s="1" t="n">
        <v>45212</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 artfynd.xlsx", "A 68077-2020")</f>
        <v/>
      </c>
      <c r="T276">
        <f>HYPERLINK("https://klasma.github.io/Logging_1763/karta/A 68077-2020 karta.png", "A 68077-2020")</f>
        <v/>
      </c>
      <c r="V276">
        <f>HYPERLINK("https://klasma.github.io/Logging_1763/klagomål/A 68077-2020 klagomål.docx", "A 68077-2020")</f>
        <v/>
      </c>
      <c r="W276">
        <f>HYPERLINK("https://klasma.github.io/Logging_1763/klagomålsmail/A 68077-2020 klagomålsmail.docx", "A 68077-2020")</f>
        <v/>
      </c>
      <c r="X276">
        <f>HYPERLINK("https://klasma.github.io/Logging_1763/tillsyn/A 68077-2020 tillsyn.docx", "A 68077-2020")</f>
        <v/>
      </c>
      <c r="Y276">
        <f>HYPERLINK("https://klasma.github.io/Logging_1763/tillsynsmail/A 68077-2020 tillsynsmail.docx", "A 68077-2020")</f>
        <v/>
      </c>
    </row>
    <row r="277" ht="15" customHeight="1">
      <c r="A277" t="inlineStr">
        <is>
          <t>A 2194-2021</t>
        </is>
      </c>
      <c r="B277" s="1" t="n">
        <v>44211</v>
      </c>
      <c r="C277" s="1" t="n">
        <v>45212</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 artfynd.xlsx", "A 2194-2021")</f>
        <v/>
      </c>
      <c r="T277">
        <f>HYPERLINK("https://klasma.github.io/Logging_1780/karta/A 2194-2021 karta.png", "A 2194-2021")</f>
        <v/>
      </c>
      <c r="U277">
        <f>HYPERLINK("https://klasma.github.io/Logging_1780/knärot/A 2194-2021 knärot.png", "A 2194-2021")</f>
        <v/>
      </c>
      <c r="V277">
        <f>HYPERLINK("https://klasma.github.io/Logging_1780/klagomål/A 2194-2021 klagomål.docx", "A 2194-2021")</f>
        <v/>
      </c>
      <c r="W277">
        <f>HYPERLINK("https://klasma.github.io/Logging_1780/klagomålsmail/A 2194-2021 klagomålsmail.docx", "A 2194-2021")</f>
        <v/>
      </c>
      <c r="X277">
        <f>HYPERLINK("https://klasma.github.io/Logging_1780/tillsyn/A 2194-2021 tillsyn.docx", "A 2194-2021")</f>
        <v/>
      </c>
      <c r="Y277">
        <f>HYPERLINK("https://klasma.github.io/Logging_1780/tillsynsmail/A 2194-2021 tillsynsmail.docx", "A 2194-2021")</f>
        <v/>
      </c>
    </row>
    <row r="278" ht="15" customHeight="1">
      <c r="A278" t="inlineStr">
        <is>
          <t>A 3974-2021</t>
        </is>
      </c>
      <c r="B278" s="1" t="n">
        <v>44217</v>
      </c>
      <c r="C278" s="1" t="n">
        <v>45212</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 artfynd.xlsx", "A 3974-2021")</f>
        <v/>
      </c>
      <c r="T278">
        <f>HYPERLINK("https://klasma.github.io/Logging_1765/karta/A 3974-2021 karta.png", "A 3974-2021")</f>
        <v/>
      </c>
      <c r="V278">
        <f>HYPERLINK("https://klasma.github.io/Logging_1765/klagomål/A 3974-2021 klagomål.docx", "A 3974-2021")</f>
        <v/>
      </c>
      <c r="W278">
        <f>HYPERLINK("https://klasma.github.io/Logging_1765/klagomålsmail/A 3974-2021 klagomålsmail.docx", "A 3974-2021")</f>
        <v/>
      </c>
      <c r="X278">
        <f>HYPERLINK("https://klasma.github.io/Logging_1765/tillsyn/A 3974-2021 tillsyn.docx", "A 3974-2021")</f>
        <v/>
      </c>
      <c r="Y278">
        <f>HYPERLINK("https://klasma.github.io/Logging_1765/tillsynsmail/A 3974-2021 tillsynsmail.docx", "A 3974-2021")</f>
        <v/>
      </c>
    </row>
    <row r="279" ht="15" customHeight="1">
      <c r="A279" t="inlineStr">
        <is>
          <t>A 4335-2021</t>
        </is>
      </c>
      <c r="B279" s="1" t="n">
        <v>44221</v>
      </c>
      <c r="C279" s="1" t="n">
        <v>45212</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 artfynd.xlsx", "A 4335-2021")</f>
        <v/>
      </c>
      <c r="T279">
        <f>HYPERLINK("https://klasma.github.io/Logging_1785/karta/A 4335-2021 karta.png", "A 4335-2021")</f>
        <v/>
      </c>
      <c r="V279">
        <f>HYPERLINK("https://klasma.github.io/Logging_1785/klagomål/A 4335-2021 klagomål.docx", "A 4335-2021")</f>
        <v/>
      </c>
      <c r="W279">
        <f>HYPERLINK("https://klasma.github.io/Logging_1785/klagomålsmail/A 4335-2021 klagomålsmail.docx", "A 4335-2021")</f>
        <v/>
      </c>
      <c r="X279">
        <f>HYPERLINK("https://klasma.github.io/Logging_1785/tillsyn/A 4335-2021 tillsyn.docx", "A 4335-2021")</f>
        <v/>
      </c>
      <c r="Y279">
        <f>HYPERLINK("https://klasma.github.io/Logging_1785/tillsynsmail/A 4335-2021 tillsynsmail.docx", "A 4335-2021")</f>
        <v/>
      </c>
    </row>
    <row r="280" ht="15" customHeight="1">
      <c r="A280" t="inlineStr">
        <is>
          <t>A 4799-2021</t>
        </is>
      </c>
      <c r="B280" s="1" t="n">
        <v>44225</v>
      </c>
      <c r="C280" s="1" t="n">
        <v>45212</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 artfynd.xlsx", "A 4799-2021")</f>
        <v/>
      </c>
      <c r="T280">
        <f>HYPERLINK("https://klasma.github.io/Logging_1780/karta/A 4799-2021 karta.png", "A 4799-2021")</f>
        <v/>
      </c>
      <c r="V280">
        <f>HYPERLINK("https://klasma.github.io/Logging_1780/klagomål/A 4799-2021 klagomål.docx", "A 4799-2021")</f>
        <v/>
      </c>
      <c r="W280">
        <f>HYPERLINK("https://klasma.github.io/Logging_1780/klagomålsmail/A 4799-2021 klagomålsmail.docx", "A 4799-2021")</f>
        <v/>
      </c>
      <c r="X280">
        <f>HYPERLINK("https://klasma.github.io/Logging_1780/tillsyn/A 4799-2021 tillsyn.docx", "A 4799-2021")</f>
        <v/>
      </c>
      <c r="Y280">
        <f>HYPERLINK("https://klasma.github.io/Logging_1780/tillsynsmail/A 4799-2021 tillsynsmail.docx", "A 4799-2021")</f>
        <v/>
      </c>
    </row>
    <row r="281" ht="15" customHeight="1">
      <c r="A281" t="inlineStr">
        <is>
          <t>A 8048-2021</t>
        </is>
      </c>
      <c r="B281" s="1" t="n">
        <v>44243</v>
      </c>
      <c r="C281" s="1" t="n">
        <v>45212</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 artfynd.xlsx", "A 8048-2021")</f>
        <v/>
      </c>
      <c r="T281">
        <f>HYPERLINK("https://klasma.github.io/Logging_1760/karta/A 8048-2021 karta.png", "A 8048-2021")</f>
        <v/>
      </c>
      <c r="V281">
        <f>HYPERLINK("https://klasma.github.io/Logging_1760/klagomål/A 8048-2021 klagomål.docx", "A 8048-2021")</f>
        <v/>
      </c>
      <c r="W281">
        <f>HYPERLINK("https://klasma.github.io/Logging_1760/klagomålsmail/A 8048-2021 klagomålsmail.docx", "A 8048-2021")</f>
        <v/>
      </c>
      <c r="X281">
        <f>HYPERLINK("https://klasma.github.io/Logging_1760/tillsyn/A 8048-2021 tillsyn.docx", "A 8048-2021")</f>
        <v/>
      </c>
      <c r="Y281">
        <f>HYPERLINK("https://klasma.github.io/Logging_1760/tillsynsmail/A 8048-2021 tillsynsmail.docx", "A 8048-2021")</f>
        <v/>
      </c>
    </row>
    <row r="282" ht="15" customHeight="1">
      <c r="A282" t="inlineStr">
        <is>
          <t>A 8747-2021</t>
        </is>
      </c>
      <c r="B282" s="1" t="n">
        <v>44246</v>
      </c>
      <c r="C282" s="1" t="n">
        <v>45212</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 artfynd.xlsx", "A 8747-2021")</f>
        <v/>
      </c>
      <c r="T282">
        <f>HYPERLINK("https://klasma.github.io/Logging_1737/karta/A 8747-2021 karta.png", "A 8747-2021")</f>
        <v/>
      </c>
      <c r="V282">
        <f>HYPERLINK("https://klasma.github.io/Logging_1737/klagomål/A 8747-2021 klagomål.docx", "A 8747-2021")</f>
        <v/>
      </c>
      <c r="W282">
        <f>HYPERLINK("https://klasma.github.io/Logging_1737/klagomålsmail/A 8747-2021 klagomålsmail.docx", "A 8747-2021")</f>
        <v/>
      </c>
      <c r="X282">
        <f>HYPERLINK("https://klasma.github.io/Logging_1737/tillsyn/A 8747-2021 tillsyn.docx", "A 8747-2021")</f>
        <v/>
      </c>
      <c r="Y282">
        <f>HYPERLINK("https://klasma.github.io/Logging_1737/tillsynsmail/A 8747-2021 tillsynsmail.docx", "A 8747-2021")</f>
        <v/>
      </c>
    </row>
    <row r="283" ht="15" customHeight="1">
      <c r="A283" t="inlineStr">
        <is>
          <t>A 9558-2021</t>
        </is>
      </c>
      <c r="B283" s="1" t="n">
        <v>44251</v>
      </c>
      <c r="C283" s="1" t="n">
        <v>45212</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 artfynd.xlsx", "A 9558-2021")</f>
        <v/>
      </c>
      <c r="T283">
        <f>HYPERLINK("https://klasma.github.io/Logging_1715/karta/A 9558-2021 karta.png", "A 9558-2021")</f>
        <v/>
      </c>
      <c r="V283">
        <f>HYPERLINK("https://klasma.github.io/Logging_1715/klagomål/A 9558-2021 klagomål.docx", "A 9558-2021")</f>
        <v/>
      </c>
      <c r="W283">
        <f>HYPERLINK("https://klasma.github.io/Logging_1715/klagomålsmail/A 9558-2021 klagomålsmail.docx", "A 9558-2021")</f>
        <v/>
      </c>
      <c r="X283">
        <f>HYPERLINK("https://klasma.github.io/Logging_1715/tillsyn/A 9558-2021 tillsyn.docx", "A 9558-2021")</f>
        <v/>
      </c>
      <c r="Y283">
        <f>HYPERLINK("https://klasma.github.io/Logging_1715/tillsynsmail/A 9558-2021 tillsynsmail.docx", "A 9558-2021")</f>
        <v/>
      </c>
    </row>
    <row r="284" ht="15" customHeight="1">
      <c r="A284" t="inlineStr">
        <is>
          <t>A 15418-2021</t>
        </is>
      </c>
      <c r="B284" s="1" t="n">
        <v>44285</v>
      </c>
      <c r="C284" s="1" t="n">
        <v>45212</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 artfynd.xlsx", "A 15418-2021")</f>
        <v/>
      </c>
      <c r="T284">
        <f>HYPERLINK("https://klasma.github.io/Logging_1765/karta/A 15418-2021 karta.png", "A 15418-2021")</f>
        <v/>
      </c>
      <c r="V284">
        <f>HYPERLINK("https://klasma.github.io/Logging_1765/klagomål/A 15418-2021 klagomål.docx", "A 15418-2021")</f>
        <v/>
      </c>
      <c r="W284">
        <f>HYPERLINK("https://klasma.github.io/Logging_1765/klagomålsmail/A 15418-2021 klagomålsmail.docx", "A 15418-2021")</f>
        <v/>
      </c>
      <c r="X284">
        <f>HYPERLINK("https://klasma.github.io/Logging_1765/tillsyn/A 15418-2021 tillsyn.docx", "A 15418-2021")</f>
        <v/>
      </c>
      <c r="Y284">
        <f>HYPERLINK("https://klasma.github.io/Logging_1765/tillsynsmail/A 15418-2021 tillsynsmail.docx", "A 15418-2021")</f>
        <v/>
      </c>
    </row>
    <row r="285" ht="15" customHeight="1">
      <c r="A285" t="inlineStr">
        <is>
          <t>A 21073-2021</t>
        </is>
      </c>
      <c r="B285" s="1" t="n">
        <v>44319</v>
      </c>
      <c r="C285" s="1" t="n">
        <v>45212</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 artfynd.xlsx", "A 21073-2021")</f>
        <v/>
      </c>
      <c r="T285">
        <f>HYPERLINK("https://klasma.github.io/Logging_1760/karta/A 21073-2021 karta.png", "A 21073-2021")</f>
        <v/>
      </c>
      <c r="V285">
        <f>HYPERLINK("https://klasma.github.io/Logging_1760/klagomål/A 21073-2021 klagomål.docx", "A 21073-2021")</f>
        <v/>
      </c>
      <c r="W285">
        <f>HYPERLINK("https://klasma.github.io/Logging_1760/klagomålsmail/A 21073-2021 klagomålsmail.docx", "A 21073-2021")</f>
        <v/>
      </c>
      <c r="X285">
        <f>HYPERLINK("https://klasma.github.io/Logging_1760/tillsyn/A 21073-2021 tillsyn.docx", "A 21073-2021")</f>
        <v/>
      </c>
      <c r="Y285">
        <f>HYPERLINK("https://klasma.github.io/Logging_1760/tillsynsmail/A 21073-2021 tillsynsmail.docx", "A 21073-2021")</f>
        <v/>
      </c>
    </row>
    <row r="286" ht="15" customHeight="1">
      <c r="A286" t="inlineStr">
        <is>
          <t>A 24042-2021</t>
        </is>
      </c>
      <c r="B286" s="1" t="n">
        <v>44336</v>
      </c>
      <c r="C286" s="1" t="n">
        <v>45212</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 artfynd.xlsx", "A 24042-2021")</f>
        <v/>
      </c>
      <c r="T286">
        <f>HYPERLINK("https://klasma.github.io/Logging_1737/karta/A 24042-2021 karta.png", "A 24042-2021")</f>
        <v/>
      </c>
      <c r="V286">
        <f>HYPERLINK("https://klasma.github.io/Logging_1737/klagomål/A 24042-2021 klagomål.docx", "A 24042-2021")</f>
        <v/>
      </c>
      <c r="W286">
        <f>HYPERLINK("https://klasma.github.io/Logging_1737/klagomålsmail/A 24042-2021 klagomålsmail.docx", "A 24042-2021")</f>
        <v/>
      </c>
      <c r="X286">
        <f>HYPERLINK("https://klasma.github.io/Logging_1737/tillsyn/A 24042-2021 tillsyn.docx", "A 24042-2021")</f>
        <v/>
      </c>
      <c r="Y286">
        <f>HYPERLINK("https://klasma.github.io/Logging_1737/tillsynsmail/A 24042-2021 tillsynsmail.docx", "A 24042-2021")</f>
        <v/>
      </c>
    </row>
    <row r="287" ht="15" customHeight="1">
      <c r="A287" t="inlineStr">
        <is>
          <t>A 24660-2021</t>
        </is>
      </c>
      <c r="B287" s="1" t="n">
        <v>44340</v>
      </c>
      <c r="C287" s="1" t="n">
        <v>45212</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 artfynd.xlsx", "A 24660-2021")</f>
        <v/>
      </c>
      <c r="T287">
        <f>HYPERLINK("https://klasma.github.io/Logging_1785/karta/A 24660-2021 karta.png", "A 24660-2021")</f>
        <v/>
      </c>
      <c r="V287">
        <f>HYPERLINK("https://klasma.github.io/Logging_1785/klagomål/A 24660-2021 klagomål.docx", "A 24660-2021")</f>
        <v/>
      </c>
      <c r="W287">
        <f>HYPERLINK("https://klasma.github.io/Logging_1785/klagomålsmail/A 24660-2021 klagomålsmail.docx", "A 24660-2021")</f>
        <v/>
      </c>
      <c r="X287">
        <f>HYPERLINK("https://klasma.github.io/Logging_1785/tillsyn/A 24660-2021 tillsyn.docx", "A 24660-2021")</f>
        <v/>
      </c>
      <c r="Y287">
        <f>HYPERLINK("https://klasma.github.io/Logging_1785/tillsynsmail/A 24660-2021 tillsynsmail.docx", "A 24660-2021")</f>
        <v/>
      </c>
    </row>
    <row r="288" ht="15" customHeight="1">
      <c r="A288" t="inlineStr">
        <is>
          <t>A 28445-2021</t>
        </is>
      </c>
      <c r="B288" s="1" t="n">
        <v>44356</v>
      </c>
      <c r="C288" s="1" t="n">
        <v>45212</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 artfynd.xlsx", "A 28445-2021")</f>
        <v/>
      </c>
      <c r="T288">
        <f>HYPERLINK("https://klasma.github.io/Logging_1766/karta/A 28445-2021 karta.png", "A 28445-2021")</f>
        <v/>
      </c>
      <c r="V288">
        <f>HYPERLINK("https://klasma.github.io/Logging_1766/klagomål/A 28445-2021 klagomål.docx", "A 28445-2021")</f>
        <v/>
      </c>
      <c r="W288">
        <f>HYPERLINK("https://klasma.github.io/Logging_1766/klagomålsmail/A 28445-2021 klagomålsmail.docx", "A 28445-2021")</f>
        <v/>
      </c>
      <c r="X288">
        <f>HYPERLINK("https://klasma.github.io/Logging_1766/tillsyn/A 28445-2021 tillsyn.docx", "A 28445-2021")</f>
        <v/>
      </c>
      <c r="Y288">
        <f>HYPERLINK("https://klasma.github.io/Logging_1766/tillsynsmail/A 28445-2021 tillsynsmail.docx", "A 28445-2021")</f>
        <v/>
      </c>
    </row>
    <row r="289" ht="15" customHeight="1">
      <c r="A289" t="inlineStr">
        <is>
          <t>A 28418-2021</t>
        </is>
      </c>
      <c r="B289" s="1" t="n">
        <v>44356</v>
      </c>
      <c r="C289" s="1" t="n">
        <v>45212</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HYPERLINK("https://klasma.github.io/Logging_1765/karta/A 28418-2021 karta.png", "A 28418-2021")</f>
        <v/>
      </c>
      <c r="V289">
        <f>HYPERLINK("https://klasma.github.io/Logging_1765/klagomål/A 28418-2021 klagomål.docx", "A 28418-2021")</f>
        <v/>
      </c>
      <c r="W289">
        <f>HYPERLINK("https://klasma.github.io/Logging_1765/klagomålsmail/A 28418-2021 klagomålsmail.docx", "A 28418-2021")</f>
        <v/>
      </c>
      <c r="X289">
        <f>HYPERLINK("https://klasma.github.io/Logging_1765/tillsyn/A 28418-2021 tillsyn.docx", "A 28418-2021")</f>
        <v/>
      </c>
      <c r="Y289">
        <f>HYPERLINK("https://klasma.github.io/Logging_1765/tillsynsmail/A 28418-2021 tillsynsmail.docx", "A 28418-2021")</f>
        <v/>
      </c>
    </row>
    <row r="290" ht="15" customHeight="1">
      <c r="A290" t="inlineStr">
        <is>
          <t>A 34188-2021</t>
        </is>
      </c>
      <c r="B290" s="1" t="n">
        <v>44379</v>
      </c>
      <c r="C290" s="1" t="n">
        <v>45212</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 artfynd.xlsx", "A 34188-2021")</f>
        <v/>
      </c>
      <c r="T290">
        <f>HYPERLINK("https://klasma.github.io/Logging_1765/karta/A 34188-2021 karta.png", "A 34188-2021")</f>
        <v/>
      </c>
      <c r="V290">
        <f>HYPERLINK("https://klasma.github.io/Logging_1765/klagomål/A 34188-2021 klagomål.docx", "A 34188-2021")</f>
        <v/>
      </c>
      <c r="W290">
        <f>HYPERLINK("https://klasma.github.io/Logging_1765/klagomålsmail/A 34188-2021 klagomålsmail.docx", "A 34188-2021")</f>
        <v/>
      </c>
      <c r="X290">
        <f>HYPERLINK("https://klasma.github.io/Logging_1765/tillsyn/A 34188-2021 tillsyn.docx", "A 34188-2021")</f>
        <v/>
      </c>
      <c r="Y290">
        <f>HYPERLINK("https://klasma.github.io/Logging_1765/tillsynsmail/A 34188-2021 tillsynsmail.docx", "A 34188-2021")</f>
        <v/>
      </c>
    </row>
    <row r="291" ht="15" customHeight="1">
      <c r="A291" t="inlineStr">
        <is>
          <t>A 34853-2021</t>
        </is>
      </c>
      <c r="B291" s="1" t="n">
        <v>44383</v>
      </c>
      <c r="C291" s="1" t="n">
        <v>45212</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HYPERLINK("https://klasma.github.io/Logging_1737/karta/A 34853-2021 karta.png", "A 34853-2021")</f>
        <v/>
      </c>
      <c r="V291">
        <f>HYPERLINK("https://klasma.github.io/Logging_1737/klagomål/A 34853-2021 klagomål.docx", "A 34853-2021")</f>
        <v/>
      </c>
      <c r="W291">
        <f>HYPERLINK("https://klasma.github.io/Logging_1737/klagomålsmail/A 34853-2021 klagomålsmail.docx", "A 34853-2021")</f>
        <v/>
      </c>
      <c r="X291">
        <f>HYPERLINK("https://klasma.github.io/Logging_1737/tillsyn/A 34853-2021 tillsyn.docx", "A 34853-2021")</f>
        <v/>
      </c>
      <c r="Y291">
        <f>HYPERLINK("https://klasma.github.io/Logging_1737/tillsynsmail/A 34853-2021 tillsynsmail.docx", "A 34853-2021")</f>
        <v/>
      </c>
    </row>
    <row r="292" ht="15" customHeight="1">
      <c r="A292" t="inlineStr">
        <is>
          <t>A 34876-2021</t>
        </is>
      </c>
      <c r="B292" s="1" t="n">
        <v>44383</v>
      </c>
      <c r="C292" s="1" t="n">
        <v>45212</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 artfynd.xlsx", "A 34876-2021")</f>
        <v/>
      </c>
      <c r="T292">
        <f>HYPERLINK("https://klasma.github.io/Logging_1737/karta/A 34876-2021 karta.png", "A 34876-2021")</f>
        <v/>
      </c>
      <c r="V292">
        <f>HYPERLINK("https://klasma.github.io/Logging_1737/klagomål/A 34876-2021 klagomål.docx", "A 34876-2021")</f>
        <v/>
      </c>
      <c r="W292">
        <f>HYPERLINK("https://klasma.github.io/Logging_1737/klagomålsmail/A 34876-2021 klagomålsmail.docx", "A 34876-2021")</f>
        <v/>
      </c>
      <c r="X292">
        <f>HYPERLINK("https://klasma.github.io/Logging_1737/tillsyn/A 34876-2021 tillsyn.docx", "A 34876-2021")</f>
        <v/>
      </c>
      <c r="Y292">
        <f>HYPERLINK("https://klasma.github.io/Logging_1737/tillsynsmail/A 34876-2021 tillsynsmail.docx", "A 34876-2021")</f>
        <v/>
      </c>
    </row>
    <row r="293" ht="15" customHeight="1">
      <c r="A293" t="inlineStr">
        <is>
          <t>A 37342-2021</t>
        </is>
      </c>
      <c r="B293" s="1" t="n">
        <v>44397</v>
      </c>
      <c r="C293" s="1" t="n">
        <v>45212</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 artfynd.xlsx", "A 37342-2021")</f>
        <v/>
      </c>
      <c r="T293">
        <f>HYPERLINK("https://klasma.github.io/Logging_1784/karta/A 37342-2021 karta.png", "A 37342-2021")</f>
        <v/>
      </c>
      <c r="U293">
        <f>HYPERLINK("https://klasma.github.io/Logging_1784/knärot/A 37342-2021 knärot.png", "A 37342-2021")</f>
        <v/>
      </c>
      <c r="V293">
        <f>HYPERLINK("https://klasma.github.io/Logging_1784/klagomål/A 37342-2021 klagomål.docx", "A 37342-2021")</f>
        <v/>
      </c>
      <c r="W293">
        <f>HYPERLINK("https://klasma.github.io/Logging_1784/klagomålsmail/A 37342-2021 klagomålsmail.docx", "A 37342-2021")</f>
        <v/>
      </c>
      <c r="X293">
        <f>HYPERLINK("https://klasma.github.io/Logging_1784/tillsyn/A 37342-2021 tillsyn.docx", "A 37342-2021")</f>
        <v/>
      </c>
      <c r="Y293">
        <f>HYPERLINK("https://klasma.github.io/Logging_1784/tillsynsmail/A 37342-2021 tillsynsmail.docx", "A 37342-2021")</f>
        <v/>
      </c>
    </row>
    <row r="294" ht="15" customHeight="1">
      <c r="A294" t="inlineStr">
        <is>
          <t>A 40265-2021</t>
        </is>
      </c>
      <c r="B294" s="1" t="n">
        <v>44419</v>
      </c>
      <c r="C294" s="1" t="n">
        <v>45212</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 artfynd.xlsx", "A 40265-2021")</f>
        <v/>
      </c>
      <c r="T294">
        <f>HYPERLINK("https://klasma.github.io/Logging_1737/karta/A 40265-2021 karta.png", "A 40265-2021")</f>
        <v/>
      </c>
      <c r="V294">
        <f>HYPERLINK("https://klasma.github.io/Logging_1737/klagomål/A 40265-2021 klagomål.docx", "A 40265-2021")</f>
        <v/>
      </c>
      <c r="W294">
        <f>HYPERLINK("https://klasma.github.io/Logging_1737/klagomålsmail/A 40265-2021 klagomålsmail.docx", "A 40265-2021")</f>
        <v/>
      </c>
      <c r="X294">
        <f>HYPERLINK("https://klasma.github.io/Logging_1737/tillsyn/A 40265-2021 tillsyn.docx", "A 40265-2021")</f>
        <v/>
      </c>
      <c r="Y294">
        <f>HYPERLINK("https://klasma.github.io/Logging_1737/tillsynsmail/A 40265-2021 tillsynsmail.docx", "A 40265-2021")</f>
        <v/>
      </c>
    </row>
    <row r="295" ht="15" customHeight="1">
      <c r="A295" t="inlineStr">
        <is>
          <t>A 42209-2021</t>
        </is>
      </c>
      <c r="B295" s="1" t="n">
        <v>44426</v>
      </c>
      <c r="C295" s="1" t="n">
        <v>45212</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 artfynd.xlsx", "A 42209-2021")</f>
        <v/>
      </c>
      <c r="T295">
        <f>HYPERLINK("https://klasma.github.io/Logging_1715/karta/A 42209-2021 karta.png", "A 42209-2021")</f>
        <v/>
      </c>
      <c r="V295">
        <f>HYPERLINK("https://klasma.github.io/Logging_1715/klagomål/A 42209-2021 klagomål.docx", "A 42209-2021")</f>
        <v/>
      </c>
      <c r="W295">
        <f>HYPERLINK("https://klasma.github.io/Logging_1715/klagomålsmail/A 42209-2021 klagomålsmail.docx", "A 42209-2021")</f>
        <v/>
      </c>
      <c r="X295">
        <f>HYPERLINK("https://klasma.github.io/Logging_1715/tillsyn/A 42209-2021 tillsyn.docx", "A 42209-2021")</f>
        <v/>
      </c>
      <c r="Y295">
        <f>HYPERLINK("https://klasma.github.io/Logging_1715/tillsynsmail/A 42209-2021 tillsynsmail.docx", "A 42209-2021")</f>
        <v/>
      </c>
    </row>
    <row r="296" ht="15" customHeight="1">
      <c r="A296" t="inlineStr">
        <is>
          <t>A 45073-2021</t>
        </is>
      </c>
      <c r="B296" s="1" t="n">
        <v>44438</v>
      </c>
      <c r="C296" s="1" t="n">
        <v>45212</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 artfynd.xlsx", "A 45073-2021")</f>
        <v/>
      </c>
      <c r="T296">
        <f>HYPERLINK("https://klasma.github.io/Logging_1783/karta/A 45073-2021 karta.png", "A 45073-2021")</f>
        <v/>
      </c>
      <c r="V296">
        <f>HYPERLINK("https://klasma.github.io/Logging_1783/klagomål/A 45073-2021 klagomål.docx", "A 45073-2021")</f>
        <v/>
      </c>
      <c r="W296">
        <f>HYPERLINK("https://klasma.github.io/Logging_1783/klagomålsmail/A 45073-2021 klagomålsmail.docx", "A 45073-2021")</f>
        <v/>
      </c>
      <c r="X296">
        <f>HYPERLINK("https://klasma.github.io/Logging_1783/tillsyn/A 45073-2021 tillsyn.docx", "A 45073-2021")</f>
        <v/>
      </c>
      <c r="Y296">
        <f>HYPERLINK("https://klasma.github.io/Logging_1783/tillsynsmail/A 45073-2021 tillsynsmail.docx", "A 45073-2021")</f>
        <v/>
      </c>
    </row>
    <row r="297" ht="15" customHeight="1">
      <c r="A297" t="inlineStr">
        <is>
          <t>A 47134-2021</t>
        </is>
      </c>
      <c r="B297" s="1" t="n">
        <v>44446</v>
      </c>
      <c r="C297" s="1" t="n">
        <v>45212</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 artfynd.xlsx", "A 47134-2021")</f>
        <v/>
      </c>
      <c r="T297">
        <f>HYPERLINK("https://klasma.github.io/Logging_1780/karta/A 47134-2021 karta.png", "A 47134-2021")</f>
        <v/>
      </c>
      <c r="V297">
        <f>HYPERLINK("https://klasma.github.io/Logging_1780/klagomål/A 47134-2021 klagomål.docx", "A 47134-2021")</f>
        <v/>
      </c>
      <c r="W297">
        <f>HYPERLINK("https://klasma.github.io/Logging_1780/klagomålsmail/A 47134-2021 klagomålsmail.docx", "A 47134-2021")</f>
        <v/>
      </c>
      <c r="X297">
        <f>HYPERLINK("https://klasma.github.io/Logging_1780/tillsyn/A 47134-2021 tillsyn.docx", "A 47134-2021")</f>
        <v/>
      </c>
      <c r="Y297">
        <f>HYPERLINK("https://klasma.github.io/Logging_1780/tillsynsmail/A 47134-2021 tillsynsmail.docx", "A 47134-2021")</f>
        <v/>
      </c>
    </row>
    <row r="298" ht="15" customHeight="1">
      <c r="A298" t="inlineStr">
        <is>
          <t>A 46893-2021</t>
        </is>
      </c>
      <c r="B298" s="1" t="n">
        <v>44446</v>
      </c>
      <c r="C298" s="1" t="n">
        <v>45212</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 artfynd.xlsx", "A 46893-2021")</f>
        <v/>
      </c>
      <c r="T298">
        <f>HYPERLINK("https://klasma.github.io/Logging_1785/karta/A 46893-2021 karta.png", "A 46893-2021")</f>
        <v/>
      </c>
      <c r="V298">
        <f>HYPERLINK("https://klasma.github.io/Logging_1785/klagomål/A 46893-2021 klagomål.docx", "A 46893-2021")</f>
        <v/>
      </c>
      <c r="W298">
        <f>HYPERLINK("https://klasma.github.io/Logging_1785/klagomålsmail/A 46893-2021 klagomålsmail.docx", "A 46893-2021")</f>
        <v/>
      </c>
      <c r="X298">
        <f>HYPERLINK("https://klasma.github.io/Logging_1785/tillsyn/A 46893-2021 tillsyn.docx", "A 46893-2021")</f>
        <v/>
      </c>
      <c r="Y298">
        <f>HYPERLINK("https://klasma.github.io/Logging_1785/tillsynsmail/A 46893-2021 tillsynsmail.docx", "A 46893-2021")</f>
        <v/>
      </c>
    </row>
    <row r="299" ht="15" customHeight="1">
      <c r="A299" t="inlineStr">
        <is>
          <t>A 48327-2021</t>
        </is>
      </c>
      <c r="B299" s="1" t="n">
        <v>44450</v>
      </c>
      <c r="C299" s="1" t="n">
        <v>45212</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 artfynd.xlsx", "A 48327-2021")</f>
        <v/>
      </c>
      <c r="T299">
        <f>HYPERLINK("https://klasma.github.io/Logging_1785/karta/A 48327-2021 karta.png", "A 48327-2021")</f>
        <v/>
      </c>
      <c r="V299">
        <f>HYPERLINK("https://klasma.github.io/Logging_1785/klagomål/A 48327-2021 klagomål.docx", "A 48327-2021")</f>
        <v/>
      </c>
      <c r="W299">
        <f>HYPERLINK("https://klasma.github.io/Logging_1785/klagomålsmail/A 48327-2021 klagomålsmail.docx", "A 48327-2021")</f>
        <v/>
      </c>
      <c r="X299">
        <f>HYPERLINK("https://klasma.github.io/Logging_1785/tillsyn/A 48327-2021 tillsyn.docx", "A 48327-2021")</f>
        <v/>
      </c>
      <c r="Y299">
        <f>HYPERLINK("https://klasma.github.io/Logging_1785/tillsynsmail/A 48327-2021 tillsynsmail.docx", "A 48327-2021")</f>
        <v/>
      </c>
    </row>
    <row r="300" ht="15" customHeight="1">
      <c r="A300" t="inlineStr">
        <is>
          <t>A 48420-2021</t>
        </is>
      </c>
      <c r="B300" s="1" t="n">
        <v>44452</v>
      </c>
      <c r="C300" s="1" t="n">
        <v>45212</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 artfynd.xlsx", "A 48420-2021")</f>
        <v/>
      </c>
      <c r="T300">
        <f>HYPERLINK("https://klasma.github.io/Logging_1730/karta/A 48420-2021 karta.png", "A 48420-2021")</f>
        <v/>
      </c>
      <c r="V300">
        <f>HYPERLINK("https://klasma.github.io/Logging_1730/klagomål/A 48420-2021 klagomål.docx", "A 48420-2021")</f>
        <v/>
      </c>
      <c r="W300">
        <f>HYPERLINK("https://klasma.github.io/Logging_1730/klagomålsmail/A 48420-2021 klagomålsmail.docx", "A 48420-2021")</f>
        <v/>
      </c>
      <c r="X300">
        <f>HYPERLINK("https://klasma.github.io/Logging_1730/tillsyn/A 48420-2021 tillsyn.docx", "A 48420-2021")</f>
        <v/>
      </c>
      <c r="Y300">
        <f>HYPERLINK("https://klasma.github.io/Logging_1730/tillsynsmail/A 48420-2021 tillsynsmail.docx", "A 48420-2021")</f>
        <v/>
      </c>
    </row>
    <row r="301" ht="15" customHeight="1">
      <c r="A301" t="inlineStr">
        <is>
          <t>A 49110-2021</t>
        </is>
      </c>
      <c r="B301" s="1" t="n">
        <v>44453</v>
      </c>
      <c r="C301" s="1" t="n">
        <v>45212</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 artfynd.xlsx", "A 49110-2021")</f>
        <v/>
      </c>
      <c r="T301">
        <f>HYPERLINK("https://klasma.github.io/Logging_1737/karta/A 49110-2021 karta.png", "A 49110-2021")</f>
        <v/>
      </c>
      <c r="V301">
        <f>HYPERLINK("https://klasma.github.io/Logging_1737/klagomål/A 49110-2021 klagomål.docx", "A 49110-2021")</f>
        <v/>
      </c>
      <c r="W301">
        <f>HYPERLINK("https://klasma.github.io/Logging_1737/klagomålsmail/A 49110-2021 klagomålsmail.docx", "A 49110-2021")</f>
        <v/>
      </c>
      <c r="X301">
        <f>HYPERLINK("https://klasma.github.io/Logging_1737/tillsyn/A 49110-2021 tillsyn.docx", "A 49110-2021")</f>
        <v/>
      </c>
      <c r="Y301">
        <f>HYPERLINK("https://klasma.github.io/Logging_1737/tillsynsmail/A 49110-2021 tillsynsmail.docx", "A 49110-2021")</f>
        <v/>
      </c>
    </row>
    <row r="302" ht="15" customHeight="1">
      <c r="A302" t="inlineStr">
        <is>
          <t>A 54982-2021</t>
        </is>
      </c>
      <c r="B302" s="1" t="n">
        <v>44469</v>
      </c>
      <c r="C302" s="1" t="n">
        <v>45212</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 artfynd.xlsx", "A 54982-2021")</f>
        <v/>
      </c>
      <c r="T302">
        <f>HYPERLINK("https://klasma.github.io/Logging_1737/karta/A 54982-2021 karta.png", "A 54982-2021")</f>
        <v/>
      </c>
      <c r="V302">
        <f>HYPERLINK("https://klasma.github.io/Logging_1737/klagomål/A 54982-2021 klagomål.docx", "A 54982-2021")</f>
        <v/>
      </c>
      <c r="W302">
        <f>HYPERLINK("https://klasma.github.io/Logging_1737/klagomålsmail/A 54982-2021 klagomålsmail.docx", "A 54982-2021")</f>
        <v/>
      </c>
      <c r="X302">
        <f>HYPERLINK("https://klasma.github.io/Logging_1737/tillsyn/A 54982-2021 tillsyn.docx", "A 54982-2021")</f>
        <v/>
      </c>
      <c r="Y302">
        <f>HYPERLINK("https://klasma.github.io/Logging_1737/tillsynsmail/A 54982-2021 tillsynsmail.docx", "A 54982-2021")</f>
        <v/>
      </c>
    </row>
    <row r="303" ht="15" customHeight="1">
      <c r="A303" t="inlineStr">
        <is>
          <t>A 55264-2021</t>
        </is>
      </c>
      <c r="B303" s="1" t="n">
        <v>44475</v>
      </c>
      <c r="C303" s="1" t="n">
        <v>45212</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 artfynd.xlsx", "A 55264-2021")</f>
        <v/>
      </c>
      <c r="T303">
        <f>HYPERLINK("https://klasma.github.io/Logging_1780/karta/A 55264-2021 karta.png", "A 55264-2021")</f>
        <v/>
      </c>
      <c r="V303">
        <f>HYPERLINK("https://klasma.github.io/Logging_1780/klagomål/A 55264-2021 klagomål.docx", "A 55264-2021")</f>
        <v/>
      </c>
      <c r="W303">
        <f>HYPERLINK("https://klasma.github.io/Logging_1780/klagomålsmail/A 55264-2021 klagomålsmail.docx", "A 55264-2021")</f>
        <v/>
      </c>
      <c r="X303">
        <f>HYPERLINK("https://klasma.github.io/Logging_1780/tillsyn/A 55264-2021 tillsyn.docx", "A 55264-2021")</f>
        <v/>
      </c>
      <c r="Y303">
        <f>HYPERLINK("https://klasma.github.io/Logging_1780/tillsynsmail/A 55264-2021 tillsynsmail.docx", "A 55264-2021")</f>
        <v/>
      </c>
    </row>
    <row r="304" ht="15" customHeight="1">
      <c r="A304" t="inlineStr">
        <is>
          <t>A 55210-2021</t>
        </is>
      </c>
      <c r="B304" s="1" t="n">
        <v>44475</v>
      </c>
      <c r="C304" s="1" t="n">
        <v>45212</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 artfynd.xlsx", "A 55210-2021")</f>
        <v/>
      </c>
      <c r="T304">
        <f>HYPERLINK("https://klasma.github.io/Logging_1780/karta/A 55210-2021 karta.png", "A 55210-2021")</f>
        <v/>
      </c>
      <c r="V304">
        <f>HYPERLINK("https://klasma.github.io/Logging_1780/klagomål/A 55210-2021 klagomål.docx", "A 55210-2021")</f>
        <v/>
      </c>
      <c r="W304">
        <f>HYPERLINK("https://klasma.github.io/Logging_1780/klagomålsmail/A 55210-2021 klagomålsmail.docx", "A 55210-2021")</f>
        <v/>
      </c>
      <c r="X304">
        <f>HYPERLINK("https://klasma.github.io/Logging_1780/tillsyn/A 55210-2021 tillsyn.docx", "A 55210-2021")</f>
        <v/>
      </c>
      <c r="Y304">
        <f>HYPERLINK("https://klasma.github.io/Logging_1780/tillsynsmail/A 55210-2021 tillsynsmail.docx", "A 55210-2021")</f>
        <v/>
      </c>
    </row>
    <row r="305" ht="15" customHeight="1">
      <c r="A305" t="inlineStr">
        <is>
          <t>A 56872-2021</t>
        </is>
      </c>
      <c r="B305" s="1" t="n">
        <v>44481</v>
      </c>
      <c r="C305" s="1" t="n">
        <v>45212</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 artfynd.xlsx", "A 56872-2021")</f>
        <v/>
      </c>
      <c r="T305">
        <f>HYPERLINK("https://klasma.github.io/Logging_1784/karta/A 56872-2021 karta.png", "A 56872-2021")</f>
        <v/>
      </c>
      <c r="U305">
        <f>HYPERLINK("https://klasma.github.io/Logging_1784/knärot/A 56872-2021 knärot.png", "A 56872-2021")</f>
        <v/>
      </c>
      <c r="V305">
        <f>HYPERLINK("https://klasma.github.io/Logging_1784/klagomål/A 56872-2021 klagomål.docx", "A 56872-2021")</f>
        <v/>
      </c>
      <c r="W305">
        <f>HYPERLINK("https://klasma.github.io/Logging_1784/klagomålsmail/A 56872-2021 klagomålsmail.docx", "A 56872-2021")</f>
        <v/>
      </c>
      <c r="X305">
        <f>HYPERLINK("https://klasma.github.io/Logging_1784/tillsyn/A 56872-2021 tillsyn.docx", "A 56872-2021")</f>
        <v/>
      </c>
      <c r="Y305">
        <f>HYPERLINK("https://klasma.github.io/Logging_1784/tillsynsmail/A 56872-2021 tillsynsmail.docx", "A 56872-2021")</f>
        <v/>
      </c>
    </row>
    <row r="306" ht="15" customHeight="1">
      <c r="A306" t="inlineStr">
        <is>
          <t>A 58471-2021</t>
        </is>
      </c>
      <c r="B306" s="1" t="n">
        <v>44488</v>
      </c>
      <c r="C306" s="1" t="n">
        <v>45212</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 artfynd.xlsx", "A 58471-2021")</f>
        <v/>
      </c>
      <c r="T306">
        <f>HYPERLINK("https://klasma.github.io/Logging_1737/karta/A 58471-2021 karta.png", "A 58471-2021")</f>
        <v/>
      </c>
      <c r="V306">
        <f>HYPERLINK("https://klasma.github.io/Logging_1737/klagomål/A 58471-2021 klagomål.docx", "A 58471-2021")</f>
        <v/>
      </c>
      <c r="W306">
        <f>HYPERLINK("https://klasma.github.io/Logging_1737/klagomålsmail/A 58471-2021 klagomålsmail.docx", "A 58471-2021")</f>
        <v/>
      </c>
      <c r="X306">
        <f>HYPERLINK("https://klasma.github.io/Logging_1737/tillsyn/A 58471-2021 tillsyn.docx", "A 58471-2021")</f>
        <v/>
      </c>
      <c r="Y306">
        <f>HYPERLINK("https://klasma.github.io/Logging_1737/tillsynsmail/A 58471-2021 tillsynsmail.docx", "A 58471-2021")</f>
        <v/>
      </c>
    </row>
    <row r="307" ht="15" customHeight="1">
      <c r="A307" t="inlineStr">
        <is>
          <t>A 61813-2021</t>
        </is>
      </c>
      <c r="B307" s="1" t="n">
        <v>44501</v>
      </c>
      <c r="C307" s="1" t="n">
        <v>45212</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 artfynd.xlsx", "A 61813-2021")</f>
        <v/>
      </c>
      <c r="T307">
        <f>HYPERLINK("https://klasma.github.io/Logging_1737/karta/A 61813-2021 karta.png", "A 61813-2021")</f>
        <v/>
      </c>
      <c r="V307">
        <f>HYPERLINK("https://klasma.github.io/Logging_1737/klagomål/A 61813-2021 klagomål.docx", "A 61813-2021")</f>
        <v/>
      </c>
      <c r="W307">
        <f>HYPERLINK("https://klasma.github.io/Logging_1737/klagomålsmail/A 61813-2021 klagomålsmail.docx", "A 61813-2021")</f>
        <v/>
      </c>
      <c r="X307">
        <f>HYPERLINK("https://klasma.github.io/Logging_1737/tillsyn/A 61813-2021 tillsyn.docx", "A 61813-2021")</f>
        <v/>
      </c>
      <c r="Y307">
        <f>HYPERLINK("https://klasma.github.io/Logging_1737/tillsynsmail/A 61813-2021 tillsynsmail.docx", "A 61813-2021")</f>
        <v/>
      </c>
    </row>
    <row r="308" ht="15" customHeight="1">
      <c r="A308" t="inlineStr">
        <is>
          <t>A 62572-2021</t>
        </is>
      </c>
      <c r="B308" s="1" t="n">
        <v>44503</v>
      </c>
      <c r="C308" s="1" t="n">
        <v>45212</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 artfynd.xlsx", "A 62572-2021")</f>
        <v/>
      </c>
      <c r="T308">
        <f>HYPERLINK("https://klasma.github.io/Logging_1782/karta/A 62572-2021 karta.png", "A 62572-2021")</f>
        <v/>
      </c>
      <c r="V308">
        <f>HYPERLINK("https://klasma.github.io/Logging_1782/klagomål/A 62572-2021 klagomål.docx", "A 62572-2021")</f>
        <v/>
      </c>
      <c r="W308">
        <f>HYPERLINK("https://klasma.github.io/Logging_1782/klagomålsmail/A 62572-2021 klagomålsmail.docx", "A 62572-2021")</f>
        <v/>
      </c>
      <c r="X308">
        <f>HYPERLINK("https://klasma.github.io/Logging_1782/tillsyn/A 62572-2021 tillsyn.docx", "A 62572-2021")</f>
        <v/>
      </c>
      <c r="Y308">
        <f>HYPERLINK("https://klasma.github.io/Logging_1782/tillsynsmail/A 62572-2021 tillsynsmail.docx", "A 62572-2021")</f>
        <v/>
      </c>
    </row>
    <row r="309" ht="15" customHeight="1">
      <c r="A309" t="inlineStr">
        <is>
          <t>A 62619-2021</t>
        </is>
      </c>
      <c r="B309" s="1" t="n">
        <v>44503</v>
      </c>
      <c r="C309" s="1" t="n">
        <v>45212</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 artfynd.xlsx", "A 62619-2021")</f>
        <v/>
      </c>
      <c r="T309">
        <f>HYPERLINK("https://klasma.github.io/Logging_1784/karta/A 62619-2021 karta.png", "A 62619-2021")</f>
        <v/>
      </c>
      <c r="V309">
        <f>HYPERLINK("https://klasma.github.io/Logging_1784/klagomål/A 62619-2021 klagomål.docx", "A 62619-2021")</f>
        <v/>
      </c>
      <c r="W309">
        <f>HYPERLINK("https://klasma.github.io/Logging_1784/klagomålsmail/A 62619-2021 klagomålsmail.docx", "A 62619-2021")</f>
        <v/>
      </c>
      <c r="X309">
        <f>HYPERLINK("https://klasma.github.io/Logging_1784/tillsyn/A 62619-2021 tillsyn.docx", "A 62619-2021")</f>
        <v/>
      </c>
      <c r="Y309">
        <f>HYPERLINK("https://klasma.github.io/Logging_1784/tillsynsmail/A 62619-2021 tillsynsmail.docx", "A 62619-2021")</f>
        <v/>
      </c>
    </row>
    <row r="310" ht="15" customHeight="1">
      <c r="A310" t="inlineStr">
        <is>
          <t>A 64504-2021</t>
        </is>
      </c>
      <c r="B310" s="1" t="n">
        <v>44511</v>
      </c>
      <c r="C310" s="1" t="n">
        <v>45212</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 artfynd.xlsx", "A 64504-2021")</f>
        <v/>
      </c>
      <c r="T310">
        <f>HYPERLINK("https://klasma.github.io/Logging_1715/karta/A 64504-2021 karta.png", "A 64504-2021")</f>
        <v/>
      </c>
      <c r="U310">
        <f>HYPERLINK("https://klasma.github.io/Logging_1715/knärot/A 64504-2021 knärot.png", "A 64504-2021")</f>
        <v/>
      </c>
      <c r="V310">
        <f>HYPERLINK("https://klasma.github.io/Logging_1715/klagomål/A 64504-2021 klagomål.docx", "A 64504-2021")</f>
        <v/>
      </c>
      <c r="W310">
        <f>HYPERLINK("https://klasma.github.io/Logging_1715/klagomålsmail/A 64504-2021 klagomålsmail.docx", "A 64504-2021")</f>
        <v/>
      </c>
      <c r="X310">
        <f>HYPERLINK("https://klasma.github.io/Logging_1715/tillsyn/A 64504-2021 tillsyn.docx", "A 64504-2021")</f>
        <v/>
      </c>
      <c r="Y310">
        <f>HYPERLINK("https://klasma.github.io/Logging_1715/tillsynsmail/A 64504-2021 tillsynsmail.docx", "A 64504-2021")</f>
        <v/>
      </c>
    </row>
    <row r="311" ht="15" customHeight="1">
      <c r="A311" t="inlineStr">
        <is>
          <t>A 65767-2021</t>
        </is>
      </c>
      <c r="B311" s="1" t="n">
        <v>44516</v>
      </c>
      <c r="C311" s="1" t="n">
        <v>45212</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 artfynd.xlsx", "A 65767-2021")</f>
        <v/>
      </c>
      <c r="T311">
        <f>HYPERLINK("https://klasma.github.io/Logging_1737/karta/A 65767-2021 karta.png", "A 65767-2021")</f>
        <v/>
      </c>
      <c r="V311">
        <f>HYPERLINK("https://klasma.github.io/Logging_1737/klagomål/A 65767-2021 klagomål.docx", "A 65767-2021")</f>
        <v/>
      </c>
      <c r="W311">
        <f>HYPERLINK("https://klasma.github.io/Logging_1737/klagomålsmail/A 65767-2021 klagomålsmail.docx", "A 65767-2021")</f>
        <v/>
      </c>
      <c r="X311">
        <f>HYPERLINK("https://klasma.github.io/Logging_1737/tillsyn/A 65767-2021 tillsyn.docx", "A 65767-2021")</f>
        <v/>
      </c>
      <c r="Y311">
        <f>HYPERLINK("https://klasma.github.io/Logging_1737/tillsynsmail/A 65767-2021 tillsynsmail.docx", "A 65767-2021")</f>
        <v/>
      </c>
    </row>
    <row r="312" ht="15" customHeight="1">
      <c r="A312" t="inlineStr">
        <is>
          <t>A 65920-2021</t>
        </is>
      </c>
      <c r="B312" s="1" t="n">
        <v>44517</v>
      </c>
      <c r="C312" s="1" t="n">
        <v>45212</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 artfynd.xlsx", "A 65920-2021")</f>
        <v/>
      </c>
      <c r="T312">
        <f>HYPERLINK("https://klasma.github.io/Logging_1760/karta/A 65920-2021 karta.png", "A 65920-2021")</f>
        <v/>
      </c>
      <c r="V312">
        <f>HYPERLINK("https://klasma.github.io/Logging_1760/klagomål/A 65920-2021 klagomål.docx", "A 65920-2021")</f>
        <v/>
      </c>
      <c r="W312">
        <f>HYPERLINK("https://klasma.github.io/Logging_1760/klagomålsmail/A 65920-2021 klagomålsmail.docx", "A 65920-2021")</f>
        <v/>
      </c>
      <c r="X312">
        <f>HYPERLINK("https://klasma.github.io/Logging_1760/tillsyn/A 65920-2021 tillsyn.docx", "A 65920-2021")</f>
        <v/>
      </c>
      <c r="Y312">
        <f>HYPERLINK("https://klasma.github.io/Logging_1760/tillsynsmail/A 65920-2021 tillsynsmail.docx", "A 65920-2021")</f>
        <v/>
      </c>
    </row>
    <row r="313" ht="15" customHeight="1">
      <c r="A313" t="inlineStr">
        <is>
          <t>A 66274-2021</t>
        </is>
      </c>
      <c r="B313" s="1" t="n">
        <v>44518</v>
      </c>
      <c r="C313" s="1" t="n">
        <v>45212</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 artfynd.xlsx", "A 66274-2021")</f>
        <v/>
      </c>
      <c r="T313">
        <f>HYPERLINK("https://klasma.github.io/Logging_1780/karta/A 66274-2021 karta.png", "A 66274-2021")</f>
        <v/>
      </c>
      <c r="V313">
        <f>HYPERLINK("https://klasma.github.io/Logging_1780/klagomål/A 66274-2021 klagomål.docx", "A 66274-2021")</f>
        <v/>
      </c>
      <c r="W313">
        <f>HYPERLINK("https://klasma.github.io/Logging_1780/klagomålsmail/A 66274-2021 klagomålsmail.docx", "A 66274-2021")</f>
        <v/>
      </c>
      <c r="X313">
        <f>HYPERLINK("https://klasma.github.io/Logging_1780/tillsyn/A 66274-2021 tillsyn.docx", "A 66274-2021")</f>
        <v/>
      </c>
      <c r="Y313">
        <f>HYPERLINK("https://klasma.github.io/Logging_1780/tillsynsmail/A 66274-2021 tillsynsmail.docx", "A 66274-2021")</f>
        <v/>
      </c>
    </row>
    <row r="314" ht="15" customHeight="1">
      <c r="A314" t="inlineStr">
        <is>
          <t>A 69709-2021</t>
        </is>
      </c>
      <c r="B314" s="1" t="n">
        <v>44532</v>
      </c>
      <c r="C314" s="1" t="n">
        <v>45212</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 artfynd.xlsx", "A 69709-2021")</f>
        <v/>
      </c>
      <c r="T314">
        <f>HYPERLINK("https://klasma.github.io/Logging_1783/karta/A 69709-2021 karta.png", "A 69709-2021")</f>
        <v/>
      </c>
      <c r="V314">
        <f>HYPERLINK("https://klasma.github.io/Logging_1783/klagomål/A 69709-2021 klagomål.docx", "A 69709-2021")</f>
        <v/>
      </c>
      <c r="W314">
        <f>HYPERLINK("https://klasma.github.io/Logging_1783/klagomålsmail/A 69709-2021 klagomålsmail.docx", "A 69709-2021")</f>
        <v/>
      </c>
      <c r="X314">
        <f>HYPERLINK("https://klasma.github.io/Logging_1783/tillsyn/A 69709-2021 tillsyn.docx", "A 69709-2021")</f>
        <v/>
      </c>
      <c r="Y314">
        <f>HYPERLINK("https://klasma.github.io/Logging_1783/tillsynsmail/A 69709-2021 tillsynsmail.docx", "A 69709-2021")</f>
        <v/>
      </c>
    </row>
    <row r="315" ht="15" customHeight="1">
      <c r="A315" t="inlineStr">
        <is>
          <t>A 71594-2021</t>
        </is>
      </c>
      <c r="B315" s="1" t="n">
        <v>44541</v>
      </c>
      <c r="C315" s="1" t="n">
        <v>45212</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 artfynd.xlsx", "A 71594-2021")</f>
        <v/>
      </c>
      <c r="T315">
        <f>HYPERLINK("https://klasma.github.io/Logging_1737/karta/A 71594-2021 karta.png", "A 71594-2021")</f>
        <v/>
      </c>
      <c r="V315">
        <f>HYPERLINK("https://klasma.github.io/Logging_1737/klagomål/A 71594-2021 klagomål.docx", "A 71594-2021")</f>
        <v/>
      </c>
      <c r="W315">
        <f>HYPERLINK("https://klasma.github.io/Logging_1737/klagomålsmail/A 71594-2021 klagomålsmail.docx", "A 71594-2021")</f>
        <v/>
      </c>
      <c r="X315">
        <f>HYPERLINK("https://klasma.github.io/Logging_1737/tillsyn/A 71594-2021 tillsyn.docx", "A 71594-2021")</f>
        <v/>
      </c>
      <c r="Y315">
        <f>HYPERLINK("https://klasma.github.io/Logging_1737/tillsynsmail/A 71594-2021 tillsynsmail.docx", "A 71594-2021")</f>
        <v/>
      </c>
    </row>
    <row r="316" ht="15" customHeight="1">
      <c r="A316" t="inlineStr">
        <is>
          <t>A 72222-2021</t>
        </is>
      </c>
      <c r="B316" s="1" t="n">
        <v>44544</v>
      </c>
      <c r="C316" s="1" t="n">
        <v>45212</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 artfynd.xlsx", "A 72222-2021")</f>
        <v/>
      </c>
      <c r="T316">
        <f>HYPERLINK("https://klasma.github.io/Logging_1784/karta/A 72222-2021 karta.png", "A 72222-2021")</f>
        <v/>
      </c>
      <c r="U316">
        <f>HYPERLINK("https://klasma.github.io/Logging_1784/knärot/A 72222-2021 knärot.png", "A 72222-2021")</f>
        <v/>
      </c>
      <c r="V316">
        <f>HYPERLINK("https://klasma.github.io/Logging_1784/klagomål/A 72222-2021 klagomål.docx", "A 72222-2021")</f>
        <v/>
      </c>
      <c r="W316">
        <f>HYPERLINK("https://klasma.github.io/Logging_1784/klagomålsmail/A 72222-2021 klagomålsmail.docx", "A 72222-2021")</f>
        <v/>
      </c>
      <c r="X316">
        <f>HYPERLINK("https://klasma.github.io/Logging_1784/tillsyn/A 72222-2021 tillsyn.docx", "A 72222-2021")</f>
        <v/>
      </c>
      <c r="Y316">
        <f>HYPERLINK("https://klasma.github.io/Logging_1784/tillsynsmail/A 72222-2021 tillsynsmail.docx", "A 72222-2021")</f>
        <v/>
      </c>
    </row>
    <row r="317" ht="15" customHeight="1">
      <c r="A317" t="inlineStr">
        <is>
          <t>A 72045-2021</t>
        </is>
      </c>
      <c r="B317" s="1" t="n">
        <v>44544</v>
      </c>
      <c r="C317" s="1" t="n">
        <v>45212</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 artfynd.xlsx", "A 72045-2021")</f>
        <v/>
      </c>
      <c r="T317">
        <f>HYPERLINK("https://klasma.github.io/Logging_1780/karta/A 72045-2021 karta.png", "A 72045-2021")</f>
        <v/>
      </c>
      <c r="V317">
        <f>HYPERLINK("https://klasma.github.io/Logging_1780/klagomål/A 72045-2021 klagomål.docx", "A 72045-2021")</f>
        <v/>
      </c>
      <c r="W317">
        <f>HYPERLINK("https://klasma.github.io/Logging_1780/klagomålsmail/A 72045-2021 klagomålsmail.docx", "A 72045-2021")</f>
        <v/>
      </c>
      <c r="X317">
        <f>HYPERLINK("https://klasma.github.io/Logging_1780/tillsyn/A 72045-2021 tillsyn.docx", "A 72045-2021")</f>
        <v/>
      </c>
      <c r="Y317">
        <f>HYPERLINK("https://klasma.github.io/Logging_1780/tillsynsmail/A 72045-2021 tillsynsmail.docx", "A 72045-2021")</f>
        <v/>
      </c>
    </row>
    <row r="318" ht="15" customHeight="1">
      <c r="A318" t="inlineStr">
        <is>
          <t>A 72829-2021</t>
        </is>
      </c>
      <c r="B318" s="1" t="n">
        <v>44547</v>
      </c>
      <c r="C318" s="1" t="n">
        <v>45212</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 artfynd.xlsx", "A 72829-2021")</f>
        <v/>
      </c>
      <c r="T318">
        <f>HYPERLINK("https://klasma.github.io/Logging_1784/karta/A 72829-2021 karta.png", "A 72829-2021")</f>
        <v/>
      </c>
      <c r="U318">
        <f>HYPERLINK("https://klasma.github.io/Logging_1784/knärot/A 72829-2021 knärot.png", "A 72829-2021")</f>
        <v/>
      </c>
      <c r="V318">
        <f>HYPERLINK("https://klasma.github.io/Logging_1784/klagomål/A 72829-2021 klagomål.docx", "A 72829-2021")</f>
        <v/>
      </c>
      <c r="W318">
        <f>HYPERLINK("https://klasma.github.io/Logging_1784/klagomålsmail/A 72829-2021 klagomålsmail.docx", "A 72829-2021")</f>
        <v/>
      </c>
      <c r="X318">
        <f>HYPERLINK("https://klasma.github.io/Logging_1784/tillsyn/A 72829-2021 tillsyn.docx", "A 72829-2021")</f>
        <v/>
      </c>
      <c r="Y318">
        <f>HYPERLINK("https://klasma.github.io/Logging_1784/tillsynsmail/A 72829-2021 tillsynsmail.docx", "A 72829-2021")</f>
        <v/>
      </c>
    </row>
    <row r="319" ht="15" customHeight="1">
      <c r="A319" t="inlineStr">
        <is>
          <t>A 73999-2021</t>
        </is>
      </c>
      <c r="B319" s="1" t="n">
        <v>44557</v>
      </c>
      <c r="C319" s="1" t="n">
        <v>45212</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 artfynd.xlsx", "A 73999-2021")</f>
        <v/>
      </c>
      <c r="T319">
        <f>HYPERLINK("https://klasma.github.io/Logging_1784/karta/A 73999-2021 karta.png", "A 73999-2021")</f>
        <v/>
      </c>
      <c r="U319">
        <f>HYPERLINK("https://klasma.github.io/Logging_1784/knärot/A 73999-2021 knärot.png", "A 73999-2021")</f>
        <v/>
      </c>
      <c r="V319">
        <f>HYPERLINK("https://klasma.github.io/Logging_1784/klagomål/A 73999-2021 klagomål.docx", "A 73999-2021")</f>
        <v/>
      </c>
      <c r="W319">
        <f>HYPERLINK("https://klasma.github.io/Logging_1784/klagomålsmail/A 73999-2021 klagomålsmail.docx", "A 73999-2021")</f>
        <v/>
      </c>
      <c r="X319">
        <f>HYPERLINK("https://klasma.github.io/Logging_1784/tillsyn/A 73999-2021 tillsyn.docx", "A 73999-2021")</f>
        <v/>
      </c>
      <c r="Y319">
        <f>HYPERLINK("https://klasma.github.io/Logging_1784/tillsynsmail/A 73999-2021 tillsynsmail.docx", "A 73999-2021")</f>
        <v/>
      </c>
    </row>
    <row r="320" ht="15" customHeight="1">
      <c r="A320" t="inlineStr">
        <is>
          <t>A 1734-2022</t>
        </is>
      </c>
      <c r="B320" s="1" t="n">
        <v>44574</v>
      </c>
      <c r="C320" s="1" t="n">
        <v>45212</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 artfynd.xlsx", "A 1734-2022")</f>
        <v/>
      </c>
      <c r="T320">
        <f>HYPERLINK("https://klasma.github.io/Logging_1781/karta/A 1734-2022 karta.png", "A 1734-2022")</f>
        <v/>
      </c>
      <c r="V320">
        <f>HYPERLINK("https://klasma.github.io/Logging_1781/klagomål/A 1734-2022 klagomål.docx", "A 1734-2022")</f>
        <v/>
      </c>
      <c r="W320">
        <f>HYPERLINK("https://klasma.github.io/Logging_1781/klagomålsmail/A 1734-2022 klagomålsmail.docx", "A 1734-2022")</f>
        <v/>
      </c>
      <c r="X320">
        <f>HYPERLINK("https://klasma.github.io/Logging_1781/tillsyn/A 1734-2022 tillsyn.docx", "A 1734-2022")</f>
        <v/>
      </c>
      <c r="Y320">
        <f>HYPERLINK("https://klasma.github.io/Logging_1781/tillsynsmail/A 1734-2022 tillsynsmail.docx", "A 1734-2022")</f>
        <v/>
      </c>
    </row>
    <row r="321" ht="15" customHeight="1">
      <c r="A321" t="inlineStr">
        <is>
          <t>A 3404-2022</t>
        </is>
      </c>
      <c r="B321" s="1" t="n">
        <v>44585</v>
      </c>
      <c r="C321" s="1" t="n">
        <v>45212</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 artfynd.xlsx", "A 3404-2022")</f>
        <v/>
      </c>
      <c r="T321">
        <f>HYPERLINK("https://klasma.github.io/Logging_1737/karta/A 3404-2022 karta.png", "A 3404-2022")</f>
        <v/>
      </c>
      <c r="V321">
        <f>HYPERLINK("https://klasma.github.io/Logging_1737/klagomål/A 3404-2022 klagomål.docx", "A 3404-2022")</f>
        <v/>
      </c>
      <c r="W321">
        <f>HYPERLINK("https://klasma.github.io/Logging_1737/klagomålsmail/A 3404-2022 klagomålsmail.docx", "A 3404-2022")</f>
        <v/>
      </c>
      <c r="X321">
        <f>HYPERLINK("https://klasma.github.io/Logging_1737/tillsyn/A 3404-2022 tillsyn.docx", "A 3404-2022")</f>
        <v/>
      </c>
      <c r="Y321">
        <f>HYPERLINK("https://klasma.github.io/Logging_1737/tillsynsmail/A 3404-2022 tillsynsmail.docx", "A 3404-2022")</f>
        <v/>
      </c>
    </row>
    <row r="322" ht="15" customHeight="1">
      <c r="A322" t="inlineStr">
        <is>
          <t>A 4394-2022</t>
        </is>
      </c>
      <c r="B322" s="1" t="n">
        <v>44589</v>
      </c>
      <c r="C322" s="1" t="n">
        <v>45212</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 artfynd.xlsx", "A 4394-2022")</f>
        <v/>
      </c>
      <c r="T322">
        <f>HYPERLINK("https://klasma.github.io/Logging_1785/karta/A 4394-2022 karta.png", "A 4394-2022")</f>
        <v/>
      </c>
      <c r="V322">
        <f>HYPERLINK("https://klasma.github.io/Logging_1785/klagomål/A 4394-2022 klagomål.docx", "A 4394-2022")</f>
        <v/>
      </c>
      <c r="W322">
        <f>HYPERLINK("https://klasma.github.io/Logging_1785/klagomålsmail/A 4394-2022 klagomålsmail.docx", "A 4394-2022")</f>
        <v/>
      </c>
      <c r="X322">
        <f>HYPERLINK("https://klasma.github.io/Logging_1785/tillsyn/A 4394-2022 tillsyn.docx", "A 4394-2022")</f>
        <v/>
      </c>
      <c r="Y322">
        <f>HYPERLINK("https://klasma.github.io/Logging_1785/tillsynsmail/A 4394-2022 tillsynsmail.docx", "A 4394-2022")</f>
        <v/>
      </c>
    </row>
    <row r="323" ht="15" customHeight="1">
      <c r="A323" t="inlineStr">
        <is>
          <t>A 4664-2022</t>
        </is>
      </c>
      <c r="B323" s="1" t="n">
        <v>44592</v>
      </c>
      <c r="C323" s="1" t="n">
        <v>45212</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 artfynd.xlsx", "A 4664-2022")</f>
        <v/>
      </c>
      <c r="T323">
        <f>HYPERLINK("https://klasma.github.io/Logging_1780/karta/A 4664-2022 karta.png", "A 4664-2022")</f>
        <v/>
      </c>
      <c r="V323">
        <f>HYPERLINK("https://klasma.github.io/Logging_1780/klagomål/A 4664-2022 klagomål.docx", "A 4664-2022")</f>
        <v/>
      </c>
      <c r="W323">
        <f>HYPERLINK("https://klasma.github.io/Logging_1780/klagomålsmail/A 4664-2022 klagomålsmail.docx", "A 4664-2022")</f>
        <v/>
      </c>
      <c r="X323">
        <f>HYPERLINK("https://klasma.github.io/Logging_1780/tillsyn/A 4664-2022 tillsyn.docx", "A 4664-2022")</f>
        <v/>
      </c>
      <c r="Y323">
        <f>HYPERLINK("https://klasma.github.io/Logging_1780/tillsynsmail/A 4664-2022 tillsynsmail.docx", "A 4664-2022")</f>
        <v/>
      </c>
    </row>
    <row r="324" ht="15" customHeight="1">
      <c r="A324" t="inlineStr">
        <is>
          <t>A 6814-2022</t>
        </is>
      </c>
      <c r="B324" s="1" t="n">
        <v>44602</v>
      </c>
      <c r="C324" s="1" t="n">
        <v>45212</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 artfynd.xlsx", "A 6814-2022")</f>
        <v/>
      </c>
      <c r="T324">
        <f>HYPERLINK("https://klasma.github.io/Logging_1784/karta/A 6814-2022 karta.png", "A 6814-2022")</f>
        <v/>
      </c>
      <c r="V324">
        <f>HYPERLINK("https://klasma.github.io/Logging_1784/klagomål/A 6814-2022 klagomål.docx", "A 6814-2022")</f>
        <v/>
      </c>
      <c r="W324">
        <f>HYPERLINK("https://klasma.github.io/Logging_1784/klagomålsmail/A 6814-2022 klagomålsmail.docx", "A 6814-2022")</f>
        <v/>
      </c>
      <c r="X324">
        <f>HYPERLINK("https://klasma.github.io/Logging_1784/tillsyn/A 6814-2022 tillsyn.docx", "A 6814-2022")</f>
        <v/>
      </c>
      <c r="Y324">
        <f>HYPERLINK("https://klasma.github.io/Logging_1784/tillsynsmail/A 6814-2022 tillsynsmail.docx", "A 6814-2022")</f>
        <v/>
      </c>
    </row>
    <row r="325" ht="15" customHeight="1">
      <c r="A325" t="inlineStr">
        <is>
          <t>A 6986-2022</t>
        </is>
      </c>
      <c r="B325" s="1" t="n">
        <v>44603</v>
      </c>
      <c r="C325" s="1" t="n">
        <v>45212</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 artfynd.xlsx", "A 6986-2022")</f>
        <v/>
      </c>
      <c r="T325">
        <f>HYPERLINK("https://klasma.github.io/Logging_1783/karta/A 6986-2022 karta.png", "A 6986-2022")</f>
        <v/>
      </c>
      <c r="V325">
        <f>HYPERLINK("https://klasma.github.io/Logging_1783/klagomål/A 6986-2022 klagomål.docx", "A 6986-2022")</f>
        <v/>
      </c>
      <c r="W325">
        <f>HYPERLINK("https://klasma.github.io/Logging_1783/klagomålsmail/A 6986-2022 klagomålsmail.docx", "A 6986-2022")</f>
        <v/>
      </c>
      <c r="X325">
        <f>HYPERLINK("https://klasma.github.io/Logging_1783/tillsyn/A 6986-2022 tillsyn.docx", "A 6986-2022")</f>
        <v/>
      </c>
      <c r="Y325">
        <f>HYPERLINK("https://klasma.github.io/Logging_1783/tillsynsmail/A 6986-2022 tillsynsmail.docx", "A 6986-2022")</f>
        <v/>
      </c>
    </row>
    <row r="326" ht="15" customHeight="1">
      <c r="A326" t="inlineStr">
        <is>
          <t>A 8846-2022</t>
        </is>
      </c>
      <c r="B326" s="1" t="n">
        <v>44614</v>
      </c>
      <c r="C326" s="1" t="n">
        <v>45212</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 artfynd.xlsx", "A 8846-2022")</f>
        <v/>
      </c>
      <c r="T326">
        <f>HYPERLINK("https://klasma.github.io/Logging_1784/karta/A 8846-2022 karta.png", "A 8846-2022")</f>
        <v/>
      </c>
      <c r="V326">
        <f>HYPERLINK("https://klasma.github.io/Logging_1784/klagomål/A 8846-2022 klagomål.docx", "A 8846-2022")</f>
        <v/>
      </c>
      <c r="W326">
        <f>HYPERLINK("https://klasma.github.io/Logging_1784/klagomålsmail/A 8846-2022 klagomålsmail.docx", "A 8846-2022")</f>
        <v/>
      </c>
      <c r="X326">
        <f>HYPERLINK("https://klasma.github.io/Logging_1784/tillsyn/A 8846-2022 tillsyn.docx", "A 8846-2022")</f>
        <v/>
      </c>
      <c r="Y326">
        <f>HYPERLINK("https://klasma.github.io/Logging_1784/tillsynsmail/A 8846-2022 tillsynsmail.docx", "A 8846-2022")</f>
        <v/>
      </c>
    </row>
    <row r="327" ht="15" customHeight="1">
      <c r="A327" t="inlineStr">
        <is>
          <t>A 13548-2022</t>
        </is>
      </c>
      <c r="B327" s="1" t="n">
        <v>44648</v>
      </c>
      <c r="C327" s="1" t="n">
        <v>45212</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 artfynd.xlsx", "A 13548-2022")</f>
        <v/>
      </c>
      <c r="T327">
        <f>HYPERLINK("https://klasma.github.io/Logging_1780/karta/A 13548-2022 karta.png", "A 13548-2022")</f>
        <v/>
      </c>
      <c r="V327">
        <f>HYPERLINK("https://klasma.github.io/Logging_1780/klagomål/A 13548-2022 klagomål.docx", "A 13548-2022")</f>
        <v/>
      </c>
      <c r="W327">
        <f>HYPERLINK("https://klasma.github.io/Logging_1780/klagomålsmail/A 13548-2022 klagomålsmail.docx", "A 13548-2022")</f>
        <v/>
      </c>
      <c r="X327">
        <f>HYPERLINK("https://klasma.github.io/Logging_1780/tillsyn/A 13548-2022 tillsyn.docx", "A 13548-2022")</f>
        <v/>
      </c>
      <c r="Y327">
        <f>HYPERLINK("https://klasma.github.io/Logging_1780/tillsynsmail/A 13548-2022 tillsynsmail.docx", "A 13548-2022")</f>
        <v/>
      </c>
    </row>
    <row r="328" ht="15" customHeight="1">
      <c r="A328" t="inlineStr">
        <is>
          <t>A 14002-2022</t>
        </is>
      </c>
      <c r="B328" s="1" t="n">
        <v>44650</v>
      </c>
      <c r="C328" s="1" t="n">
        <v>45212</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 artfynd.xlsx", "A 14002-2022")</f>
        <v/>
      </c>
      <c r="T328">
        <f>HYPERLINK("https://klasma.github.io/Logging_1780/karta/A 14002-2022 karta.png", "A 14002-2022")</f>
        <v/>
      </c>
      <c r="U328">
        <f>HYPERLINK("https://klasma.github.io/Logging_1780/knärot/A 14002-2022 knärot.png", "A 14002-2022")</f>
        <v/>
      </c>
      <c r="V328">
        <f>HYPERLINK("https://klasma.github.io/Logging_1780/klagomål/A 14002-2022 klagomål.docx", "A 14002-2022")</f>
        <v/>
      </c>
      <c r="W328">
        <f>HYPERLINK("https://klasma.github.io/Logging_1780/klagomålsmail/A 14002-2022 klagomålsmail.docx", "A 14002-2022")</f>
        <v/>
      </c>
      <c r="X328">
        <f>HYPERLINK("https://klasma.github.io/Logging_1780/tillsyn/A 14002-2022 tillsyn.docx", "A 14002-2022")</f>
        <v/>
      </c>
      <c r="Y328">
        <f>HYPERLINK("https://klasma.github.io/Logging_1780/tillsynsmail/A 14002-2022 tillsynsmail.docx", "A 14002-2022")</f>
        <v/>
      </c>
    </row>
    <row r="329" ht="15" customHeight="1">
      <c r="A329" t="inlineStr">
        <is>
          <t>A 14594-2022</t>
        </is>
      </c>
      <c r="B329" s="1" t="n">
        <v>44655</v>
      </c>
      <c r="C329" s="1" t="n">
        <v>45212</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 artfynd.xlsx", "A 14594-2022")</f>
        <v/>
      </c>
      <c r="T329">
        <f>HYPERLINK("https://klasma.github.io/Logging_1780/karta/A 14594-2022 karta.png", "A 14594-2022")</f>
        <v/>
      </c>
      <c r="V329">
        <f>HYPERLINK("https://klasma.github.io/Logging_1780/klagomål/A 14594-2022 klagomål.docx", "A 14594-2022")</f>
        <v/>
      </c>
      <c r="W329">
        <f>HYPERLINK("https://klasma.github.io/Logging_1780/klagomålsmail/A 14594-2022 klagomålsmail.docx", "A 14594-2022")</f>
        <v/>
      </c>
      <c r="X329">
        <f>HYPERLINK("https://klasma.github.io/Logging_1780/tillsyn/A 14594-2022 tillsyn.docx", "A 14594-2022")</f>
        <v/>
      </c>
      <c r="Y329">
        <f>HYPERLINK("https://klasma.github.io/Logging_1780/tillsynsmail/A 14594-2022 tillsynsmail.docx", "A 14594-2022")</f>
        <v/>
      </c>
    </row>
    <row r="330" ht="15" customHeight="1">
      <c r="A330" t="inlineStr">
        <is>
          <t>A 19831-2022</t>
        </is>
      </c>
      <c r="B330" s="1" t="n">
        <v>44695</v>
      </c>
      <c r="C330" s="1" t="n">
        <v>45212</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 artfynd.xlsx", "A 19831-2022")</f>
        <v/>
      </c>
      <c r="T330">
        <f>HYPERLINK("https://klasma.github.io/Logging_1766/karta/A 19831-2022 karta.png", "A 19831-2022")</f>
        <v/>
      </c>
      <c r="V330">
        <f>HYPERLINK("https://klasma.github.io/Logging_1766/klagomål/A 19831-2022 klagomål.docx", "A 19831-2022")</f>
        <v/>
      </c>
      <c r="W330">
        <f>HYPERLINK("https://klasma.github.io/Logging_1766/klagomålsmail/A 19831-2022 klagomålsmail.docx", "A 19831-2022")</f>
        <v/>
      </c>
      <c r="X330">
        <f>HYPERLINK("https://klasma.github.io/Logging_1766/tillsyn/A 19831-2022 tillsyn.docx", "A 19831-2022")</f>
        <v/>
      </c>
      <c r="Y330">
        <f>HYPERLINK("https://klasma.github.io/Logging_1766/tillsynsmail/A 19831-2022 tillsynsmail.docx", "A 19831-2022")</f>
        <v/>
      </c>
    </row>
    <row r="331" ht="15" customHeight="1">
      <c r="A331" t="inlineStr">
        <is>
          <t>A 20754-2022</t>
        </is>
      </c>
      <c r="B331" s="1" t="n">
        <v>44701</v>
      </c>
      <c r="C331" s="1" t="n">
        <v>45212</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 artfynd.xlsx", "A 20754-2022")</f>
        <v/>
      </c>
      <c r="T331">
        <f>HYPERLINK("https://klasma.github.io/Logging_1782/karta/A 20754-2022 karta.png", "A 20754-2022")</f>
        <v/>
      </c>
      <c r="V331">
        <f>HYPERLINK("https://klasma.github.io/Logging_1782/klagomål/A 20754-2022 klagomål.docx", "A 20754-2022")</f>
        <v/>
      </c>
      <c r="W331">
        <f>HYPERLINK("https://klasma.github.io/Logging_1782/klagomålsmail/A 20754-2022 klagomålsmail.docx", "A 20754-2022")</f>
        <v/>
      </c>
      <c r="X331">
        <f>HYPERLINK("https://klasma.github.io/Logging_1782/tillsyn/A 20754-2022 tillsyn.docx", "A 20754-2022")</f>
        <v/>
      </c>
      <c r="Y331">
        <f>HYPERLINK("https://klasma.github.io/Logging_1782/tillsynsmail/A 20754-2022 tillsynsmail.docx", "A 20754-2022")</f>
        <v/>
      </c>
    </row>
    <row r="332" ht="15" customHeight="1">
      <c r="A332" t="inlineStr">
        <is>
          <t>A 22174-2022</t>
        </is>
      </c>
      <c r="B332" s="1" t="n">
        <v>44712</v>
      </c>
      <c r="C332" s="1" t="n">
        <v>45212</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 artfynd.xlsx", "A 22174-2022")</f>
        <v/>
      </c>
      <c r="T332">
        <f>HYPERLINK("https://klasma.github.io/Logging_1737/karta/A 22174-2022 karta.png", "A 22174-2022")</f>
        <v/>
      </c>
      <c r="V332">
        <f>HYPERLINK("https://klasma.github.io/Logging_1737/klagomål/A 22174-2022 klagomål.docx", "A 22174-2022")</f>
        <v/>
      </c>
      <c r="W332">
        <f>HYPERLINK("https://klasma.github.io/Logging_1737/klagomålsmail/A 22174-2022 klagomålsmail.docx", "A 22174-2022")</f>
        <v/>
      </c>
      <c r="X332">
        <f>HYPERLINK("https://klasma.github.io/Logging_1737/tillsyn/A 22174-2022 tillsyn.docx", "A 22174-2022")</f>
        <v/>
      </c>
      <c r="Y332">
        <f>HYPERLINK("https://klasma.github.io/Logging_1737/tillsynsmail/A 22174-2022 tillsynsmail.docx", "A 22174-2022")</f>
        <v/>
      </c>
    </row>
    <row r="333" ht="15" customHeight="1">
      <c r="A333" t="inlineStr">
        <is>
          <t>A 24618-2022</t>
        </is>
      </c>
      <c r="B333" s="1" t="n">
        <v>44727</v>
      </c>
      <c r="C333" s="1" t="n">
        <v>45212</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 artfynd.xlsx", "A 24618-2022")</f>
        <v/>
      </c>
      <c r="T333">
        <f>HYPERLINK("https://klasma.github.io/Logging_1761/karta/A 24618-2022 karta.png", "A 24618-2022")</f>
        <v/>
      </c>
      <c r="U333">
        <f>HYPERLINK("https://klasma.github.io/Logging_1761/knärot/A 24618-2022 knärot.png", "A 24618-2022")</f>
        <v/>
      </c>
      <c r="V333">
        <f>HYPERLINK("https://klasma.github.io/Logging_1761/klagomål/A 24618-2022 klagomål.docx", "A 24618-2022")</f>
        <v/>
      </c>
      <c r="W333">
        <f>HYPERLINK("https://klasma.github.io/Logging_1761/klagomålsmail/A 24618-2022 klagomålsmail.docx", "A 24618-2022")</f>
        <v/>
      </c>
      <c r="X333">
        <f>HYPERLINK("https://klasma.github.io/Logging_1761/tillsyn/A 24618-2022 tillsyn.docx", "A 24618-2022")</f>
        <v/>
      </c>
      <c r="Y333">
        <f>HYPERLINK("https://klasma.github.io/Logging_1761/tillsynsmail/A 24618-2022 tillsynsmail.docx", "A 24618-2022")</f>
        <v/>
      </c>
    </row>
    <row r="334" ht="15" customHeight="1">
      <c r="A334" t="inlineStr">
        <is>
          <t>A 24756-2022</t>
        </is>
      </c>
      <c r="B334" s="1" t="n">
        <v>44728</v>
      </c>
      <c r="C334" s="1" t="n">
        <v>45212</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 artfynd.xlsx", "A 24756-2022")</f>
        <v/>
      </c>
      <c r="T334">
        <f>HYPERLINK("https://klasma.github.io/Logging_1784/karta/A 24756-2022 karta.png", "A 24756-2022")</f>
        <v/>
      </c>
      <c r="V334">
        <f>HYPERLINK("https://klasma.github.io/Logging_1784/klagomål/A 24756-2022 klagomål.docx", "A 24756-2022")</f>
        <v/>
      </c>
      <c r="W334">
        <f>HYPERLINK("https://klasma.github.io/Logging_1784/klagomålsmail/A 24756-2022 klagomålsmail.docx", "A 24756-2022")</f>
        <v/>
      </c>
      <c r="X334">
        <f>HYPERLINK("https://klasma.github.io/Logging_1784/tillsyn/A 24756-2022 tillsyn.docx", "A 24756-2022")</f>
        <v/>
      </c>
      <c r="Y334">
        <f>HYPERLINK("https://klasma.github.io/Logging_1784/tillsynsmail/A 24756-2022 tillsynsmail.docx", "A 24756-2022")</f>
        <v/>
      </c>
    </row>
    <row r="335" ht="15" customHeight="1">
      <c r="A335" t="inlineStr">
        <is>
          <t>A 25999-2022</t>
        </is>
      </c>
      <c r="B335" s="1" t="n">
        <v>44734</v>
      </c>
      <c r="C335" s="1" t="n">
        <v>45212</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 artfynd.xlsx", "A 25999-2022")</f>
        <v/>
      </c>
      <c r="T335">
        <f>HYPERLINK("https://klasma.github.io/Logging_1737/karta/A 25999-2022 karta.png", "A 25999-2022")</f>
        <v/>
      </c>
      <c r="V335">
        <f>HYPERLINK("https://klasma.github.io/Logging_1737/klagomål/A 25999-2022 klagomål.docx", "A 25999-2022")</f>
        <v/>
      </c>
      <c r="W335">
        <f>HYPERLINK("https://klasma.github.io/Logging_1737/klagomålsmail/A 25999-2022 klagomålsmail.docx", "A 25999-2022")</f>
        <v/>
      </c>
      <c r="X335">
        <f>HYPERLINK("https://klasma.github.io/Logging_1737/tillsyn/A 25999-2022 tillsyn.docx", "A 25999-2022")</f>
        <v/>
      </c>
      <c r="Y335">
        <f>HYPERLINK("https://klasma.github.io/Logging_1737/tillsynsmail/A 25999-2022 tillsynsmail.docx", "A 25999-2022")</f>
        <v/>
      </c>
    </row>
    <row r="336" ht="15" customHeight="1">
      <c r="A336" t="inlineStr">
        <is>
          <t>A 26233-2022</t>
        </is>
      </c>
      <c r="B336" s="1" t="n">
        <v>44735</v>
      </c>
      <c r="C336" s="1" t="n">
        <v>45212</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 artfynd.xlsx", "A 26233-2022")</f>
        <v/>
      </c>
      <c r="T336">
        <f>HYPERLINK("https://klasma.github.io/Logging_1763/karta/A 26233-2022 karta.png", "A 26233-2022")</f>
        <v/>
      </c>
      <c r="V336">
        <f>HYPERLINK("https://klasma.github.io/Logging_1763/klagomål/A 26233-2022 klagomål.docx", "A 26233-2022")</f>
        <v/>
      </c>
      <c r="W336">
        <f>HYPERLINK("https://klasma.github.io/Logging_1763/klagomålsmail/A 26233-2022 klagomålsmail.docx", "A 26233-2022")</f>
        <v/>
      </c>
      <c r="X336">
        <f>HYPERLINK("https://klasma.github.io/Logging_1763/tillsyn/A 26233-2022 tillsyn.docx", "A 26233-2022")</f>
        <v/>
      </c>
      <c r="Y336">
        <f>HYPERLINK("https://klasma.github.io/Logging_1763/tillsynsmail/A 26233-2022 tillsynsmail.docx", "A 26233-2022")</f>
        <v/>
      </c>
    </row>
    <row r="337" ht="15" customHeight="1">
      <c r="A337" t="inlineStr">
        <is>
          <t>A 27105-2022</t>
        </is>
      </c>
      <c r="B337" s="1" t="n">
        <v>44741</v>
      </c>
      <c r="C337" s="1" t="n">
        <v>45212</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 artfynd.xlsx", "A 27105-2022")</f>
        <v/>
      </c>
      <c r="T337">
        <f>HYPERLINK("https://klasma.github.io/Logging_1782/karta/A 27105-2022 karta.png", "A 27105-2022")</f>
        <v/>
      </c>
      <c r="V337">
        <f>HYPERLINK("https://klasma.github.io/Logging_1782/klagomål/A 27105-2022 klagomål.docx", "A 27105-2022")</f>
        <v/>
      </c>
      <c r="W337">
        <f>HYPERLINK("https://klasma.github.io/Logging_1782/klagomålsmail/A 27105-2022 klagomålsmail.docx", "A 27105-2022")</f>
        <v/>
      </c>
      <c r="X337">
        <f>HYPERLINK("https://klasma.github.io/Logging_1782/tillsyn/A 27105-2022 tillsyn.docx", "A 27105-2022")</f>
        <v/>
      </c>
      <c r="Y337">
        <f>HYPERLINK("https://klasma.github.io/Logging_1782/tillsynsmail/A 27105-2022 tillsynsmail.docx", "A 27105-2022")</f>
        <v/>
      </c>
    </row>
    <row r="338" ht="15" customHeight="1">
      <c r="A338" t="inlineStr">
        <is>
          <t>A 29742-2022</t>
        </is>
      </c>
      <c r="B338" s="1" t="n">
        <v>44755</v>
      </c>
      <c r="C338" s="1" t="n">
        <v>45212</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 artfynd.xlsx", "A 29742-2022")</f>
        <v/>
      </c>
      <c r="T338">
        <f>HYPERLINK("https://klasma.github.io/Logging_1785/karta/A 29742-2022 karta.png", "A 29742-2022")</f>
        <v/>
      </c>
      <c r="V338">
        <f>HYPERLINK("https://klasma.github.io/Logging_1785/klagomål/A 29742-2022 klagomål.docx", "A 29742-2022")</f>
        <v/>
      </c>
      <c r="W338">
        <f>HYPERLINK("https://klasma.github.io/Logging_1785/klagomålsmail/A 29742-2022 klagomålsmail.docx", "A 29742-2022")</f>
        <v/>
      </c>
      <c r="X338">
        <f>HYPERLINK("https://klasma.github.io/Logging_1785/tillsyn/A 29742-2022 tillsyn.docx", "A 29742-2022")</f>
        <v/>
      </c>
      <c r="Y338">
        <f>HYPERLINK("https://klasma.github.io/Logging_1785/tillsynsmail/A 29742-2022 tillsynsmail.docx", "A 29742-2022")</f>
        <v/>
      </c>
    </row>
    <row r="339" ht="15" customHeight="1">
      <c r="A339" t="inlineStr">
        <is>
          <t>A 30596-2022</t>
        </is>
      </c>
      <c r="B339" s="1" t="n">
        <v>44762</v>
      </c>
      <c r="C339" s="1" t="n">
        <v>45212</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 artfynd.xlsx", "A 30596-2022")</f>
        <v/>
      </c>
      <c r="T339">
        <f>HYPERLINK("https://klasma.github.io/Logging_1785/karta/A 30596-2022 karta.png", "A 30596-2022")</f>
        <v/>
      </c>
      <c r="V339">
        <f>HYPERLINK("https://klasma.github.io/Logging_1785/klagomål/A 30596-2022 klagomål.docx", "A 30596-2022")</f>
        <v/>
      </c>
      <c r="W339">
        <f>HYPERLINK("https://klasma.github.io/Logging_1785/klagomålsmail/A 30596-2022 klagomålsmail.docx", "A 30596-2022")</f>
        <v/>
      </c>
      <c r="X339">
        <f>HYPERLINK("https://klasma.github.io/Logging_1785/tillsyn/A 30596-2022 tillsyn.docx", "A 30596-2022")</f>
        <v/>
      </c>
      <c r="Y339">
        <f>HYPERLINK("https://klasma.github.io/Logging_1785/tillsynsmail/A 30596-2022 tillsynsmail.docx", "A 30596-2022")</f>
        <v/>
      </c>
    </row>
    <row r="340" ht="15" customHeight="1">
      <c r="A340" t="inlineStr">
        <is>
          <t>A 34357-2022</t>
        </is>
      </c>
      <c r="B340" s="1" t="n">
        <v>44792</v>
      </c>
      <c r="C340" s="1" t="n">
        <v>45212</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 artfynd.xlsx", "A 34357-2022")</f>
        <v/>
      </c>
      <c r="T340">
        <f>HYPERLINK("https://klasma.github.io/Logging_1764/karta/A 34357-2022 karta.png", "A 34357-2022")</f>
        <v/>
      </c>
      <c r="V340">
        <f>HYPERLINK("https://klasma.github.io/Logging_1764/klagomål/A 34357-2022 klagomål.docx", "A 34357-2022")</f>
        <v/>
      </c>
      <c r="W340">
        <f>HYPERLINK("https://klasma.github.io/Logging_1764/klagomålsmail/A 34357-2022 klagomålsmail.docx", "A 34357-2022")</f>
        <v/>
      </c>
      <c r="X340">
        <f>HYPERLINK("https://klasma.github.io/Logging_1764/tillsyn/A 34357-2022 tillsyn.docx", "A 34357-2022")</f>
        <v/>
      </c>
      <c r="Y340">
        <f>HYPERLINK("https://klasma.github.io/Logging_1764/tillsynsmail/A 34357-2022 tillsynsmail.docx", "A 34357-2022")</f>
        <v/>
      </c>
    </row>
    <row r="341" ht="15" customHeight="1">
      <c r="A341" t="inlineStr">
        <is>
          <t>A 35709-2022</t>
        </is>
      </c>
      <c r="B341" s="1" t="n">
        <v>44799</v>
      </c>
      <c r="C341" s="1" t="n">
        <v>45212</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 artfynd.xlsx", "A 35709-2022")</f>
        <v/>
      </c>
      <c r="T341">
        <f>HYPERLINK("https://klasma.github.io/Logging_1737/karta/A 35709-2022 karta.png", "A 35709-2022")</f>
        <v/>
      </c>
      <c r="V341">
        <f>HYPERLINK("https://klasma.github.io/Logging_1737/klagomål/A 35709-2022 klagomål.docx", "A 35709-2022")</f>
        <v/>
      </c>
      <c r="W341">
        <f>HYPERLINK("https://klasma.github.io/Logging_1737/klagomålsmail/A 35709-2022 klagomålsmail.docx", "A 35709-2022")</f>
        <v/>
      </c>
      <c r="X341">
        <f>HYPERLINK("https://klasma.github.io/Logging_1737/tillsyn/A 35709-2022 tillsyn.docx", "A 35709-2022")</f>
        <v/>
      </c>
      <c r="Y341">
        <f>HYPERLINK("https://klasma.github.io/Logging_1737/tillsynsmail/A 35709-2022 tillsynsmail.docx", "A 35709-2022")</f>
        <v/>
      </c>
    </row>
    <row r="342" ht="15" customHeight="1">
      <c r="A342" t="inlineStr">
        <is>
          <t>A 36885-2022</t>
        </is>
      </c>
      <c r="B342" s="1" t="n">
        <v>44805</v>
      </c>
      <c r="C342" s="1" t="n">
        <v>45212</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 artfynd.xlsx", "A 36885-2022")</f>
        <v/>
      </c>
      <c r="T342">
        <f>HYPERLINK("https://klasma.github.io/Logging_1785/karta/A 36885-2022 karta.png", "A 36885-2022")</f>
        <v/>
      </c>
      <c r="V342">
        <f>HYPERLINK("https://klasma.github.io/Logging_1785/klagomål/A 36885-2022 klagomål.docx", "A 36885-2022")</f>
        <v/>
      </c>
      <c r="W342">
        <f>HYPERLINK("https://klasma.github.io/Logging_1785/klagomålsmail/A 36885-2022 klagomålsmail.docx", "A 36885-2022")</f>
        <v/>
      </c>
      <c r="X342">
        <f>HYPERLINK("https://klasma.github.io/Logging_1785/tillsyn/A 36885-2022 tillsyn.docx", "A 36885-2022")</f>
        <v/>
      </c>
      <c r="Y342">
        <f>HYPERLINK("https://klasma.github.io/Logging_1785/tillsynsmail/A 36885-2022 tillsynsmail.docx", "A 36885-2022")</f>
        <v/>
      </c>
    </row>
    <row r="343" ht="15" customHeight="1">
      <c r="A343" t="inlineStr">
        <is>
          <t>A 37408-2022</t>
        </is>
      </c>
      <c r="B343" s="1" t="n">
        <v>44809</v>
      </c>
      <c r="C343" s="1" t="n">
        <v>45212</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 artfynd.xlsx", "A 37408-2022")</f>
        <v/>
      </c>
      <c r="T343">
        <f>HYPERLINK("https://klasma.github.io/Logging_1715/karta/A 37408-2022 karta.png", "A 37408-2022")</f>
        <v/>
      </c>
      <c r="V343">
        <f>HYPERLINK("https://klasma.github.io/Logging_1715/klagomål/A 37408-2022 klagomål.docx", "A 37408-2022")</f>
        <v/>
      </c>
      <c r="W343">
        <f>HYPERLINK("https://klasma.github.io/Logging_1715/klagomålsmail/A 37408-2022 klagomålsmail.docx", "A 37408-2022")</f>
        <v/>
      </c>
      <c r="X343">
        <f>HYPERLINK("https://klasma.github.io/Logging_1715/tillsyn/A 37408-2022 tillsyn.docx", "A 37408-2022")</f>
        <v/>
      </c>
      <c r="Y343">
        <f>HYPERLINK("https://klasma.github.io/Logging_1715/tillsynsmail/A 37408-2022 tillsynsmail.docx", "A 37408-2022")</f>
        <v/>
      </c>
    </row>
    <row r="344" ht="15" customHeight="1">
      <c r="A344" t="inlineStr">
        <is>
          <t>A 38477-2022</t>
        </is>
      </c>
      <c r="B344" s="1" t="n">
        <v>44813</v>
      </c>
      <c r="C344" s="1" t="n">
        <v>45212</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 artfynd.xlsx", "A 38477-2022")</f>
        <v/>
      </c>
      <c r="T344">
        <f>HYPERLINK("https://klasma.github.io/Logging_1785/karta/A 38477-2022 karta.png", "A 38477-2022")</f>
        <v/>
      </c>
      <c r="V344">
        <f>HYPERLINK("https://klasma.github.io/Logging_1785/klagomål/A 38477-2022 klagomål.docx", "A 38477-2022")</f>
        <v/>
      </c>
      <c r="W344">
        <f>HYPERLINK("https://klasma.github.io/Logging_1785/klagomålsmail/A 38477-2022 klagomålsmail.docx", "A 38477-2022")</f>
        <v/>
      </c>
      <c r="X344">
        <f>HYPERLINK("https://klasma.github.io/Logging_1785/tillsyn/A 38477-2022 tillsyn.docx", "A 38477-2022")</f>
        <v/>
      </c>
      <c r="Y344">
        <f>HYPERLINK("https://klasma.github.io/Logging_1785/tillsynsmail/A 38477-2022 tillsynsmail.docx", "A 38477-2022")</f>
        <v/>
      </c>
    </row>
    <row r="345" ht="15" customHeight="1">
      <c r="A345" t="inlineStr">
        <is>
          <t>A 42500-2022</t>
        </is>
      </c>
      <c r="B345" s="1" t="n">
        <v>44831</v>
      </c>
      <c r="C345" s="1" t="n">
        <v>45212</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 artfynd.xlsx", "A 42500-2022")</f>
        <v/>
      </c>
      <c r="T345">
        <f>HYPERLINK("https://klasma.github.io/Logging_1737/karta/A 42500-2022 karta.png", "A 42500-2022")</f>
        <v/>
      </c>
      <c r="U345">
        <f>HYPERLINK("https://klasma.github.io/Logging_1737/knärot/A 42500-2022 knärot.png", "A 42500-2022")</f>
        <v/>
      </c>
      <c r="V345">
        <f>HYPERLINK("https://klasma.github.io/Logging_1737/klagomål/A 42500-2022 klagomål.docx", "A 42500-2022")</f>
        <v/>
      </c>
      <c r="W345">
        <f>HYPERLINK("https://klasma.github.io/Logging_1737/klagomålsmail/A 42500-2022 klagomålsmail.docx", "A 42500-2022")</f>
        <v/>
      </c>
      <c r="X345">
        <f>HYPERLINK("https://klasma.github.io/Logging_1737/tillsyn/A 42500-2022 tillsyn.docx", "A 42500-2022")</f>
        <v/>
      </c>
      <c r="Y345">
        <f>HYPERLINK("https://klasma.github.io/Logging_1737/tillsynsmail/A 42500-2022 tillsynsmail.docx", "A 42500-2022")</f>
        <v/>
      </c>
    </row>
    <row r="346" ht="15" customHeight="1">
      <c r="A346" t="inlineStr">
        <is>
          <t>A 44007-2022</t>
        </is>
      </c>
      <c r="B346" s="1" t="n">
        <v>44838</v>
      </c>
      <c r="C346" s="1" t="n">
        <v>45212</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 artfynd.xlsx", "A 44007-2022")</f>
        <v/>
      </c>
      <c r="T346">
        <f>HYPERLINK("https://klasma.github.io/Logging_1737/karta/A 44007-2022 karta.png", "A 44007-2022")</f>
        <v/>
      </c>
      <c r="V346">
        <f>HYPERLINK("https://klasma.github.io/Logging_1737/klagomål/A 44007-2022 klagomål.docx", "A 44007-2022")</f>
        <v/>
      </c>
      <c r="W346">
        <f>HYPERLINK("https://klasma.github.io/Logging_1737/klagomålsmail/A 44007-2022 klagomålsmail.docx", "A 44007-2022")</f>
        <v/>
      </c>
      <c r="X346">
        <f>HYPERLINK("https://klasma.github.io/Logging_1737/tillsyn/A 44007-2022 tillsyn.docx", "A 44007-2022")</f>
        <v/>
      </c>
      <c r="Y346">
        <f>HYPERLINK("https://klasma.github.io/Logging_1737/tillsynsmail/A 44007-2022 tillsynsmail.docx", "A 44007-2022")</f>
        <v/>
      </c>
    </row>
    <row r="347" ht="15" customHeight="1">
      <c r="A347" t="inlineStr">
        <is>
          <t>A 45293-2022</t>
        </is>
      </c>
      <c r="B347" s="1" t="n">
        <v>44840</v>
      </c>
      <c r="C347" s="1" t="n">
        <v>45212</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 artfynd.xlsx", "A 45293-2022")</f>
        <v/>
      </c>
      <c r="T347">
        <f>HYPERLINK("https://klasma.github.io/Logging_1766/karta/A 45293-2022 karta.png", "A 45293-2022")</f>
        <v/>
      </c>
      <c r="V347">
        <f>HYPERLINK("https://klasma.github.io/Logging_1766/klagomål/A 45293-2022 klagomål.docx", "A 45293-2022")</f>
        <v/>
      </c>
      <c r="W347">
        <f>HYPERLINK("https://klasma.github.io/Logging_1766/klagomålsmail/A 45293-2022 klagomålsmail.docx", "A 45293-2022")</f>
        <v/>
      </c>
      <c r="X347">
        <f>HYPERLINK("https://klasma.github.io/Logging_1766/tillsyn/A 45293-2022 tillsyn.docx", "A 45293-2022")</f>
        <v/>
      </c>
      <c r="Y347">
        <f>HYPERLINK("https://klasma.github.io/Logging_1766/tillsynsmail/A 45293-2022 tillsynsmail.docx", "A 45293-2022")</f>
        <v/>
      </c>
    </row>
    <row r="348" ht="15" customHeight="1">
      <c r="A348" t="inlineStr">
        <is>
          <t>A 45938-2022</t>
        </is>
      </c>
      <c r="B348" s="1" t="n">
        <v>44846</v>
      </c>
      <c r="C348" s="1" t="n">
        <v>45212</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 artfynd.xlsx", "A 45938-2022")</f>
        <v/>
      </c>
      <c r="T348">
        <f>HYPERLINK("https://klasma.github.io/Logging_1765/karta/A 45938-2022 karta.png", "A 45938-2022")</f>
        <v/>
      </c>
      <c r="U348">
        <f>HYPERLINK("https://klasma.github.io/Logging_1765/knärot/A 45938-2022 knärot.png", "A 45938-2022")</f>
        <v/>
      </c>
      <c r="V348">
        <f>HYPERLINK("https://klasma.github.io/Logging_1765/klagomål/A 45938-2022 klagomål.docx", "A 45938-2022")</f>
        <v/>
      </c>
      <c r="W348">
        <f>HYPERLINK("https://klasma.github.io/Logging_1765/klagomålsmail/A 45938-2022 klagomålsmail.docx", "A 45938-2022")</f>
        <v/>
      </c>
      <c r="X348">
        <f>HYPERLINK("https://klasma.github.io/Logging_1765/tillsyn/A 45938-2022 tillsyn.docx", "A 45938-2022")</f>
        <v/>
      </c>
      <c r="Y348">
        <f>HYPERLINK("https://klasma.github.io/Logging_1765/tillsynsmail/A 45938-2022 tillsynsmail.docx", "A 45938-2022")</f>
        <v/>
      </c>
    </row>
    <row r="349" ht="15" customHeight="1">
      <c r="A349" t="inlineStr">
        <is>
          <t>A 46927-2022</t>
        </is>
      </c>
      <c r="B349" s="1" t="n">
        <v>44851</v>
      </c>
      <c r="C349" s="1" t="n">
        <v>45212</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 artfynd.xlsx", "A 46927-2022")</f>
        <v/>
      </c>
      <c r="T349">
        <f>HYPERLINK("https://klasma.github.io/Logging_1784/karta/A 46927-2022 karta.png", "A 46927-2022")</f>
        <v/>
      </c>
      <c r="U349">
        <f>HYPERLINK("https://klasma.github.io/Logging_1784/knärot/A 46927-2022 knärot.png", "A 46927-2022")</f>
        <v/>
      </c>
      <c r="V349">
        <f>HYPERLINK("https://klasma.github.io/Logging_1784/klagomål/A 46927-2022 klagomål.docx", "A 46927-2022")</f>
        <v/>
      </c>
      <c r="W349">
        <f>HYPERLINK("https://klasma.github.io/Logging_1784/klagomålsmail/A 46927-2022 klagomålsmail.docx", "A 46927-2022")</f>
        <v/>
      </c>
      <c r="X349">
        <f>HYPERLINK("https://klasma.github.io/Logging_1784/tillsyn/A 46927-2022 tillsyn.docx", "A 46927-2022")</f>
        <v/>
      </c>
      <c r="Y349">
        <f>HYPERLINK("https://klasma.github.io/Logging_1784/tillsynsmail/A 46927-2022 tillsynsmail.docx", "A 46927-2022")</f>
        <v/>
      </c>
    </row>
    <row r="350" ht="15" customHeight="1">
      <c r="A350" t="inlineStr">
        <is>
          <t>A 47699-2022</t>
        </is>
      </c>
      <c r="B350" s="1" t="n">
        <v>44854</v>
      </c>
      <c r="C350" s="1" t="n">
        <v>45212</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 artfynd.xlsx", "A 47699-2022")</f>
        <v/>
      </c>
      <c r="T350">
        <f>HYPERLINK("https://klasma.github.io/Logging_1784/karta/A 47699-2022 karta.png", "A 47699-2022")</f>
        <v/>
      </c>
      <c r="V350">
        <f>HYPERLINK("https://klasma.github.io/Logging_1784/klagomål/A 47699-2022 klagomål.docx", "A 47699-2022")</f>
        <v/>
      </c>
      <c r="W350">
        <f>HYPERLINK("https://klasma.github.io/Logging_1784/klagomålsmail/A 47699-2022 klagomålsmail.docx", "A 47699-2022")</f>
        <v/>
      </c>
      <c r="X350">
        <f>HYPERLINK("https://klasma.github.io/Logging_1784/tillsyn/A 47699-2022 tillsyn.docx", "A 47699-2022")</f>
        <v/>
      </c>
      <c r="Y350">
        <f>HYPERLINK("https://klasma.github.io/Logging_1784/tillsynsmail/A 47699-2022 tillsynsmail.docx", "A 47699-2022")</f>
        <v/>
      </c>
    </row>
    <row r="351" ht="15" customHeight="1">
      <c r="A351" t="inlineStr">
        <is>
          <t>A 48243-2022</t>
        </is>
      </c>
      <c r="B351" s="1" t="n">
        <v>44858</v>
      </c>
      <c r="C351" s="1" t="n">
        <v>45212</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 artfynd.xlsx", "A 48243-2022")</f>
        <v/>
      </c>
      <c r="T351">
        <f>HYPERLINK("https://klasma.github.io/Logging_1760/karta/A 48243-2022 karta.png", "A 48243-2022")</f>
        <v/>
      </c>
      <c r="V351">
        <f>HYPERLINK("https://klasma.github.io/Logging_1760/klagomål/A 48243-2022 klagomål.docx", "A 48243-2022")</f>
        <v/>
      </c>
      <c r="W351">
        <f>HYPERLINK("https://klasma.github.io/Logging_1760/klagomålsmail/A 48243-2022 klagomålsmail.docx", "A 48243-2022")</f>
        <v/>
      </c>
      <c r="X351">
        <f>HYPERLINK("https://klasma.github.io/Logging_1760/tillsyn/A 48243-2022 tillsyn.docx", "A 48243-2022")</f>
        <v/>
      </c>
      <c r="Y351">
        <f>HYPERLINK("https://klasma.github.io/Logging_1760/tillsynsmail/A 48243-2022 tillsynsmail.docx", "A 48243-2022")</f>
        <v/>
      </c>
    </row>
    <row r="352" ht="15" customHeight="1">
      <c r="A352" t="inlineStr">
        <is>
          <t>A 50236-2022</t>
        </is>
      </c>
      <c r="B352" s="1" t="n">
        <v>44865</v>
      </c>
      <c r="C352" s="1" t="n">
        <v>45212</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 artfynd.xlsx", "A 50236-2022")</f>
        <v/>
      </c>
      <c r="T352">
        <f>HYPERLINK("https://klasma.github.io/Logging_1737/karta/A 50236-2022 karta.png", "A 50236-2022")</f>
        <v/>
      </c>
      <c r="V352">
        <f>HYPERLINK("https://klasma.github.io/Logging_1737/klagomål/A 50236-2022 klagomål.docx", "A 50236-2022")</f>
        <v/>
      </c>
      <c r="W352">
        <f>HYPERLINK("https://klasma.github.io/Logging_1737/klagomålsmail/A 50236-2022 klagomålsmail.docx", "A 50236-2022")</f>
        <v/>
      </c>
      <c r="X352">
        <f>HYPERLINK("https://klasma.github.io/Logging_1737/tillsyn/A 50236-2022 tillsyn.docx", "A 50236-2022")</f>
        <v/>
      </c>
      <c r="Y352">
        <f>HYPERLINK("https://klasma.github.io/Logging_1737/tillsynsmail/A 50236-2022 tillsynsmail.docx", "A 50236-2022")</f>
        <v/>
      </c>
    </row>
    <row r="353" ht="15" customHeight="1">
      <c r="A353" t="inlineStr">
        <is>
          <t>A 51288-2022</t>
        </is>
      </c>
      <c r="B353" s="1" t="n">
        <v>44868</v>
      </c>
      <c r="C353" s="1" t="n">
        <v>45212</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 artfynd.xlsx", "A 51288-2022")</f>
        <v/>
      </c>
      <c r="T353">
        <f>HYPERLINK("https://klasma.github.io/Logging_1737/karta/A 51288-2022 karta.png", "A 51288-2022")</f>
        <v/>
      </c>
      <c r="V353">
        <f>HYPERLINK("https://klasma.github.io/Logging_1737/klagomål/A 51288-2022 klagomål.docx", "A 51288-2022")</f>
        <v/>
      </c>
      <c r="W353">
        <f>HYPERLINK("https://klasma.github.io/Logging_1737/klagomålsmail/A 51288-2022 klagomålsmail.docx", "A 51288-2022")</f>
        <v/>
      </c>
      <c r="X353">
        <f>HYPERLINK("https://klasma.github.io/Logging_1737/tillsyn/A 51288-2022 tillsyn.docx", "A 51288-2022")</f>
        <v/>
      </c>
      <c r="Y353">
        <f>HYPERLINK("https://klasma.github.io/Logging_1737/tillsynsmail/A 51288-2022 tillsynsmail.docx", "A 51288-2022")</f>
        <v/>
      </c>
    </row>
    <row r="354" ht="15" customHeight="1">
      <c r="A354" t="inlineStr">
        <is>
          <t>A 51522-2022</t>
        </is>
      </c>
      <c r="B354" s="1" t="n">
        <v>44869</v>
      </c>
      <c r="C354" s="1" t="n">
        <v>45212</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 artfynd.xlsx", "A 51522-2022")</f>
        <v/>
      </c>
      <c r="T354">
        <f>HYPERLINK("https://klasma.github.io/Logging_1782/karta/A 51522-2022 karta.png", "A 51522-2022")</f>
        <v/>
      </c>
      <c r="V354">
        <f>HYPERLINK("https://klasma.github.io/Logging_1782/klagomål/A 51522-2022 klagomål.docx", "A 51522-2022")</f>
        <v/>
      </c>
      <c r="W354">
        <f>HYPERLINK("https://klasma.github.io/Logging_1782/klagomålsmail/A 51522-2022 klagomålsmail.docx", "A 51522-2022")</f>
        <v/>
      </c>
      <c r="X354">
        <f>HYPERLINK("https://klasma.github.io/Logging_1782/tillsyn/A 51522-2022 tillsyn.docx", "A 51522-2022")</f>
        <v/>
      </c>
      <c r="Y354">
        <f>HYPERLINK("https://klasma.github.io/Logging_1782/tillsynsmail/A 51522-2022 tillsynsmail.docx", "A 51522-2022")</f>
        <v/>
      </c>
    </row>
    <row r="355" ht="15" customHeight="1">
      <c r="A355" t="inlineStr">
        <is>
          <t>A 52166-2022</t>
        </is>
      </c>
      <c r="B355" s="1" t="n">
        <v>44873</v>
      </c>
      <c r="C355" s="1" t="n">
        <v>45212</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 artfynd.xlsx", "A 52166-2022")</f>
        <v/>
      </c>
      <c r="T355">
        <f>HYPERLINK("https://klasma.github.io/Logging_1765/karta/A 52166-2022 karta.png", "A 52166-2022")</f>
        <v/>
      </c>
      <c r="V355">
        <f>HYPERLINK("https://klasma.github.io/Logging_1765/klagomål/A 52166-2022 klagomål.docx", "A 52166-2022")</f>
        <v/>
      </c>
      <c r="W355">
        <f>HYPERLINK("https://klasma.github.io/Logging_1765/klagomålsmail/A 52166-2022 klagomålsmail.docx", "A 52166-2022")</f>
        <v/>
      </c>
      <c r="X355">
        <f>HYPERLINK("https://klasma.github.io/Logging_1765/tillsyn/A 52166-2022 tillsyn.docx", "A 52166-2022")</f>
        <v/>
      </c>
      <c r="Y355">
        <f>HYPERLINK("https://klasma.github.io/Logging_1765/tillsynsmail/A 52166-2022 tillsynsmail.docx", "A 52166-2022")</f>
        <v/>
      </c>
    </row>
    <row r="356" ht="15" customHeight="1">
      <c r="A356" t="inlineStr">
        <is>
          <t>A 54957-2022</t>
        </is>
      </c>
      <c r="B356" s="1" t="n">
        <v>44886</v>
      </c>
      <c r="C356" s="1" t="n">
        <v>45212</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 artfynd.xlsx", "A 54957-2022")</f>
        <v/>
      </c>
      <c r="T356">
        <f>HYPERLINK("https://klasma.github.io/Logging_1785/karta/A 54957-2022 karta.png", "A 54957-2022")</f>
        <v/>
      </c>
      <c r="V356">
        <f>HYPERLINK("https://klasma.github.io/Logging_1785/klagomål/A 54957-2022 klagomål.docx", "A 54957-2022")</f>
        <v/>
      </c>
      <c r="W356">
        <f>HYPERLINK("https://klasma.github.io/Logging_1785/klagomålsmail/A 54957-2022 klagomålsmail.docx", "A 54957-2022")</f>
        <v/>
      </c>
      <c r="X356">
        <f>HYPERLINK("https://klasma.github.io/Logging_1785/tillsyn/A 54957-2022 tillsyn.docx", "A 54957-2022")</f>
        <v/>
      </c>
      <c r="Y356">
        <f>HYPERLINK("https://klasma.github.io/Logging_1785/tillsynsmail/A 54957-2022 tillsynsmail.docx", "A 54957-2022")</f>
        <v/>
      </c>
    </row>
    <row r="357" ht="15" customHeight="1">
      <c r="A357" t="inlineStr">
        <is>
          <t>A 56083-2022</t>
        </is>
      </c>
      <c r="B357" s="1" t="n">
        <v>44889</v>
      </c>
      <c r="C357" s="1" t="n">
        <v>45212</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 artfynd.xlsx", "A 56083-2022")</f>
        <v/>
      </c>
      <c r="T357">
        <f>HYPERLINK("https://klasma.github.io/Logging_1783/karta/A 56083-2022 karta.png", "A 56083-2022")</f>
        <v/>
      </c>
      <c r="V357">
        <f>HYPERLINK("https://klasma.github.io/Logging_1783/klagomål/A 56083-2022 klagomål.docx", "A 56083-2022")</f>
        <v/>
      </c>
      <c r="W357">
        <f>HYPERLINK("https://klasma.github.io/Logging_1783/klagomålsmail/A 56083-2022 klagomålsmail.docx", "A 56083-2022")</f>
        <v/>
      </c>
      <c r="X357">
        <f>HYPERLINK("https://klasma.github.io/Logging_1783/tillsyn/A 56083-2022 tillsyn.docx", "A 56083-2022")</f>
        <v/>
      </c>
      <c r="Y357">
        <f>HYPERLINK("https://klasma.github.io/Logging_1783/tillsynsmail/A 56083-2022 tillsynsmail.docx", "A 56083-2022")</f>
        <v/>
      </c>
    </row>
    <row r="358" ht="15" customHeight="1">
      <c r="A358" t="inlineStr">
        <is>
          <t>A 56590-2022</t>
        </is>
      </c>
      <c r="B358" s="1" t="n">
        <v>44893</v>
      </c>
      <c r="C358" s="1" t="n">
        <v>45212</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 artfynd.xlsx", "A 56590-2022")</f>
        <v/>
      </c>
      <c r="T358">
        <f>HYPERLINK("https://klasma.github.io/Logging_1781/karta/A 56590-2022 karta.png", "A 56590-2022")</f>
        <v/>
      </c>
      <c r="V358">
        <f>HYPERLINK("https://klasma.github.io/Logging_1781/klagomål/A 56590-2022 klagomål.docx", "A 56590-2022")</f>
        <v/>
      </c>
      <c r="W358">
        <f>HYPERLINK("https://klasma.github.io/Logging_1781/klagomålsmail/A 56590-2022 klagomålsmail.docx", "A 56590-2022")</f>
        <v/>
      </c>
      <c r="X358">
        <f>HYPERLINK("https://klasma.github.io/Logging_1781/tillsyn/A 56590-2022 tillsyn.docx", "A 56590-2022")</f>
        <v/>
      </c>
      <c r="Y358">
        <f>HYPERLINK("https://klasma.github.io/Logging_1781/tillsynsmail/A 56590-2022 tillsynsmail.docx", "A 56590-2022")</f>
        <v/>
      </c>
    </row>
    <row r="359" ht="15" customHeight="1">
      <c r="A359" t="inlineStr">
        <is>
          <t>A 56642-2022</t>
        </is>
      </c>
      <c r="B359" s="1" t="n">
        <v>44893</v>
      </c>
      <c r="C359" s="1" t="n">
        <v>45212</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 artfynd.xlsx", "A 56642-2022")</f>
        <v/>
      </c>
      <c r="T359">
        <f>HYPERLINK("https://klasma.github.io/Logging_1715/karta/A 56642-2022 karta.png", "A 56642-2022")</f>
        <v/>
      </c>
      <c r="V359">
        <f>HYPERLINK("https://klasma.github.io/Logging_1715/klagomål/A 56642-2022 klagomål.docx", "A 56642-2022")</f>
        <v/>
      </c>
      <c r="W359">
        <f>HYPERLINK("https://klasma.github.io/Logging_1715/klagomålsmail/A 56642-2022 klagomålsmail.docx", "A 56642-2022")</f>
        <v/>
      </c>
      <c r="X359">
        <f>HYPERLINK("https://klasma.github.io/Logging_1715/tillsyn/A 56642-2022 tillsyn.docx", "A 56642-2022")</f>
        <v/>
      </c>
      <c r="Y359">
        <f>HYPERLINK("https://klasma.github.io/Logging_1715/tillsynsmail/A 56642-2022 tillsynsmail.docx", "A 56642-2022")</f>
        <v/>
      </c>
    </row>
    <row r="360" ht="15" customHeight="1">
      <c r="A360" t="inlineStr">
        <is>
          <t>A 56676-2022</t>
        </is>
      </c>
      <c r="B360" s="1" t="n">
        <v>44893</v>
      </c>
      <c r="C360" s="1" t="n">
        <v>45212</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 artfynd.xlsx", "A 56676-2022")</f>
        <v/>
      </c>
      <c r="T360">
        <f>HYPERLINK("https://klasma.github.io/Logging_1784/karta/A 56676-2022 karta.png", "A 56676-2022")</f>
        <v/>
      </c>
      <c r="U360">
        <f>HYPERLINK("https://klasma.github.io/Logging_1784/knärot/A 56676-2022 knärot.png", "A 56676-2022")</f>
        <v/>
      </c>
      <c r="V360">
        <f>HYPERLINK("https://klasma.github.io/Logging_1784/klagomål/A 56676-2022 klagomål.docx", "A 56676-2022")</f>
        <v/>
      </c>
      <c r="W360">
        <f>HYPERLINK("https://klasma.github.io/Logging_1784/klagomålsmail/A 56676-2022 klagomålsmail.docx", "A 56676-2022")</f>
        <v/>
      </c>
      <c r="X360">
        <f>HYPERLINK("https://klasma.github.io/Logging_1784/tillsyn/A 56676-2022 tillsyn.docx", "A 56676-2022")</f>
        <v/>
      </c>
      <c r="Y360">
        <f>HYPERLINK("https://klasma.github.io/Logging_1784/tillsynsmail/A 56676-2022 tillsynsmail.docx", "A 56676-2022")</f>
        <v/>
      </c>
    </row>
    <row r="361" ht="15" customHeight="1">
      <c r="A361" t="inlineStr">
        <is>
          <t>A 56794-2022</t>
        </is>
      </c>
      <c r="B361" s="1" t="n">
        <v>44894</v>
      </c>
      <c r="C361" s="1" t="n">
        <v>45212</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 artfynd.xlsx", "A 56794-2022")</f>
        <v/>
      </c>
      <c r="T361">
        <f>HYPERLINK("https://klasma.github.io/Logging_1785/karta/A 56794-2022 karta.png", "A 56794-2022")</f>
        <v/>
      </c>
      <c r="V361">
        <f>HYPERLINK("https://klasma.github.io/Logging_1785/klagomål/A 56794-2022 klagomål.docx", "A 56794-2022")</f>
        <v/>
      </c>
      <c r="W361">
        <f>HYPERLINK("https://klasma.github.io/Logging_1785/klagomålsmail/A 56794-2022 klagomålsmail.docx", "A 56794-2022")</f>
        <v/>
      </c>
      <c r="X361">
        <f>HYPERLINK("https://klasma.github.io/Logging_1785/tillsyn/A 56794-2022 tillsyn.docx", "A 56794-2022")</f>
        <v/>
      </c>
      <c r="Y361">
        <f>HYPERLINK("https://klasma.github.io/Logging_1785/tillsynsmail/A 56794-2022 tillsynsmail.docx", "A 56794-2022")</f>
        <v/>
      </c>
    </row>
    <row r="362" ht="15" customHeight="1">
      <c r="A362" t="inlineStr">
        <is>
          <t>A 59323-2022</t>
        </is>
      </c>
      <c r="B362" s="1" t="n">
        <v>44904</v>
      </c>
      <c r="C362" s="1" t="n">
        <v>45212</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HYPERLINK("https://klasma.github.io/Logging_1766/karta/A 59323-2022 karta.png", "A 59323-2022")</f>
        <v/>
      </c>
      <c r="V362">
        <f>HYPERLINK("https://klasma.github.io/Logging_1766/klagomål/A 59323-2022 klagomål.docx", "A 59323-2022")</f>
        <v/>
      </c>
      <c r="W362">
        <f>HYPERLINK("https://klasma.github.io/Logging_1766/klagomålsmail/A 59323-2022 klagomålsmail.docx", "A 59323-2022")</f>
        <v/>
      </c>
      <c r="X362">
        <f>HYPERLINK("https://klasma.github.io/Logging_1766/tillsyn/A 59323-2022 tillsyn.docx", "A 59323-2022")</f>
        <v/>
      </c>
      <c r="Y362">
        <f>HYPERLINK("https://klasma.github.io/Logging_1766/tillsynsmail/A 59323-2022 tillsynsmail.docx", "A 59323-2022")</f>
        <v/>
      </c>
    </row>
    <row r="363" ht="15" customHeight="1">
      <c r="A363" t="inlineStr">
        <is>
          <t>A 60736-2022</t>
        </is>
      </c>
      <c r="B363" s="1" t="n">
        <v>44913</v>
      </c>
      <c r="C363" s="1" t="n">
        <v>45212</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 artfynd.xlsx", "A 60736-2022")</f>
        <v/>
      </c>
      <c r="T363">
        <f>HYPERLINK("https://klasma.github.io/Logging_1763/karta/A 60736-2022 karta.png", "A 60736-2022")</f>
        <v/>
      </c>
      <c r="V363">
        <f>HYPERLINK("https://klasma.github.io/Logging_1763/klagomål/A 60736-2022 klagomål.docx", "A 60736-2022")</f>
        <v/>
      </c>
      <c r="W363">
        <f>HYPERLINK("https://klasma.github.io/Logging_1763/klagomålsmail/A 60736-2022 klagomålsmail.docx", "A 60736-2022")</f>
        <v/>
      </c>
      <c r="X363">
        <f>HYPERLINK("https://klasma.github.io/Logging_1763/tillsyn/A 60736-2022 tillsyn.docx", "A 60736-2022")</f>
        <v/>
      </c>
      <c r="Y363">
        <f>HYPERLINK("https://klasma.github.io/Logging_1763/tillsynsmail/A 60736-2022 tillsynsmail.docx", "A 60736-2022")</f>
        <v/>
      </c>
    </row>
    <row r="364" ht="15" customHeight="1">
      <c r="A364" t="inlineStr">
        <is>
          <t>A 62010-2022</t>
        </is>
      </c>
      <c r="B364" s="1" t="n">
        <v>44914</v>
      </c>
      <c r="C364" s="1" t="n">
        <v>45212</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 artfynd.xlsx", "A 62010-2022")</f>
        <v/>
      </c>
      <c r="T364">
        <f>HYPERLINK("https://klasma.github.io/Logging_1715/karta/A 62010-2022 karta.png", "A 62010-2022")</f>
        <v/>
      </c>
      <c r="V364">
        <f>HYPERLINK("https://klasma.github.io/Logging_1715/klagomål/A 62010-2022 klagomål.docx", "A 62010-2022")</f>
        <v/>
      </c>
      <c r="W364">
        <f>HYPERLINK("https://klasma.github.io/Logging_1715/klagomålsmail/A 62010-2022 klagomålsmail.docx", "A 62010-2022")</f>
        <v/>
      </c>
      <c r="X364">
        <f>HYPERLINK("https://klasma.github.io/Logging_1715/tillsyn/A 62010-2022 tillsyn.docx", "A 62010-2022")</f>
        <v/>
      </c>
      <c r="Y364">
        <f>HYPERLINK("https://klasma.github.io/Logging_1715/tillsynsmail/A 62010-2022 tillsynsmail.docx", "A 62010-2022")</f>
        <v/>
      </c>
    </row>
    <row r="365" ht="15" customHeight="1">
      <c r="A365" t="inlineStr">
        <is>
          <t>A 1823-2023</t>
        </is>
      </c>
      <c r="B365" s="1" t="n">
        <v>44938</v>
      </c>
      <c r="C365" s="1" t="n">
        <v>45212</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 artfynd.xlsx", "A 1823-2023")</f>
        <v/>
      </c>
      <c r="T365">
        <f>HYPERLINK("https://klasma.github.io/Logging_1785/karta/A 1823-2023 karta.png", "A 1823-2023")</f>
        <v/>
      </c>
      <c r="V365">
        <f>HYPERLINK("https://klasma.github.io/Logging_1785/klagomål/A 1823-2023 klagomål.docx", "A 1823-2023")</f>
        <v/>
      </c>
      <c r="W365">
        <f>HYPERLINK("https://klasma.github.io/Logging_1785/klagomålsmail/A 1823-2023 klagomålsmail.docx", "A 1823-2023")</f>
        <v/>
      </c>
      <c r="X365">
        <f>HYPERLINK("https://klasma.github.io/Logging_1785/tillsyn/A 1823-2023 tillsyn.docx", "A 1823-2023")</f>
        <v/>
      </c>
      <c r="Y365">
        <f>HYPERLINK("https://klasma.github.io/Logging_1785/tillsynsmail/A 1823-2023 tillsynsmail.docx", "A 1823-2023")</f>
        <v/>
      </c>
    </row>
    <row r="366" ht="15" customHeight="1">
      <c r="A366" t="inlineStr">
        <is>
          <t>A 6661-2023</t>
        </is>
      </c>
      <c r="B366" s="1" t="n">
        <v>44963</v>
      </c>
      <c r="C366" s="1" t="n">
        <v>45212</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 artfynd.xlsx", "A 6661-2023")</f>
        <v/>
      </c>
      <c r="T366">
        <f>HYPERLINK("https://klasma.github.io/Logging_1766/karta/A 6661-2023 karta.png", "A 6661-2023")</f>
        <v/>
      </c>
      <c r="V366">
        <f>HYPERLINK("https://klasma.github.io/Logging_1766/klagomål/A 6661-2023 klagomål.docx", "A 6661-2023")</f>
        <v/>
      </c>
      <c r="W366">
        <f>HYPERLINK("https://klasma.github.io/Logging_1766/klagomålsmail/A 6661-2023 klagomålsmail.docx", "A 6661-2023")</f>
        <v/>
      </c>
      <c r="X366">
        <f>HYPERLINK("https://klasma.github.io/Logging_1766/tillsyn/A 6661-2023 tillsyn.docx", "A 6661-2023")</f>
        <v/>
      </c>
      <c r="Y366">
        <f>HYPERLINK("https://klasma.github.io/Logging_1766/tillsynsmail/A 6661-2023 tillsynsmail.docx", "A 6661-2023")</f>
        <v/>
      </c>
    </row>
    <row r="367" ht="15" customHeight="1">
      <c r="A367" t="inlineStr">
        <is>
          <t>A 7240-2023</t>
        </is>
      </c>
      <c r="B367" s="1" t="n">
        <v>44970</v>
      </c>
      <c r="C367" s="1" t="n">
        <v>45212</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 artfynd.xlsx", "A 7240-2023")</f>
        <v/>
      </c>
      <c r="T367">
        <f>HYPERLINK("https://klasma.github.io/Logging_1730/karta/A 7240-2023 karta.png", "A 7240-2023")</f>
        <v/>
      </c>
      <c r="V367">
        <f>HYPERLINK("https://klasma.github.io/Logging_1730/klagomål/A 7240-2023 klagomål.docx", "A 7240-2023")</f>
        <v/>
      </c>
      <c r="W367">
        <f>HYPERLINK("https://klasma.github.io/Logging_1730/klagomålsmail/A 7240-2023 klagomålsmail.docx", "A 7240-2023")</f>
        <v/>
      </c>
      <c r="X367">
        <f>HYPERLINK("https://klasma.github.io/Logging_1730/tillsyn/A 7240-2023 tillsyn.docx", "A 7240-2023")</f>
        <v/>
      </c>
      <c r="Y367">
        <f>HYPERLINK("https://klasma.github.io/Logging_1730/tillsynsmail/A 7240-2023 tillsynsmail.docx", "A 7240-2023")</f>
        <v/>
      </c>
    </row>
    <row r="368" ht="15" customHeight="1">
      <c r="A368" t="inlineStr">
        <is>
          <t>A 8525-2023</t>
        </is>
      </c>
      <c r="B368" s="1" t="n">
        <v>44977</v>
      </c>
      <c r="C368" s="1" t="n">
        <v>45212</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 artfynd.xlsx", "A 8525-2023")</f>
        <v/>
      </c>
      <c r="T368">
        <f>HYPERLINK("https://klasma.github.io/Logging_1784/karta/A 8525-2023 karta.png", "A 8525-2023")</f>
        <v/>
      </c>
      <c r="U368">
        <f>HYPERLINK("https://klasma.github.io/Logging_1784/knärot/A 8525-2023 knärot.png", "A 8525-2023")</f>
        <v/>
      </c>
      <c r="V368">
        <f>HYPERLINK("https://klasma.github.io/Logging_1784/klagomål/A 8525-2023 klagomål.docx", "A 8525-2023")</f>
        <v/>
      </c>
      <c r="W368">
        <f>HYPERLINK("https://klasma.github.io/Logging_1784/klagomålsmail/A 8525-2023 klagomålsmail.docx", "A 8525-2023")</f>
        <v/>
      </c>
      <c r="X368">
        <f>HYPERLINK("https://klasma.github.io/Logging_1784/tillsyn/A 8525-2023 tillsyn.docx", "A 8525-2023")</f>
        <v/>
      </c>
      <c r="Y368">
        <f>HYPERLINK("https://klasma.github.io/Logging_1784/tillsynsmail/A 8525-2023 tillsynsmail.docx", "A 8525-2023")</f>
        <v/>
      </c>
    </row>
    <row r="369" ht="15" customHeight="1">
      <c r="A369" t="inlineStr">
        <is>
          <t>A 8591-2023</t>
        </is>
      </c>
      <c r="B369" s="1" t="n">
        <v>44977</v>
      </c>
      <c r="C369" s="1" t="n">
        <v>45212</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 artfynd.xlsx", "A 8591-2023")</f>
        <v/>
      </c>
      <c r="T369">
        <f>HYPERLINK("https://klasma.github.io/Logging_1784/karta/A 8591-2023 karta.png", "A 8591-2023")</f>
        <v/>
      </c>
      <c r="U369">
        <f>HYPERLINK("https://klasma.github.io/Logging_1784/knärot/A 8591-2023 knärot.png", "A 8591-2023")</f>
        <v/>
      </c>
      <c r="V369">
        <f>HYPERLINK("https://klasma.github.io/Logging_1784/klagomål/A 8591-2023 klagomål.docx", "A 8591-2023")</f>
        <v/>
      </c>
      <c r="W369">
        <f>HYPERLINK("https://klasma.github.io/Logging_1784/klagomålsmail/A 8591-2023 klagomålsmail.docx", "A 8591-2023")</f>
        <v/>
      </c>
      <c r="X369">
        <f>HYPERLINK("https://klasma.github.io/Logging_1784/tillsyn/A 8591-2023 tillsyn.docx", "A 8591-2023")</f>
        <v/>
      </c>
      <c r="Y369">
        <f>HYPERLINK("https://klasma.github.io/Logging_1784/tillsynsmail/A 8591-2023 tillsynsmail.docx", "A 8591-2023")</f>
        <v/>
      </c>
    </row>
    <row r="370" ht="15" customHeight="1">
      <c r="A370" t="inlineStr">
        <is>
          <t>A 10279-2023</t>
        </is>
      </c>
      <c r="B370" s="1" t="n">
        <v>44986</v>
      </c>
      <c r="C370" s="1" t="n">
        <v>45212</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 artfynd.xlsx", "A 10279-2023")</f>
        <v/>
      </c>
      <c r="T370">
        <f>HYPERLINK("https://klasma.github.io/Logging_1766/karta/A 10279-2023 karta.png", "A 10279-2023")</f>
        <v/>
      </c>
      <c r="V370">
        <f>HYPERLINK("https://klasma.github.io/Logging_1766/klagomål/A 10279-2023 klagomål.docx", "A 10279-2023")</f>
        <v/>
      </c>
      <c r="W370">
        <f>HYPERLINK("https://klasma.github.io/Logging_1766/klagomålsmail/A 10279-2023 klagomålsmail.docx", "A 10279-2023")</f>
        <v/>
      </c>
      <c r="X370">
        <f>HYPERLINK("https://klasma.github.io/Logging_1766/tillsyn/A 10279-2023 tillsyn.docx", "A 10279-2023")</f>
        <v/>
      </c>
      <c r="Y370">
        <f>HYPERLINK("https://klasma.github.io/Logging_1766/tillsynsmail/A 10279-2023 tillsynsmail.docx", "A 10279-2023")</f>
        <v/>
      </c>
    </row>
    <row r="371" ht="15" customHeight="1">
      <c r="A371" t="inlineStr">
        <is>
          <t>A 11849-2023</t>
        </is>
      </c>
      <c r="B371" s="1" t="n">
        <v>44995</v>
      </c>
      <c r="C371" s="1" t="n">
        <v>45212</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 artfynd.xlsx", "A 11849-2023")</f>
        <v/>
      </c>
      <c r="T371">
        <f>HYPERLINK("https://klasma.github.io/Logging_1715/karta/A 11849-2023 karta.png", "A 11849-2023")</f>
        <v/>
      </c>
      <c r="V371">
        <f>HYPERLINK("https://klasma.github.io/Logging_1715/klagomål/A 11849-2023 klagomål.docx", "A 11849-2023")</f>
        <v/>
      </c>
      <c r="W371">
        <f>HYPERLINK("https://klasma.github.io/Logging_1715/klagomålsmail/A 11849-2023 klagomålsmail.docx", "A 11849-2023")</f>
        <v/>
      </c>
      <c r="X371">
        <f>HYPERLINK("https://klasma.github.io/Logging_1715/tillsyn/A 11849-2023 tillsyn.docx", "A 11849-2023")</f>
        <v/>
      </c>
      <c r="Y371">
        <f>HYPERLINK("https://klasma.github.io/Logging_1715/tillsynsmail/A 11849-2023 tillsynsmail.docx", "A 11849-2023")</f>
        <v/>
      </c>
    </row>
    <row r="372" ht="15" customHeight="1">
      <c r="A372" t="inlineStr">
        <is>
          <t>A 13361-2023</t>
        </is>
      </c>
      <c r="B372" s="1" t="n">
        <v>45005</v>
      </c>
      <c r="C372" s="1" t="n">
        <v>45212</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 artfynd.xlsx", "A 13361-2023")</f>
        <v/>
      </c>
      <c r="T372">
        <f>HYPERLINK("https://klasma.github.io/Logging_1737/karta/A 13361-2023 karta.png", "A 13361-2023")</f>
        <v/>
      </c>
      <c r="V372">
        <f>HYPERLINK("https://klasma.github.io/Logging_1737/klagomål/A 13361-2023 klagomål.docx", "A 13361-2023")</f>
        <v/>
      </c>
      <c r="W372">
        <f>HYPERLINK("https://klasma.github.io/Logging_1737/klagomålsmail/A 13361-2023 klagomålsmail.docx", "A 13361-2023")</f>
        <v/>
      </c>
      <c r="X372">
        <f>HYPERLINK("https://klasma.github.io/Logging_1737/tillsyn/A 13361-2023 tillsyn.docx", "A 13361-2023")</f>
        <v/>
      </c>
      <c r="Y372">
        <f>HYPERLINK("https://klasma.github.io/Logging_1737/tillsynsmail/A 13361-2023 tillsynsmail.docx", "A 13361-2023")</f>
        <v/>
      </c>
    </row>
    <row r="373" ht="15" customHeight="1">
      <c r="A373" t="inlineStr">
        <is>
          <t>A 15109-2023</t>
        </is>
      </c>
      <c r="B373" s="1" t="n">
        <v>45016</v>
      </c>
      <c r="C373" s="1" t="n">
        <v>45212</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 artfynd.xlsx", "A 15109-2023")</f>
        <v/>
      </c>
      <c r="T373">
        <f>HYPERLINK("https://klasma.github.io/Logging_1785/karta/A 15109-2023 karta.png", "A 15109-2023")</f>
        <v/>
      </c>
      <c r="V373">
        <f>HYPERLINK("https://klasma.github.io/Logging_1785/klagomål/A 15109-2023 klagomål.docx", "A 15109-2023")</f>
        <v/>
      </c>
      <c r="W373">
        <f>HYPERLINK("https://klasma.github.io/Logging_1785/klagomålsmail/A 15109-2023 klagomålsmail.docx", "A 15109-2023")</f>
        <v/>
      </c>
      <c r="X373">
        <f>HYPERLINK("https://klasma.github.io/Logging_1785/tillsyn/A 15109-2023 tillsyn.docx", "A 15109-2023")</f>
        <v/>
      </c>
      <c r="Y373">
        <f>HYPERLINK("https://klasma.github.io/Logging_1785/tillsynsmail/A 15109-2023 tillsynsmail.docx", "A 15109-2023")</f>
        <v/>
      </c>
    </row>
    <row r="374" ht="15" customHeight="1">
      <c r="A374" t="inlineStr">
        <is>
          <t>A 15145-2023</t>
        </is>
      </c>
      <c r="B374" s="1" t="n">
        <v>45016</v>
      </c>
      <c r="C374" s="1" t="n">
        <v>45212</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 artfynd.xlsx", "A 15145-2023")</f>
        <v/>
      </c>
      <c r="T374">
        <f>HYPERLINK("https://klasma.github.io/Logging_1784/karta/A 15145-2023 karta.png", "A 15145-2023")</f>
        <v/>
      </c>
      <c r="U374">
        <f>HYPERLINK("https://klasma.github.io/Logging_1784/knärot/A 15145-2023 knärot.png", "A 15145-2023")</f>
        <v/>
      </c>
      <c r="V374">
        <f>HYPERLINK("https://klasma.github.io/Logging_1784/klagomål/A 15145-2023 klagomål.docx", "A 15145-2023")</f>
        <v/>
      </c>
      <c r="W374">
        <f>HYPERLINK("https://klasma.github.io/Logging_1784/klagomålsmail/A 15145-2023 klagomålsmail.docx", "A 15145-2023")</f>
        <v/>
      </c>
      <c r="X374">
        <f>HYPERLINK("https://klasma.github.io/Logging_1784/tillsyn/A 15145-2023 tillsyn.docx", "A 15145-2023")</f>
        <v/>
      </c>
      <c r="Y374">
        <f>HYPERLINK("https://klasma.github.io/Logging_1784/tillsynsmail/A 15145-2023 tillsynsmail.docx", "A 15145-2023")</f>
        <v/>
      </c>
    </row>
    <row r="375" ht="15" customHeight="1">
      <c r="A375" t="inlineStr">
        <is>
          <t>A 15321-2023</t>
        </is>
      </c>
      <c r="B375" s="1" t="n">
        <v>45019</v>
      </c>
      <c r="C375" s="1" t="n">
        <v>45212</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HYPERLINK("https://klasma.github.io/Logging_1764/karta/A 15321-2023 karta.png", "A 15321-2023")</f>
        <v/>
      </c>
      <c r="V375">
        <f>HYPERLINK("https://klasma.github.io/Logging_1764/klagomål/A 15321-2023 klagomål.docx", "A 15321-2023")</f>
        <v/>
      </c>
      <c r="W375">
        <f>HYPERLINK("https://klasma.github.io/Logging_1764/klagomålsmail/A 15321-2023 klagomålsmail.docx", "A 15321-2023")</f>
        <v/>
      </c>
      <c r="X375">
        <f>HYPERLINK("https://klasma.github.io/Logging_1764/tillsyn/A 15321-2023 tillsyn.docx", "A 15321-2023")</f>
        <v/>
      </c>
      <c r="Y375">
        <f>HYPERLINK("https://klasma.github.io/Logging_1764/tillsynsmail/A 15321-2023 tillsynsmail.docx", "A 15321-2023")</f>
        <v/>
      </c>
    </row>
    <row r="376" ht="15" customHeight="1">
      <c r="A376" t="inlineStr">
        <is>
          <t>A 15548-2023</t>
        </is>
      </c>
      <c r="B376" s="1" t="n">
        <v>45020</v>
      </c>
      <c r="C376" s="1" t="n">
        <v>45212</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 artfynd.xlsx", "A 15548-2023")</f>
        <v/>
      </c>
      <c r="T376">
        <f>HYPERLINK("https://klasma.github.io/Logging_1737/karta/A 15548-2023 karta.png", "A 15548-2023")</f>
        <v/>
      </c>
      <c r="V376">
        <f>HYPERLINK("https://klasma.github.io/Logging_1737/klagomål/A 15548-2023 klagomål.docx", "A 15548-2023")</f>
        <v/>
      </c>
      <c r="W376">
        <f>HYPERLINK("https://klasma.github.io/Logging_1737/klagomålsmail/A 15548-2023 klagomålsmail.docx", "A 15548-2023")</f>
        <v/>
      </c>
      <c r="X376">
        <f>HYPERLINK("https://klasma.github.io/Logging_1737/tillsyn/A 15548-2023 tillsyn.docx", "A 15548-2023")</f>
        <v/>
      </c>
      <c r="Y376">
        <f>HYPERLINK("https://klasma.github.io/Logging_1737/tillsynsmail/A 15548-2023 tillsynsmail.docx", "A 15548-2023")</f>
        <v/>
      </c>
    </row>
    <row r="377" ht="15" customHeight="1">
      <c r="A377" t="inlineStr">
        <is>
          <t>A 18882-2023</t>
        </is>
      </c>
      <c r="B377" s="1" t="n">
        <v>45044</v>
      </c>
      <c r="C377" s="1" t="n">
        <v>45212</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 artfynd.xlsx", "A 18882-2023")</f>
        <v/>
      </c>
      <c r="T377">
        <f>HYPERLINK("https://klasma.github.io/Logging_1737/karta/A 18882-2023 karta.png", "A 18882-2023")</f>
        <v/>
      </c>
      <c r="V377">
        <f>HYPERLINK("https://klasma.github.io/Logging_1737/klagomål/A 18882-2023 klagomål.docx", "A 18882-2023")</f>
        <v/>
      </c>
      <c r="W377">
        <f>HYPERLINK("https://klasma.github.io/Logging_1737/klagomålsmail/A 18882-2023 klagomålsmail.docx", "A 18882-2023")</f>
        <v/>
      </c>
      <c r="X377">
        <f>HYPERLINK("https://klasma.github.io/Logging_1737/tillsyn/A 18882-2023 tillsyn.docx", "A 18882-2023")</f>
        <v/>
      </c>
      <c r="Y377">
        <f>HYPERLINK("https://klasma.github.io/Logging_1737/tillsynsmail/A 18882-2023 tillsynsmail.docx", "A 18882-2023")</f>
        <v/>
      </c>
    </row>
    <row r="378" ht="15" customHeight="1">
      <c r="A378" t="inlineStr">
        <is>
          <t>A 19669-2023</t>
        </is>
      </c>
      <c r="B378" s="1" t="n">
        <v>45051</v>
      </c>
      <c r="C378" s="1" t="n">
        <v>45212</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 artfynd.xlsx", "A 19669-2023")</f>
        <v/>
      </c>
      <c r="T378">
        <f>HYPERLINK("https://klasma.github.io/Logging_1737/karta/A 19669-2023 karta.png", "A 19669-2023")</f>
        <v/>
      </c>
      <c r="V378">
        <f>HYPERLINK("https://klasma.github.io/Logging_1737/klagomål/A 19669-2023 klagomål.docx", "A 19669-2023")</f>
        <v/>
      </c>
      <c r="W378">
        <f>HYPERLINK("https://klasma.github.io/Logging_1737/klagomålsmail/A 19669-2023 klagomålsmail.docx", "A 19669-2023")</f>
        <v/>
      </c>
      <c r="X378">
        <f>HYPERLINK("https://klasma.github.io/Logging_1737/tillsyn/A 19669-2023 tillsyn.docx", "A 19669-2023")</f>
        <v/>
      </c>
      <c r="Y378">
        <f>HYPERLINK("https://klasma.github.io/Logging_1737/tillsynsmail/A 19669-2023 tillsynsmail.docx", "A 19669-2023")</f>
        <v/>
      </c>
    </row>
    <row r="379" ht="15" customHeight="1">
      <c r="A379" t="inlineStr">
        <is>
          <t>A 21934-2023</t>
        </is>
      </c>
      <c r="B379" s="1" t="n">
        <v>45068</v>
      </c>
      <c r="C379" s="1" t="n">
        <v>45212</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 artfynd.xlsx", "A 21934-2023")</f>
        <v/>
      </c>
      <c r="T379">
        <f>HYPERLINK("https://klasma.github.io/Logging_1780/karta/A 21934-2023 karta.png", "A 21934-2023")</f>
        <v/>
      </c>
      <c r="V379">
        <f>HYPERLINK("https://klasma.github.io/Logging_1780/klagomål/A 21934-2023 klagomål.docx", "A 21934-2023")</f>
        <v/>
      </c>
      <c r="W379">
        <f>HYPERLINK("https://klasma.github.io/Logging_1780/klagomålsmail/A 21934-2023 klagomålsmail.docx", "A 21934-2023")</f>
        <v/>
      </c>
      <c r="X379">
        <f>HYPERLINK("https://klasma.github.io/Logging_1780/tillsyn/A 21934-2023 tillsyn.docx", "A 21934-2023")</f>
        <v/>
      </c>
      <c r="Y379">
        <f>HYPERLINK("https://klasma.github.io/Logging_1780/tillsynsmail/A 21934-2023 tillsynsmail.docx", "A 21934-2023")</f>
        <v/>
      </c>
    </row>
    <row r="380" ht="15" customHeight="1">
      <c r="A380" t="inlineStr">
        <is>
          <t>A 21919-2023</t>
        </is>
      </c>
      <c r="B380" s="1" t="n">
        <v>45068</v>
      </c>
      <c r="C380" s="1" t="n">
        <v>45212</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 artfynd.xlsx", "A 21919-2023")</f>
        <v/>
      </c>
      <c r="T380">
        <f>HYPERLINK("https://klasma.github.io/Logging_1780/karta/A 21919-2023 karta.png", "A 21919-2023")</f>
        <v/>
      </c>
      <c r="V380">
        <f>HYPERLINK("https://klasma.github.io/Logging_1780/klagomål/A 21919-2023 klagomål.docx", "A 21919-2023")</f>
        <v/>
      </c>
      <c r="W380">
        <f>HYPERLINK("https://klasma.github.io/Logging_1780/klagomålsmail/A 21919-2023 klagomålsmail.docx", "A 21919-2023")</f>
        <v/>
      </c>
      <c r="X380">
        <f>HYPERLINK("https://klasma.github.io/Logging_1780/tillsyn/A 21919-2023 tillsyn.docx", "A 21919-2023")</f>
        <v/>
      </c>
      <c r="Y380">
        <f>HYPERLINK("https://klasma.github.io/Logging_1780/tillsynsmail/A 21919-2023 tillsynsmail.docx", "A 21919-2023")</f>
        <v/>
      </c>
    </row>
    <row r="381" ht="15" customHeight="1">
      <c r="A381" t="inlineStr">
        <is>
          <t>A 24239-2023</t>
        </is>
      </c>
      <c r="B381" s="1" t="n">
        <v>45079</v>
      </c>
      <c r="C381" s="1" t="n">
        <v>45212</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 artfynd.xlsx", "A 24239-2023")</f>
        <v/>
      </c>
      <c r="T381">
        <f>HYPERLINK("https://klasma.github.io/Logging_1784/karta/A 24239-2023 karta.png", "A 24239-2023")</f>
        <v/>
      </c>
      <c r="U381">
        <f>HYPERLINK("https://klasma.github.io/Logging_1784/knärot/A 24239-2023 knärot.png", "A 24239-2023")</f>
        <v/>
      </c>
      <c r="V381">
        <f>HYPERLINK("https://klasma.github.io/Logging_1784/klagomål/A 24239-2023 klagomål.docx", "A 24239-2023")</f>
        <v/>
      </c>
      <c r="W381">
        <f>HYPERLINK("https://klasma.github.io/Logging_1784/klagomålsmail/A 24239-2023 klagomålsmail.docx", "A 24239-2023")</f>
        <v/>
      </c>
      <c r="X381">
        <f>HYPERLINK("https://klasma.github.io/Logging_1784/tillsyn/A 24239-2023 tillsyn.docx", "A 24239-2023")</f>
        <v/>
      </c>
      <c r="Y381">
        <f>HYPERLINK("https://klasma.github.io/Logging_1784/tillsynsmail/A 24239-2023 tillsynsmail.docx", "A 24239-2023")</f>
        <v/>
      </c>
    </row>
    <row r="382" ht="15" customHeight="1">
      <c r="A382" t="inlineStr">
        <is>
          <t>A 25144-2023</t>
        </is>
      </c>
      <c r="B382" s="1" t="n">
        <v>45086</v>
      </c>
      <c r="C382" s="1" t="n">
        <v>45212</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 artfynd.xlsx", "A 25144-2023")</f>
        <v/>
      </c>
      <c r="T382">
        <f>HYPERLINK("https://klasma.github.io/Logging_1780/karta/A 25144-2023 karta.png", "A 25144-2023")</f>
        <v/>
      </c>
      <c r="V382">
        <f>HYPERLINK("https://klasma.github.io/Logging_1780/klagomål/A 25144-2023 klagomål.docx", "A 25144-2023")</f>
        <v/>
      </c>
      <c r="W382">
        <f>HYPERLINK("https://klasma.github.io/Logging_1780/klagomålsmail/A 25144-2023 klagomålsmail.docx", "A 25144-2023")</f>
        <v/>
      </c>
      <c r="X382">
        <f>HYPERLINK("https://klasma.github.io/Logging_1780/tillsyn/A 25144-2023 tillsyn.docx", "A 25144-2023")</f>
        <v/>
      </c>
      <c r="Y382">
        <f>HYPERLINK("https://klasma.github.io/Logging_1780/tillsynsmail/A 25144-2023 tillsynsmail.docx", "A 25144-2023")</f>
        <v/>
      </c>
    </row>
    <row r="383" ht="15" customHeight="1">
      <c r="A383" t="inlineStr">
        <is>
          <t>A 29560-2023</t>
        </is>
      </c>
      <c r="B383" s="1" t="n">
        <v>45106</v>
      </c>
      <c r="C383" s="1" t="n">
        <v>45212</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 artfynd.xlsx", "A 29560-2023")</f>
        <v/>
      </c>
      <c r="T383">
        <f>HYPERLINK("https://klasma.github.io/Logging_1737/karta/A 29560-2023 karta.png", "A 29560-2023")</f>
        <v/>
      </c>
      <c r="V383">
        <f>HYPERLINK("https://klasma.github.io/Logging_1737/klagomål/A 29560-2023 klagomål.docx", "A 29560-2023")</f>
        <v/>
      </c>
      <c r="W383">
        <f>HYPERLINK("https://klasma.github.io/Logging_1737/klagomålsmail/A 29560-2023 klagomålsmail.docx", "A 29560-2023")</f>
        <v/>
      </c>
      <c r="X383">
        <f>HYPERLINK("https://klasma.github.io/Logging_1737/tillsyn/A 29560-2023 tillsyn.docx", "A 29560-2023")</f>
        <v/>
      </c>
      <c r="Y383">
        <f>HYPERLINK("https://klasma.github.io/Logging_1737/tillsynsmail/A 29560-2023 tillsynsmail.docx", "A 29560-2023")</f>
        <v/>
      </c>
    </row>
    <row r="384" ht="15" customHeight="1">
      <c r="A384" t="inlineStr">
        <is>
          <t>A 30202-2023</t>
        </is>
      </c>
      <c r="B384" s="1" t="n">
        <v>45110</v>
      </c>
      <c r="C384" s="1" t="n">
        <v>45212</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 artfynd.xlsx", "A 30202-2023")</f>
        <v/>
      </c>
      <c r="T384">
        <f>HYPERLINK("https://klasma.github.io/Logging_1781/karta/A 30202-2023 karta.png", "A 30202-2023")</f>
        <v/>
      </c>
      <c r="V384">
        <f>HYPERLINK("https://klasma.github.io/Logging_1781/klagomål/A 30202-2023 klagomål.docx", "A 30202-2023")</f>
        <v/>
      </c>
      <c r="W384">
        <f>HYPERLINK("https://klasma.github.io/Logging_1781/klagomålsmail/A 30202-2023 klagomålsmail.docx", "A 30202-2023")</f>
        <v/>
      </c>
      <c r="X384">
        <f>HYPERLINK("https://klasma.github.io/Logging_1781/tillsyn/A 30202-2023 tillsyn.docx", "A 30202-2023")</f>
        <v/>
      </c>
      <c r="Y384">
        <f>HYPERLINK("https://klasma.github.io/Logging_1781/tillsynsmail/A 30202-2023 tillsynsmail.docx", "A 30202-2023")</f>
        <v/>
      </c>
    </row>
    <row r="385" ht="15" customHeight="1">
      <c r="A385" t="inlineStr">
        <is>
          <t>A 30550-2023</t>
        </is>
      </c>
      <c r="B385" s="1" t="n">
        <v>45111</v>
      </c>
      <c r="C385" s="1" t="n">
        <v>45212</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HYPERLINK("https://klasma.github.io/Logging_1765/karta/A 30550-2023 karta.png", "A 30550-2023")</f>
        <v/>
      </c>
      <c r="V385">
        <f>HYPERLINK("https://klasma.github.io/Logging_1765/klagomål/A 30550-2023 klagomål.docx", "A 30550-2023")</f>
        <v/>
      </c>
      <c r="W385">
        <f>HYPERLINK("https://klasma.github.io/Logging_1765/klagomålsmail/A 30550-2023 klagomålsmail.docx", "A 30550-2023")</f>
        <v/>
      </c>
      <c r="X385">
        <f>HYPERLINK("https://klasma.github.io/Logging_1765/tillsyn/A 30550-2023 tillsyn.docx", "A 30550-2023")</f>
        <v/>
      </c>
      <c r="Y385">
        <f>HYPERLINK("https://klasma.github.io/Logging_1765/tillsynsmail/A 30550-2023 tillsynsmail.docx", "A 30550-2023")</f>
        <v/>
      </c>
    </row>
    <row r="386" ht="15" customHeight="1">
      <c r="A386" t="inlineStr">
        <is>
          <t>A 32877-2023</t>
        </is>
      </c>
      <c r="B386" s="1" t="n">
        <v>45124</v>
      </c>
      <c r="C386" s="1" t="n">
        <v>45212</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 artfynd.xlsx", "A 32877-2023")</f>
        <v/>
      </c>
      <c r="T386">
        <f>HYPERLINK("https://klasma.github.io/Logging_1784/karta/A 32877-2023 karta.png", "A 32877-2023")</f>
        <v/>
      </c>
      <c r="U386">
        <f>HYPERLINK("https://klasma.github.io/Logging_1784/knärot/A 32877-2023 knärot.png", "A 32877-2023")</f>
        <v/>
      </c>
      <c r="V386">
        <f>HYPERLINK("https://klasma.github.io/Logging_1784/klagomål/A 32877-2023 klagomål.docx", "A 32877-2023")</f>
        <v/>
      </c>
      <c r="W386">
        <f>HYPERLINK("https://klasma.github.io/Logging_1784/klagomålsmail/A 32877-2023 klagomålsmail.docx", "A 32877-2023")</f>
        <v/>
      </c>
      <c r="X386">
        <f>HYPERLINK("https://klasma.github.io/Logging_1784/tillsyn/A 32877-2023 tillsyn.docx", "A 32877-2023")</f>
        <v/>
      </c>
      <c r="Y386">
        <f>HYPERLINK("https://klasma.github.io/Logging_1784/tillsynsmail/A 32877-2023 tillsynsmail.docx", "A 32877-2023")</f>
        <v/>
      </c>
    </row>
    <row r="387" ht="15" customHeight="1">
      <c r="A387" t="inlineStr">
        <is>
          <t>A 35809-2023</t>
        </is>
      </c>
      <c r="B387" s="1" t="n">
        <v>45147</v>
      </c>
      <c r="C387" s="1" t="n">
        <v>45212</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 artfynd.xlsx", "A 35809-2023")</f>
        <v/>
      </c>
      <c r="T387">
        <f>HYPERLINK("https://klasma.github.io/Logging_1737/karta/A 35809-2023 karta.png", "A 35809-2023")</f>
        <v/>
      </c>
      <c r="V387">
        <f>HYPERLINK("https://klasma.github.io/Logging_1737/klagomål/A 35809-2023 klagomål.docx", "A 35809-2023")</f>
        <v/>
      </c>
      <c r="W387">
        <f>HYPERLINK("https://klasma.github.io/Logging_1737/klagomålsmail/A 35809-2023 klagomålsmail.docx", "A 35809-2023")</f>
        <v/>
      </c>
      <c r="X387">
        <f>HYPERLINK("https://klasma.github.io/Logging_1737/tillsyn/A 35809-2023 tillsyn.docx", "A 35809-2023")</f>
        <v/>
      </c>
      <c r="Y387">
        <f>HYPERLINK("https://klasma.github.io/Logging_1737/tillsynsmail/A 35809-2023 tillsynsmail.docx", "A 35809-2023")</f>
        <v/>
      </c>
    </row>
    <row r="388" ht="15" customHeight="1">
      <c r="A388" t="inlineStr">
        <is>
          <t>A 36666-2023</t>
        </is>
      </c>
      <c r="B388" s="1" t="n">
        <v>45153</v>
      </c>
      <c r="C388" s="1" t="n">
        <v>45212</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 artfynd.xlsx", "A 36666-2023")</f>
        <v/>
      </c>
      <c r="T388">
        <f>HYPERLINK("https://klasma.github.io/Logging_1766/karta/A 36666-2023 karta.png", "A 36666-2023")</f>
        <v/>
      </c>
      <c r="V388">
        <f>HYPERLINK("https://klasma.github.io/Logging_1766/klagomål/A 36666-2023 klagomål.docx", "A 36666-2023")</f>
        <v/>
      </c>
      <c r="W388">
        <f>HYPERLINK("https://klasma.github.io/Logging_1766/klagomålsmail/A 36666-2023 klagomålsmail.docx", "A 36666-2023")</f>
        <v/>
      </c>
      <c r="X388">
        <f>HYPERLINK("https://klasma.github.io/Logging_1766/tillsyn/A 36666-2023 tillsyn.docx", "A 36666-2023")</f>
        <v/>
      </c>
      <c r="Y388">
        <f>HYPERLINK("https://klasma.github.io/Logging_1766/tillsynsmail/A 36666-2023 tillsynsmail.docx", "A 36666-2023")</f>
        <v/>
      </c>
    </row>
    <row r="389" ht="15" customHeight="1">
      <c r="A389" t="inlineStr">
        <is>
          <t>A 37427-2023</t>
        </is>
      </c>
      <c r="B389" s="1" t="n">
        <v>45156</v>
      </c>
      <c r="C389" s="1" t="n">
        <v>45212</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 artfynd.xlsx", "A 37427-2023")</f>
        <v/>
      </c>
      <c r="T389">
        <f>HYPERLINK("https://klasma.github.io/Logging_1782/karta/A 37427-2023 karta.png", "A 37427-2023")</f>
        <v/>
      </c>
      <c r="V389">
        <f>HYPERLINK("https://klasma.github.io/Logging_1782/klagomål/A 37427-2023 klagomål.docx", "A 37427-2023")</f>
        <v/>
      </c>
      <c r="W389">
        <f>HYPERLINK("https://klasma.github.io/Logging_1782/klagomålsmail/A 37427-2023 klagomålsmail.docx", "A 37427-2023")</f>
        <v/>
      </c>
      <c r="X389">
        <f>HYPERLINK("https://klasma.github.io/Logging_1782/tillsyn/A 37427-2023 tillsyn.docx", "A 37427-2023")</f>
        <v/>
      </c>
      <c r="Y389">
        <f>HYPERLINK("https://klasma.github.io/Logging_1782/tillsynsmail/A 37427-2023 tillsynsmail.docx", "A 37427-2023")</f>
        <v/>
      </c>
    </row>
    <row r="390" ht="15" customHeight="1">
      <c r="A390" t="inlineStr">
        <is>
          <t>A 41484-2023</t>
        </is>
      </c>
      <c r="B390" s="1" t="n">
        <v>45175</v>
      </c>
      <c r="C390" s="1" t="n">
        <v>45212</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 artfynd.xlsx", "A 41484-2023")</f>
        <v/>
      </c>
      <c r="T390">
        <f>HYPERLINK("https://klasma.github.io/Logging_1780/karta/A 41484-2023 karta.png", "A 41484-2023")</f>
        <v/>
      </c>
      <c r="V390">
        <f>HYPERLINK("https://klasma.github.io/Logging_1780/klagomål/A 41484-2023 klagomål.docx", "A 41484-2023")</f>
        <v/>
      </c>
      <c r="W390">
        <f>HYPERLINK("https://klasma.github.io/Logging_1780/klagomålsmail/A 41484-2023 klagomålsmail.docx", "A 41484-2023")</f>
        <v/>
      </c>
      <c r="X390">
        <f>HYPERLINK("https://klasma.github.io/Logging_1780/tillsyn/A 41484-2023 tillsyn.docx", "A 41484-2023")</f>
        <v/>
      </c>
      <c r="Y390">
        <f>HYPERLINK("https://klasma.github.io/Logging_1780/tillsynsmail/A 41484-2023 tillsynsmail.docx", "A 41484-2023")</f>
        <v/>
      </c>
    </row>
    <row r="391" ht="15" customHeight="1">
      <c r="A391" t="inlineStr">
        <is>
          <t>A 42610-2023</t>
        </is>
      </c>
      <c r="B391" s="1" t="n">
        <v>45181</v>
      </c>
      <c r="C391" s="1" t="n">
        <v>45212</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 artfynd.xlsx", "A 42610-2023")</f>
        <v/>
      </c>
      <c r="T391">
        <f>HYPERLINK("https://klasma.github.io/Logging_1737/karta/A 42610-2023 karta.png", "A 42610-2023")</f>
        <v/>
      </c>
      <c r="V391">
        <f>HYPERLINK("https://klasma.github.io/Logging_1737/klagomål/A 42610-2023 klagomål.docx", "A 42610-2023")</f>
        <v/>
      </c>
      <c r="W391">
        <f>HYPERLINK("https://klasma.github.io/Logging_1737/klagomålsmail/A 42610-2023 klagomålsmail.docx", "A 42610-2023")</f>
        <v/>
      </c>
      <c r="X391">
        <f>HYPERLINK("https://klasma.github.io/Logging_1737/tillsyn/A 42610-2023 tillsyn.docx", "A 42610-2023")</f>
        <v/>
      </c>
      <c r="Y391">
        <f>HYPERLINK("https://klasma.github.io/Logging_1737/tillsynsmail/A 42610-2023 tillsynsmail.docx", "A 42610-2023")</f>
        <v/>
      </c>
    </row>
    <row r="392" ht="15" customHeight="1">
      <c r="A392" t="inlineStr">
        <is>
          <t>A 44095-2023</t>
        </is>
      </c>
      <c r="B392" s="1" t="n">
        <v>45188</v>
      </c>
      <c r="C392" s="1" t="n">
        <v>45212</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HYPERLINK("https://klasma.github.io/Logging_1783/karta/A 44095-2023 karta.png", "A 44095-2023")</f>
        <v/>
      </c>
      <c r="V392">
        <f>HYPERLINK("https://klasma.github.io/Logging_1783/klagomål/A 44095-2023 klagomål.docx", "A 44095-2023")</f>
        <v/>
      </c>
      <c r="W392">
        <f>HYPERLINK("https://klasma.github.io/Logging_1783/klagomålsmail/A 44095-2023 klagomålsmail.docx", "A 44095-2023")</f>
        <v/>
      </c>
      <c r="X392">
        <f>HYPERLINK("https://klasma.github.io/Logging_1783/tillsyn/A 44095-2023 tillsyn.docx", "A 44095-2023")</f>
        <v/>
      </c>
      <c r="Y392">
        <f>HYPERLINK("https://klasma.github.io/Logging_1783/tillsynsmail/A 44095-2023 tillsynsmail.docx", "A 44095-2023")</f>
        <v/>
      </c>
    </row>
    <row r="393" ht="15" customHeight="1">
      <c r="A393" t="inlineStr">
        <is>
          <t>A 44111-2023</t>
        </is>
      </c>
      <c r="B393" s="1" t="n">
        <v>45188</v>
      </c>
      <c r="C393" s="1" t="n">
        <v>45212</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HYPERLINK("https://klasma.github.io/Logging_1762/karta/A 44111-2023 karta.png", "A 44111-2023")</f>
        <v/>
      </c>
      <c r="V393">
        <f>HYPERLINK("https://klasma.github.io/Logging_1762/klagomål/A 44111-2023 klagomål.docx", "A 44111-2023")</f>
        <v/>
      </c>
      <c r="W393">
        <f>HYPERLINK("https://klasma.github.io/Logging_1762/klagomålsmail/A 44111-2023 klagomålsmail.docx", "A 44111-2023")</f>
        <v/>
      </c>
      <c r="X393">
        <f>HYPERLINK("https://klasma.github.io/Logging_1762/tillsyn/A 44111-2023 tillsyn.docx", "A 44111-2023")</f>
        <v/>
      </c>
      <c r="Y393">
        <f>HYPERLINK("https://klasma.github.io/Logging_1762/tillsynsmail/A 44111-2023 tillsynsmail.docx", "A 44111-2023")</f>
        <v/>
      </c>
    </row>
    <row r="394" ht="15" customHeight="1">
      <c r="A394" t="inlineStr">
        <is>
          <t>A 46099-2023</t>
        </is>
      </c>
      <c r="B394" s="1" t="n">
        <v>45196</v>
      </c>
      <c r="C394" s="1" t="n">
        <v>45212</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HYPERLINK("https://klasma.github.io/Logging_1737/karta/A 46099-2023 karta.png", "A 46099-2023")</f>
        <v/>
      </c>
      <c r="V394">
        <f>HYPERLINK("https://klasma.github.io/Logging_1737/klagomål/A 46099-2023 klagomål.docx", "A 46099-2023")</f>
        <v/>
      </c>
      <c r="W394">
        <f>HYPERLINK("https://klasma.github.io/Logging_1737/klagomålsmail/A 46099-2023 klagomålsmail.docx", "A 46099-2023")</f>
        <v/>
      </c>
      <c r="X394">
        <f>HYPERLINK("https://klasma.github.io/Logging_1737/tillsyn/A 46099-2023 tillsyn.docx", "A 46099-2023")</f>
        <v/>
      </c>
      <c r="Y394">
        <f>HYPERLINK("https://klasma.github.io/Logging_1737/tillsynsmail/A 46099-2023 tillsynsmail.docx", "A 46099-2023")</f>
        <v/>
      </c>
    </row>
    <row r="395" ht="15" customHeight="1">
      <c r="A395" t="inlineStr">
        <is>
          <t>A 47141-2023</t>
        </is>
      </c>
      <c r="B395" s="1" t="n">
        <v>45201</v>
      </c>
      <c r="C395" s="1" t="n">
        <v>45212</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HYPERLINK("https://klasma.github.io/Logging_1784/karta/A 47141-2023 karta.png", "A 47141-2023")</f>
        <v/>
      </c>
      <c r="U395">
        <f>HYPERLINK("https://klasma.github.io/Logging_1784/knärot/A 47141-2023 knärot.png", "A 47141-2023")</f>
        <v/>
      </c>
      <c r="V395">
        <f>HYPERLINK("https://klasma.github.io/Logging_1784/klagomål/A 47141-2023 klagomål.docx", "A 47141-2023")</f>
        <v/>
      </c>
      <c r="W395">
        <f>HYPERLINK("https://klasma.github.io/Logging_1784/klagomålsmail/A 47141-2023 klagomålsmail.docx", "A 47141-2023")</f>
        <v/>
      </c>
      <c r="X395">
        <f>HYPERLINK("https://klasma.github.io/Logging_1784/tillsyn/A 47141-2023 tillsyn.docx", "A 47141-2023")</f>
        <v/>
      </c>
      <c r="Y395">
        <f>HYPERLINK("https://klasma.github.io/Logging_1784/tillsynsmail/A 47141-2023 tillsynsmail.docx", "A 47141-2023")</f>
        <v/>
      </c>
    </row>
    <row r="396" ht="15" customHeight="1">
      <c r="A396" t="inlineStr">
        <is>
          <t>A 33955-2018</t>
        </is>
      </c>
      <c r="B396" s="1" t="n">
        <v>43314</v>
      </c>
      <c r="C396" s="1" t="n">
        <v>45212</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45212</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45212</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45212</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45212</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45212</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45212</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45212</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45212</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45212</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45212</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45212</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45212</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45212</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45212</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45212</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45212</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45212</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45212</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45212</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45212</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45212</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45212</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45212</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45212</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45212</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45212</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45212</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45212</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45212</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45212</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45212</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45212</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45212</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45212</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45212</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45212</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45212</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45212</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45212</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45212</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45212</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45212</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45212</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45212</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45212</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45212</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45212</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45212</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45212</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45212</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45212</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45212</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45212</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45212</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45212</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45212</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45212</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45212</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45212</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45212</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45212</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45212</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45212</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45212</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45212</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45212</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45212</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45212</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45212</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45212</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45212</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45212</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45212</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45212</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45212</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45212</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45212</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45212</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45212</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45212</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45212</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45212</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45212</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45212</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45212</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45212</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45212</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45212</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45212</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45212</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45212</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45212</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45212</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45212</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45212</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45212</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45212</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45212</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45212</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45212</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45212</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45212</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45212</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45212</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45212</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45212</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45212</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45212</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45212</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45212</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45212</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45212</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45212</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45212</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45212</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45212</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45212</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45212</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45212</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45212</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45212</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45212</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45212</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45212</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45212</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45212</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45212</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45212</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45212</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45212</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45212</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45212</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45212</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45212</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45212</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45212</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45212</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45212</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45212</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45212</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45212</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45212</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45212</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45212</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45212</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45212</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45212</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45212</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45212</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45212</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45212</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45212</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45212</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45212</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45212</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45212</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45212</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45212</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45212</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45212</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45212</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45212</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45212</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45212</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45212</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45212</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45212</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45212</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45212</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45212</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45212</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45212</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45212</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45212</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45212</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45212</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45212</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45212</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45212</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45212</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45212</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45212</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45212</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45212</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45212</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45212</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45212</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45212</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45212</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45212</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45212</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45212</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45212</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45212</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45212</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45212</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45212</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45212</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45212</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45212</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45212</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45212</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45212</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45212</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45212</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45212</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45212</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45212</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45212</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45212</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45212</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45212</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45212</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45212</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45212</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45212</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45212</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45212</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45212</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45212</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45212</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45212</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45212</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45212</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45212</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45212</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45212</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45212</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45212</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45212</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45212</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45212</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45212</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45212</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45212</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45212</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45212</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45212</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45212</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45212</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45212</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45212</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45212</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45212</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45212</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45212</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45212</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45212</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45212</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45212</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45212</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45212</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45212</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45212</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45212</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45212</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45212</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45212</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45212</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45212</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45212</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45212</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45212</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45212</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45212</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45212</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45212</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45212</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45212</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45212</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45212</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45212</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45212</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45212</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45212</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45212</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45212</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45212</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45212</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45212</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45212</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45212</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45212</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45212</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45212</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45212</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45212</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45212</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45212</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45212</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45212</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45212</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45212</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45212</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45212</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45212</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45212</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45212</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45212</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45212</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45212</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45212</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45212</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45212</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45212</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45212</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45212</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45212</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45212</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45212</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45212</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45212</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45212</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45212</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45212</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45212</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45212</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45212</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45212</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45212</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45212</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45212</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45212</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45212</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45212</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45212</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45212</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45212</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45212</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45212</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45212</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45212</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45212</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45212</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45212</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45212</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45212</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45212</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45212</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45212</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45212</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45212</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45212</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45212</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45212</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45212</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45212</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45212</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45212</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45212</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45212</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45212</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45212</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45212</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45212</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45212</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45212</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45212</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45212</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45212</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45212</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45212</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45212</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45212</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45212</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45212</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45212</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45212</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45212</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45212</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45212</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45212</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45212</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45212</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45212</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45212</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45212</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45212</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45212</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45212</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45212</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45212</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45212</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45212</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45212</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45212</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45212</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45212</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45212</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45212</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45212</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45212</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45212</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45212</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45212</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45212</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45212</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45212</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45212</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45212</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45212</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45212</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45212</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45212</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45212</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45212</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45212</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45212</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45212</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45212</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45212</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45212</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45212</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45212</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45212</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45212</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45212</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45212</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45212</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45212</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45212</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45212</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45212</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45212</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45212</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45212</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45212</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45212</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45212</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45212</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45212</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45212</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45212</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45212</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45212</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45212</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45212</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45212</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45212</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45212</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45212</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45212</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45212</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45212</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45212</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45212</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45212</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45212</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45212</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45212</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45212</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45212</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45212</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45212</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45212</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45212</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45212</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45212</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45212</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45212</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45212</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45212</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45212</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45212</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45212</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45212</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45212</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45212</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45212</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45212</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45212</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45212</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45212</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45212</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45212</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45212</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45212</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45212</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45212</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45212</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45212</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45212</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45212</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45212</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45212</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45212</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45212</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45212</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45212</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45212</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45212</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45212</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45212</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45212</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45212</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45212</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45212</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45212</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45212</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45212</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45212</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45212</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45212</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45212</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45212</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45212</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45212</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45212</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45212</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45212</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45212</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45212</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45212</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45212</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45212</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45212</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45212</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45212</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45212</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45212</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45212</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45212</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45212</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45212</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45212</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45212</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45212</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45212</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45212</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45212</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45212</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45212</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45212</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45212</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45212</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45212</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45212</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45212</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45212</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45212</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45212</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45212</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45212</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45212</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45212</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45212</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45212</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45212</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45212</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45212</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45212</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45212</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45212</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45212</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45212</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45212</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45212</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45212</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45212</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45212</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45212</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45212</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45212</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45212</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45212</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45212</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45212</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45212</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45212</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45212</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45212</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45212</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45212</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45212</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45212</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45212</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45212</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45212</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45212</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45212</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45212</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45212</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45212</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45212</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45212</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45212</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45212</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45212</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45212</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45212</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45212</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45212</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45212</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45212</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45212</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45212</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45212</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45212</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45212</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45212</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45212</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45212</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45212</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45212</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45212</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45212</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45212</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45212</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45212</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45212</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45212</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45212</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45212</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45212</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45212</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45212</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45212</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45212</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45212</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45212</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45212</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45212</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45212</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45212</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45212</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45212</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45212</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45212</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45212</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45212</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45212</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45212</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45212</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45212</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45212</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45212</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45212</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45212</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45212</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45212</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45212</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45212</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45212</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45212</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45212</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45212</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45212</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45212</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45212</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45212</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45212</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45212</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45212</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45212</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45212</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45212</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45212</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45212</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45212</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45212</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45212</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45212</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45212</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45212</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45212</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45212</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45212</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45212</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45212</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45212</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45212</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45212</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45212</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45212</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45212</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45212</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45212</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45212</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45212</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45212</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45212</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45212</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45212</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45212</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45212</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45212</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45212</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45212</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45212</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45212</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45212</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45212</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45212</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45212</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45212</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45212</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45212</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45212</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45212</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45212</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45212</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45212</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45212</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45212</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45212</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45212</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45212</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45212</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45212</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45212</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45212</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45212</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45212</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45212</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45212</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45212</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45212</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45212</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45212</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45212</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45212</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45212</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45212</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45212</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45212</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45212</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45212</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45212</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45212</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45212</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45212</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45212</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45212</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45212</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45212</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45212</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45212</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45212</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45212</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45212</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45212</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45212</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45212</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45212</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45212</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45212</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45212</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45212</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45212</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45212</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45212</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45212</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45212</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45212</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45212</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45212</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45212</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45212</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45212</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45212</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45212</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45212</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45212</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45212</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45212</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45212</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45212</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45212</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45212</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45212</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45212</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45212</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45212</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45212</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45212</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45212</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45212</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45212</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45212</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45212</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45212</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45212</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45212</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45212</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45212</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45212</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45212</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45212</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45212</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45212</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45212</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45212</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45212</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45212</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45212</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45212</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45212</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45212</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45212</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45212</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45212</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45212</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45212</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45212</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45212</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45212</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45212</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45212</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45212</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45212</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45212</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45212</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45212</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45212</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45212</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45212</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45212</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45212</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45212</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45212</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45212</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45212</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45212</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45212</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45212</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45212</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45212</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45212</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45212</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45212</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45212</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45212</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45212</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45212</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45212</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45212</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45212</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45212</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45212</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45212</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45212</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45212</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45212</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45212</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45212</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45212</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45212</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45212</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45212</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45212</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45212</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45212</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45212</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45212</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45212</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45212</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45212</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45212</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45212</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45212</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45212</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45212</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45212</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45212</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45212</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45212</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45212</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45212</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45212</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45212</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45212</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45212</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45212</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45212</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45212</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45212</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45212</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45212</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45212</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45212</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45212</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45212</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45212</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45212</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45212</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45212</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45212</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45212</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45212</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45212</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45212</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45212</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45212</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45212</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45212</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45212</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45212</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45212</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45212</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45212</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45212</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45212</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45212</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45212</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45212</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45212</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45212</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45212</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45212</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45212</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45212</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45212</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45212</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45212</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45212</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45212</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45212</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45212</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45212</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45212</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45212</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45212</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45212</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45212</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45212</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45212</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45212</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45212</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45212</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45212</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45212</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45212</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45212</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45212</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45212</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45212</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45212</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45212</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45212</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45212</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45212</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45212</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45212</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45212</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45212</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45212</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45212</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45212</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45212</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45212</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45212</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45212</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45212</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45212</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45212</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45212</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45212</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45212</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45212</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45212</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45212</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45212</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45212</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45212</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45212</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45212</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45212</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45212</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45212</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45212</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45212</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45212</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45212</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45212</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45212</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45212</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45212</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45212</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45212</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45212</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45212</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45212</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45212</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45212</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45212</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45212</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45212</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45212</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45212</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45212</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45212</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45212</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45212</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45212</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45212</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45212</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45212</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45212</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45212</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45212</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45212</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45212</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45212</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45212</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45212</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45212</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45212</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45212</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45212</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45212</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45212</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45212</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45212</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45212</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45212</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45212</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45212</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45212</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45212</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45212</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45212</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45212</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45212</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45212</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45212</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45212</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45212</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45212</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45212</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45212</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45212</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45212</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45212</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45212</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45212</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45212</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45212</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45212</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45212</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45212</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45212</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45212</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45212</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45212</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45212</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45212</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45212</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45212</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45212</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45212</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45212</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45212</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45212</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45212</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45212</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45212</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45212</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45212</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45212</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45212</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45212</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45212</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45212</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45212</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45212</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45212</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45212</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45212</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45212</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45212</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45212</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45212</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45212</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45212</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45212</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45212</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45212</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45212</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45212</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45212</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45212</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45212</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45212</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45212</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45212</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45212</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45212</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45212</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45212</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45212</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45212</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45212</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45212</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45212</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45212</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45212</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45212</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45212</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45212</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45212</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45212</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45212</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45212</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45212</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45212</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45212</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45212</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45212</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45212</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45212</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45212</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45212</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45212</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45212</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45212</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45212</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45212</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45212</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45212</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45212</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45212</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45212</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45212</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45212</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45212</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45212</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45212</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45212</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45212</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45212</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45212</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45212</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45212</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45212</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45212</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45212</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45212</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45212</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45212</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45212</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45212</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45212</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45212</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45212</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45212</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45212</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45212</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45212</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45212</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45212</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45212</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45212</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45212</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45212</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45212</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45212</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45212</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45212</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45212</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45212</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45212</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45212</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45212</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45212</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45212</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45212</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45212</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45212</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45212</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45212</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45212</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45212</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45212</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45212</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45212</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45212</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45212</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45212</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45212</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45212</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45212</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45212</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45212</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45212</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45212</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45212</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45212</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45212</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45212</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45212</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45212</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45212</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45212</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45212</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45212</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45212</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45212</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45212</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45212</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45212</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45212</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45212</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45212</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45212</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45212</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45212</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45212</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45212</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45212</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45212</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45212</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45212</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45212</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45212</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45212</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45212</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45212</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45212</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45212</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45212</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45212</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45212</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45212</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45212</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45212</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45212</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45212</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45212</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45212</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45212</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45212</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45212</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45212</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45212</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45212</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45212</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45212</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45212</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45212</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45212</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45212</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45212</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45212</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45212</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45212</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45212</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45212</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45212</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45212</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45212</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45212</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45212</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45212</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45212</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45212</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45212</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45212</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45212</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45212</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45212</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45212</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45212</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45212</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45212</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45212</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45212</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45212</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45212</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45212</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45212</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45212</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45212</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45212</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45212</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45212</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45212</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45212</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45212</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45212</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45212</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45212</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45212</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45212</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45212</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45212</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45212</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45212</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45212</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45212</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45212</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45212</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45212</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45212</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45212</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45212</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45212</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45212</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45212</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45212</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45212</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45212</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45212</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45212</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45212</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45212</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45212</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45212</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45212</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45212</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45212</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45212</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45212</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45212</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45212</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45212</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45212</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45212</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45212</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45212</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45212</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45212</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45212</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45212</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45212</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45212</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45212</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45212</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45212</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45212</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45212</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45212</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45212</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45212</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45212</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45212</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45212</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45212</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45212</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45212</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45212</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45212</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45212</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45212</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45212</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45212</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45212</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45212</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45212</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45212</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45212</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45212</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45212</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45212</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45212</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45212</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45212</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knärot.png", "A 22869-2019")</f>
        <v/>
      </c>
      <c r="V1752">
        <f>HYPERLINK("https://klasma.github.io/Logging_1780/klagomål/A 22869-2019 klagomål.docx", "A 22869-2019")</f>
        <v/>
      </c>
      <c r="W1752">
        <f>HYPERLINK("https://klasma.github.io/Logging_1780/klagomålsmail/A 22869-2019 klagomålsmail.docx", "A 22869-2019")</f>
        <v/>
      </c>
      <c r="X1752">
        <f>HYPERLINK("https://klasma.github.io/Logging_1780/tillsyn/A 22869-2019 tillsyn.docx", "A 22869-2019")</f>
        <v/>
      </c>
      <c r="Y1752">
        <f>HYPERLINK("https://klasma.github.io/Logging_1780/tillsynsmail/A 22869-2019 tillsynsmail.docx", "A 22869-2019")</f>
        <v/>
      </c>
    </row>
    <row r="1753" ht="15" customHeight="1">
      <c r="A1753" t="inlineStr">
        <is>
          <t>A 22914-2019</t>
        </is>
      </c>
      <c r="B1753" s="1" t="n">
        <v>43591</v>
      </c>
      <c r="C1753" s="1" t="n">
        <v>45212</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45212</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45212</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45212</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45212</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45212</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45212</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45212</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45212</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45212</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45212</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45212</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45212</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45212</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45212</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45212</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45212</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45212</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45212</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45212</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45212</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45212</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45212</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45212</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45212</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45212</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45212</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45212</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45212</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45212</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45212</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45212</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45212</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45212</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45212</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45212</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45212</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45212</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45212</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45212</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45212</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45212</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45212</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45212</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45212</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45212</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45212</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45212</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45212</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45212</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45212</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45212</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45212</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45212</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45212</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45212</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45212</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45212</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45212</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45212</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45212</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45212</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45212</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45212</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45212</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45212</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45212</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45212</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45212</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45212</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45212</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45212</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45212</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45212</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45212</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45212</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45212</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45212</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45212</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45212</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45212</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45212</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45212</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45212</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45212</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45212</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45212</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45212</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45212</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45212</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45212</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45212</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45212</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45212</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45212</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45212</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45212</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45212</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45212</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45212</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45212</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45212</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45212</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45212</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45212</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45212</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45212</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45212</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45212</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45212</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45212</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45212</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45212</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45212</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45212</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45212</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45212</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45212</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45212</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45212</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45212</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45212</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45212</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45212</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45212</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45212</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45212</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45212</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45212</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45212</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45212</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45212</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45212</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45212</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45212</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45212</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45212</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45212</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45212</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45212</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45212</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45212</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45212</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45212</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45212</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45212</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45212</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45212</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45212</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45212</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45212</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45212</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45212</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45212</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45212</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45212</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45212</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45212</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45212</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45212</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45212</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45212</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45212</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45212</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45212</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45212</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45212</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45212</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45212</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45212</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45212</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45212</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45212</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45212</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45212</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45212</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45212</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45212</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45212</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45212</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45212</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45212</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45212</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45212</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45212</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45212</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45212</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45212</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45212</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45212</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45212</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45212</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45212</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45212</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45212</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45212</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45212</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45212</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45212</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45212</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45212</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45212</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45212</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45212</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45212</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45212</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45212</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45212</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45212</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45212</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45212</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45212</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45212</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45212</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45212</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45212</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45212</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45212</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45212</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45212</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45212</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45212</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45212</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45212</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45212</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45212</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45212</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45212</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45212</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45212</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45212</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45212</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45212</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45212</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45212</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45212</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45212</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45212</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45212</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45212</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45212</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45212</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45212</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45212</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45212</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45212</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45212</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45212</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45212</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45212</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45212</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45212</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45212</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45212</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45212</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45212</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45212</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45212</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45212</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45212</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45212</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45212</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45212</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45212</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45212</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45212</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45212</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45212</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45212</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45212</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45212</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45212</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45212</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45212</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45212</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45212</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45212</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45212</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45212</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45212</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45212</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45212</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45212</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45212</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45212</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45212</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45212</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45212</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45212</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45212</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45212</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45212</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45212</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45212</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45212</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45212</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45212</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45212</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45212</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45212</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45212</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45212</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45212</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45212</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45212</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45212</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45212</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45212</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45212</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45212</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45212</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45212</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45212</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45212</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45212</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45212</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45212</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45212</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45212</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45212</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45212</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45212</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45212</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45212</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45212</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45212</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45212</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45212</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45212</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45212</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45212</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45212</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45212</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45212</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45212</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45212</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45212</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45212</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45212</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45212</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45212</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45212</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45212</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45212</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45212</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45212</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45212</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45212</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45212</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45212</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45212</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45212</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45212</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45212</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45212</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45212</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45212</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45212</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45212</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45212</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45212</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45212</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45212</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45212</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45212</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45212</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45212</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45212</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45212</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45212</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45212</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45212</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45212</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45212</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45212</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45212</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45212</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45212</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45212</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45212</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45212</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45212</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45212</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45212</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45212</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45212</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45212</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45212</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45212</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45212</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45212</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45212</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45212</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45212</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45212</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45212</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45212</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45212</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45212</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45212</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45212</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45212</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45212</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45212</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45212</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45212</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45212</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45212</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45212</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45212</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45212</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45212</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45212</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45212</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45212</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45212</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45212</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45212</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45212</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45212</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45212</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45212</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45212</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45212</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45212</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45212</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45212</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45212</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45212</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45212</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45212</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45212</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45212</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45212</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45212</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45212</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45212</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45212</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45212</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45212</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45212</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45212</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45212</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45212</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45212</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45212</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45212</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45212</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45212</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45212</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45212</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45212</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45212</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45212</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45212</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45212</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45212</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45212</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45212</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45212</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45212</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45212</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45212</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45212</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45212</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45212</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45212</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45212</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45212</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45212</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45212</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45212</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45212</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45212</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45212</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45212</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45212</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45212</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45212</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45212</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45212</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45212</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45212</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45212</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45212</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45212</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45212</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45212</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45212</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45212</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45212</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45212</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45212</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45212</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45212</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45212</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45212</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45212</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45212</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45212</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45212</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45212</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45212</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45212</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45212</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45212</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45212</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45212</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45212</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45212</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45212</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45212</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45212</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45212</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45212</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45212</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45212</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45212</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45212</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45212</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45212</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45212</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45212</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45212</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45212</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45212</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45212</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45212</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45212</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45212</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45212</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45212</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45212</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45212</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45212</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45212</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45212</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45212</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45212</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45212</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45212</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45212</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45212</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45212</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45212</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45212</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45212</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45212</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45212</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45212</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45212</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45212</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45212</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45212</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45212</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45212</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45212</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45212</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45212</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45212</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45212</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45212</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45212</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45212</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45212</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45212</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45212</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45212</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45212</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45212</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45212</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45212</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45212</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45212</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45212</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45212</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45212</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45212</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45212</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45212</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45212</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45212</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45212</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45212</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45212</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45212</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45212</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45212</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45212</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45212</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45212</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45212</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45212</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45212</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45212</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45212</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45212</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45212</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45212</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45212</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45212</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45212</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45212</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45212</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45212</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45212</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45212</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45212</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45212</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45212</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45212</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45212</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45212</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45212</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45212</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45212</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45212</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45212</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45212</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45212</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45212</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45212</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45212</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45212</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45212</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45212</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45212</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45212</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45212</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45212</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45212</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45212</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45212</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45212</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45212</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45212</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45212</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45212</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45212</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45212</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45212</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45212</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45212</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45212</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45212</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45212</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45212</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45212</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45212</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45212</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45212</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45212</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45212</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45212</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45212</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45212</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45212</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45212</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45212</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45212</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45212</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45212</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45212</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45212</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45212</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45212</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45212</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45212</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45212</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45212</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45212</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45212</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45212</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45212</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45212</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45212</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45212</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45212</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45212</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45212</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45212</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45212</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45212</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45212</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45212</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45212</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45212</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45212</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45212</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45212</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45212</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45212</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45212</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45212</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45212</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45212</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45212</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45212</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45212</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45212</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45212</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45212</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45212</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45212</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45212</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45212</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45212</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45212</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45212</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45212</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45212</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45212</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45212</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45212</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45212</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45212</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45212</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45212</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45212</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45212</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45212</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45212</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45212</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45212</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45212</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45212</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45212</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45212</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45212</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45212</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45212</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45212</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45212</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45212</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45212</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45212</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45212</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45212</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45212</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45212</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45212</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45212</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45212</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45212</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45212</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45212</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45212</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45212</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45212</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45212</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45212</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45212</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45212</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45212</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45212</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45212</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45212</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45212</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45212</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45212</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45212</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45212</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45212</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45212</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45212</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45212</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45212</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45212</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45212</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45212</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45212</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45212</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45212</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45212</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45212</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45212</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45212</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45212</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45212</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45212</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45212</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45212</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45212</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45212</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45212</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45212</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45212</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45212</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45212</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45212</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45212</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45212</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45212</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45212</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45212</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45212</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45212</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45212</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45212</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45212</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45212</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45212</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45212</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45212</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45212</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45212</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45212</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45212</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45212</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45212</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45212</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45212</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45212</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45212</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45212</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45212</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45212</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45212</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45212</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45212</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45212</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45212</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45212</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45212</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45212</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45212</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45212</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45212</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45212</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45212</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45212</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45212</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45212</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45212</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45212</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45212</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45212</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45212</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45212</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45212</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45212</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45212</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45212</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45212</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45212</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45212</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45212</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45212</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45212</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45212</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45212</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45212</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45212</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45212</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45212</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45212</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45212</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45212</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45212</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45212</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45212</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45212</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45212</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45212</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45212</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45212</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45212</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45212</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45212</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45212</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45212</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45212</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45212</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45212</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45212</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45212</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45212</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45212</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45212</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45212</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45212</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45212</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45212</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45212</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45212</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45212</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45212</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45212</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45212</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45212</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45212</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45212</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45212</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45212</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45212</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45212</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45212</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45212</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45212</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45212</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45212</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45212</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45212</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45212</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45212</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45212</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45212</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45212</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45212</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45212</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45212</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45212</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45212</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45212</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45212</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45212</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45212</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45212</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45212</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45212</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45212</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45212</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45212</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45212</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45212</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45212</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45212</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45212</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45212</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45212</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45212</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45212</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45212</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45212</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45212</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45212</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45212</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45212</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45212</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45212</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45212</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45212</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45212</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45212</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45212</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45212</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45212</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45212</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45212</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45212</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45212</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45212</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45212</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45212</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45212</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45212</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45212</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45212</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45212</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45212</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45212</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45212</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45212</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45212</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45212</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45212</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45212</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45212</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45212</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45212</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45212</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45212</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45212</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45212</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45212</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45212</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45212</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45212</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45212</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45212</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45212</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45212</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45212</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45212</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45212</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45212</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45212</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45212</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45212</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45212</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45212</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45212</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45212</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45212</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45212</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45212</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45212</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45212</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45212</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45212</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45212</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45212</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45212</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45212</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45212</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45212</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45212</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45212</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45212</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45212</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45212</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45212</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45212</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45212</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45212</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45212</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45212</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45212</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45212</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45212</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45212</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45212</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45212</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45212</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45212</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45212</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45212</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45212</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45212</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45212</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45212</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45212</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45212</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45212</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45212</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45212</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45212</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45212</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45212</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45212</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45212</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45212</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45212</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45212</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45212</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45212</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45212</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45212</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45212</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45212</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45212</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45212</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45212</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45212</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45212</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45212</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45212</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45212</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45212</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45212</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45212</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45212</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45212</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45212</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45212</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45212</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45212</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45212</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45212</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45212</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45212</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45212</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45212</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45212</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45212</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45212</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45212</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45212</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45212</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45212</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45212</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45212</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45212</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45212</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45212</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45212</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45212</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45212</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45212</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45212</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45212</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45212</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45212</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45212</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45212</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45212</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45212</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45212</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45212</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45212</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45212</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45212</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45212</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45212</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45212</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45212</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45212</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45212</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45212</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45212</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45212</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45212</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45212</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45212</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45212</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45212</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45212</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45212</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45212</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45212</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45212</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45212</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45212</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45212</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45212</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45212</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45212</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45212</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45212</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45212</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45212</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45212</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45212</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45212</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45212</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45212</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45212</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45212</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45212</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45212</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45212</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45212</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45212</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45212</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45212</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45212</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45212</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45212</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45212</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45212</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45212</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45212</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45212</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45212</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45212</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45212</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45212</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45212</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45212</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45212</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45212</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45212</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45212</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45212</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45212</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45212</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45212</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45212</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45212</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45212</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45212</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45212</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45212</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45212</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45212</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45212</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45212</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45212</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45212</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45212</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45212</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45212</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45212</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45212</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45212</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45212</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45212</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45212</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45212</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45212</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45212</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45212</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45212</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45212</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45212</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45212</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45212</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45212</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45212</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45212</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45212</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45212</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45212</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45212</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45212</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45212</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45212</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45212</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45212</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45212</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45212</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45212</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45212</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45212</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45212</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45212</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45212</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45212</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45212</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45212</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45212</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45212</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45212</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45212</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45212</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45212</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45212</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45212</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45212</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45212</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45212</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45212</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45212</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45212</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45212</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45212</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45212</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45212</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45212</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45212</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45212</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45212</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45212</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45212</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45212</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45212</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45212</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45212</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45212</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45212</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45212</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45212</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45212</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45212</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45212</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45212</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45212</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45212</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45212</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45212</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45212</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45212</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45212</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45212</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45212</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45212</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45212</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45212</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45212</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45212</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45212</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45212</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45212</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45212</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45212</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45212</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45212</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45212</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45212</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45212</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45212</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45212</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45212</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45212</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45212</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45212</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45212</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45212</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45212</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45212</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45212</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45212</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45212</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45212</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45212</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45212</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45212</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45212</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45212</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45212</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45212</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45212</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45212</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45212</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45212</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45212</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45212</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45212</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45212</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45212</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45212</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45212</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45212</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45212</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45212</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45212</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45212</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45212</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45212</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45212</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45212</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45212</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45212</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45212</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45212</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45212</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45212</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45212</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45212</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45212</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45212</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45212</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45212</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45212</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45212</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45212</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45212</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45212</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45212</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45212</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45212</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45212</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45212</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45212</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45212</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45212</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45212</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45212</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45212</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45212</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45212</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45212</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45212</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45212</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45212</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45212</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45212</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45212</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45212</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45212</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45212</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45212</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45212</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45212</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45212</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45212</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45212</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45212</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45212</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45212</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45212</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45212</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45212</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45212</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45212</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45212</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45212</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45212</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45212</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45212</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45212</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45212</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45212</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45212</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45212</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45212</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45212</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45212</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45212</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45212</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45212</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45212</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45212</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45212</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45212</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45212</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45212</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45212</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45212</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45212</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45212</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45212</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45212</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45212</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45212</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45212</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45212</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45212</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45212</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45212</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45212</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45212</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45212</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45212</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45212</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45212</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45212</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45212</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45212</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45212</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45212</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45212</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45212</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45212</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45212</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45212</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45212</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45212</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45212</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45212</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45212</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45212</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45212</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45212</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45212</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45212</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45212</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45212</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45212</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45212</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45212</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45212</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45212</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45212</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45212</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45212</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45212</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45212</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45212</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45212</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45212</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45212</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45212</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45212</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45212</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45212</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45212</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45212</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45212</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45212</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45212</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45212</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45212</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45212</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45212</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45212</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45212</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45212</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45212</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45212</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45212</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45212</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45212</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45212</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45212</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45212</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45212</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45212</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45212</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45212</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45212</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45212</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45212</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45212</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45212</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45212</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45212</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45212</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45212</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45212</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45212</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45212</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45212</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45212</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45212</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45212</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45212</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45212</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45212</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45212</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45212</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45212</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45212</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45212</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45212</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45212</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45212</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45212</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45212</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45212</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45212</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45212</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45212</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45212</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45212</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45212</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45212</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45212</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45212</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45212</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45212</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45212</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45212</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45212</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45212</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45212</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45212</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45212</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45212</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45212</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45212</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45212</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45212</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45212</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45212</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45212</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45212</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45212</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45212</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45212</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45212</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45212</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45212</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45212</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45212</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45212</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45212</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45212</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45212</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45212</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45212</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45212</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45212</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45212</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45212</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45212</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45212</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45212</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45212</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45212</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45212</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45212</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45212</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45212</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45212</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45212</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45212</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45212</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45212</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45212</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45212</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45212</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45212</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45212</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45212</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45212</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45212</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45212</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45212</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45212</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45212</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45212</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45212</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45212</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45212</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45212</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45212</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45212</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45212</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45212</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45212</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45212</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45212</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45212</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45212</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45212</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45212</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45212</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45212</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45212</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45212</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45212</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45212</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45212</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45212</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45212</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45212</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45212</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45212</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45212</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45212</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45212</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45212</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45212</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45212</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45212</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45212</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45212</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45212</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45212</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45212</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45212</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45212</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45212</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45212</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45212</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45212</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45212</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45212</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45212</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45212</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45212</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45212</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45212</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45212</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45212</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45212</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45212</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45212</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45212</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45212</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45212</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45212</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45212</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45212</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45212</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45212</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45212</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45212</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45212</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45212</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45212</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45212</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45212</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45212</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45212</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45212</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45212</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45212</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45212</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45212</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45212</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45212</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45212</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45212</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45212</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45212</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45212</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45212</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45212</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45212</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45212</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45212</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45212</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45212</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45212</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45212</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45212</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45212</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45212</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45212</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45212</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45212</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45212</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45212</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45212</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45212</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45212</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45212</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45212</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45212</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45212</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45212</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45212</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45212</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45212</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45212</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45212</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45212</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45212</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45212</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45212</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45212</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45212</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45212</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45212</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45212</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45212</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45212</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45212</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45212</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45212</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45212</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45212</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45212</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45212</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45212</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45212</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45212</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45212</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45212</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45212</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45212</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45212</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45212</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45212</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45212</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45212</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45212</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45212</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45212</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45212</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45212</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45212</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45212</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45212</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45212</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45212</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45212</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45212</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45212</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45212</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45212</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45212</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45212</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45212</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45212</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45212</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45212</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45212</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45212</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45212</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45212</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45212</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45212</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45212</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45212</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45212</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45212</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45212</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45212</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45212</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45212</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45212</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45212</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45212</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45212</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45212</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45212</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45212</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45212</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45212</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45212</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45212</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45212</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45212</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45212</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45212</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45212</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45212</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45212</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45212</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45212</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45212</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45212</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45212</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45212</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45212</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45212</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45212</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45212</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45212</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45212</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45212</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45212</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45212</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45212</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45212</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45212</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45212</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45212</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45212</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45212</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45212</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45212</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45212</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45212</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45212</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45212</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45212</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45212</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45212</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45212</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45212</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45212</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45212</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45212</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45212</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45212</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45212</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45212</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45212</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45212</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45212</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45212</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45212</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45212</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45212</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45212</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45212</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45212</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45212</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45212</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45212</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45212</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45212</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45212</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45212</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45212</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45212</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45212</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45212</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45212</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45212</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45212</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45212</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45212</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45212</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45212</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45212</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45212</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45212</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45212</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45212</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45212</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45212</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45212</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45212</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45212</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45212</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45212</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45212</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45212</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45212</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45212</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45212</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45212</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45212</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45212</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45212</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45212</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45212</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45212</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45212</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45212</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45212</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45212</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45212</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45212</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45212</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45212</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45212</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45212</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45212</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45212</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45212</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45212</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45212</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45212</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45212</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45212</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45212</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45212</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45212</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45212</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45212</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45212</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45212</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45212</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45212</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45212</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45212</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45212</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45212</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45212</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45212</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45212</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45212</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45212</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45212</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45212</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45212</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45212</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45212</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45212</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45212</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45212</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45212</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45212</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45212</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45212</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45212</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45212</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45212</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45212</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45212</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45212</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45212</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45212</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45212</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45212</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45212</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45212</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45212</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45212</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45212</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45212</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45212</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45212</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45212</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45212</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45212</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45212</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45212</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45212</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45212</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45212</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45212</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45212</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45212</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45212</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45212</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45212</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45212</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45212</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45212</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45212</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45212</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45212</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45212</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45212</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45212</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45212</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45212</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45212</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45212</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45212</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45212</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45212</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45212</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45212</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45212</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45212</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45212</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45212</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45212</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45212</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45212</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45212</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45212</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45212</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45212</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45212</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45212</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45212</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45212</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45212</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45212</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45212</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45212</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45212</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45212</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45212</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45212</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45212</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45212</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45212</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45212</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45212</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45212</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45212</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45212</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45212</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45212</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45212</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45212</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45212</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45212</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45212</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45212</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45212</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45212</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45212</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45212</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45212</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45212</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45212</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45212</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45212</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45212</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45212</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45212</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45212</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45212</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45212</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45212</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45212</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45212</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45212</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45212</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45212</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45212</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45212</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45212</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45212</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45212</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45212</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45212</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45212</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45212</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45212</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45212</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45212</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45212</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45212</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45212</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45212</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45212</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45212</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45212</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45212</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45212</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45212</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45212</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45212</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45212</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45212</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45212</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45212</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45212</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45212</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45212</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45212</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45212</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45212</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45212</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45212</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45212</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45212</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45212</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45212</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45212</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45212</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45212</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45212</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45212</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45212</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45212</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45212</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45212</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45212</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45212</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45212</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45212</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45212</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45212</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45212</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45212</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45212</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45212</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45212</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45212</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45212</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45212</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45212</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45212</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45212</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45212</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45212</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45212</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45212</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45212</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45212</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45212</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45212</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45212</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45212</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45212</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45212</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45212</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45212</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45212</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45212</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45212</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45212</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45212</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45212</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45212</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45212</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45212</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45212</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45212</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45212</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45212</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45212</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45212</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45212</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45212</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45212</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45212</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45212</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45212</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45212</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45212</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45212</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45212</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45212</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45212</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45212</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45212</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45212</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45212</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45212</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45212</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45212</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45212</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45212</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45212</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45212</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45212</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45212</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45212</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45212</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45212</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45212</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45212</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45212</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45212</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45212</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45212</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45212</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45212</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45212</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45212</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45212</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45212</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45212</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45212</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45212</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45212</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45212</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45212</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45212</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45212</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45212</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45212</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45212</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45212</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45212</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45212</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45212</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45212</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45212</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45212</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45212</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45212</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45212</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45212</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45212</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45212</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45212</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45212</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45212</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45212</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45212</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45212</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45212</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45212</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45212</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45212</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45212</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45212</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45212</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45212</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45212</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45212</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45212</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45212</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45212</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45212</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45212</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45212</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45212</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45212</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45212</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45212</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45212</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45212</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45212</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45212</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45212</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45212</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45212</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45212</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45212</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45212</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45212</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45212</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45212</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45212</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45212</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45212</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45212</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45212</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45212</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45212</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45212</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45212</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45212</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45212</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45212</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45212</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45212</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45212</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45212</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45212</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45212</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45212</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45212</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45212</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45212</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45212</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45212</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45212</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45212</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45212</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45212</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45212</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45212</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45212</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45212</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45212</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45212</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45212</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45212</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45212</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45212</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45212</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45212</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45212</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45212</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45212</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45212</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45212</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45212</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45212</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45212</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45212</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45212</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45212</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45212</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45212</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45212</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45212</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45212</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45212</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45212</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45212</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45212</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45212</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45212</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45212</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45212</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45212</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45212</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45212</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45212</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45212</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45212</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45212</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45212</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45212</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45212</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45212</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45212</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45212</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45212</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45212</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45212</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45212</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45212</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45212</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45212</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45212</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45212</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45212</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45212</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45212</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45212</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45212</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45212</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45212</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45212</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45212</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45212</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45212</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45212</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45212</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45212</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45212</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45212</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45212</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45212</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45212</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45212</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45212</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45212</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45212</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45212</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45212</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45212</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45212</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45212</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45212</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45212</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45212</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45212</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45212</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45212</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45212</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45212</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45212</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45212</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45212</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45212</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45212</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45212</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45212</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45212</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45212</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45212</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45212</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45212</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45212</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45212</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45212</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45212</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45212</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45212</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45212</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45212</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45212</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45212</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45212</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45212</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45212</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45212</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45212</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45212</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45212</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45212</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45212</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45212</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45212</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45212</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45212</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45212</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45212</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45212</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45212</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45212</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45212</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45212</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45212</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45212</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45212</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45212</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45212</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45212</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45212</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45212</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45212</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45212</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45212</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45212</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45212</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45212</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45212</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45212</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45212</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45212</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45212</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45212</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45212</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45212</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45212</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45212</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45212</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45212</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45212</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45212</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45212</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45212</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45212</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45212</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45212</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45212</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45212</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45212</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45212</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45212</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45212</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45212</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45212</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45212</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45212</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45212</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45212</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45212</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45212</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45212</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45212</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45212</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45212</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45212</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45212</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45212</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45212</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45212</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45212</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45212</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45212</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45212</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45212</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45212</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45212</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45212</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45212</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45212</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45212</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45212</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45212</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45212</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45212</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45212</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45212</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45212</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45212</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45212</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45212</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45212</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45212</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45212</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45212</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45212</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45212</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45212</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45212</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45212</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45212</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45212</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45212</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45212</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45212</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45212</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45212</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45212</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45212</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45212</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45212</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45212</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45212</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45212</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45212</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45212</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45212</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45212</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45212</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45212</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45212</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45212</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45212</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45212</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45212</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45212</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45212</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45212</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45212</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45212</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45212</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45212</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45212</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45212</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45212</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45212</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45212</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45212</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45212</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45212</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45212</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45212</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45212</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45212</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45212</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45212</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45212</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45212</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45212</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45212</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45212</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45212</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45212</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45212</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45212</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45212</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45212</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45212</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45212</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45212</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45212</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45212</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45212</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45212</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45212</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45212</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45212</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45212</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45212</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45212</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45212</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45212</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45212</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45212</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45212</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45212</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45212</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45212</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45212</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45212</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45212</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45212</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45212</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45212</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45212</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45212</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45212</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45212</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45212</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45212</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45212</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45212</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45212</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45212</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45212</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45212</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45212</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45212</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45212</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45212</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45212</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45212</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45212</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45212</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45212</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45212</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45212</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45212</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45212</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45212</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45212</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45212</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45212</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45212</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45212</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45212</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45212</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45212</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45212</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45212</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45212</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45212</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45212</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45212</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45212</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45212</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45212</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45212</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45212</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45212</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45212</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45212</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45212</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45212</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45212</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45212</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45212</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45212</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45212</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45212</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45212</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45212</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45212</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45212</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45212</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45212</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45212</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45212</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45212</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45212</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45212</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45212</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45212</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45212</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45212</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45212</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45212</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45212</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45212</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45212</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45212</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45212</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45212</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45212</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45212</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45212</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45212</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45212</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45212</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45212</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45212</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45212</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45212</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45212</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45212</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45212</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45212</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45212</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45212</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45212</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45212</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45212</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45212</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45212</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45212</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45212</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45212</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45212</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45212</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45212</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45212</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45212</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45212</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45212</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45212</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45212</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45212</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45212</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45212</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45212</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45212</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45212</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45212</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45212</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45212</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45212</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45212</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45212</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45212</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45212</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45212</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45212</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45212</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45212</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45212</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45212</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45212</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45212</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45212</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45212</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45212</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45212</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45212</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45212</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45212</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45212</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45212</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45212</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45212</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45212</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45212</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45212</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45212</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45212</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45212</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45212</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45212</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45212</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45212</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45212</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45212</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45212</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45212</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45212</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45212</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45212</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45212</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45212</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45212</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45212</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45212</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45212</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45212</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45212</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45212</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45212</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45212</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45212</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45212</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45212</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45212</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45212</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45212</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45212</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45212</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45212</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45212</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45212</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45212</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45212</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45212</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45212</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45212</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45212</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45212</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45212</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45212</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45212</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45212</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45212</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45212</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45212</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45212</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45212</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45212</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45212</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45212</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45212</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45212</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45212</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45212</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45212</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45212</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45212</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45212</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45212</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knärot.png", "A 1269-2021")</f>
        <v/>
      </c>
      <c r="V4527">
        <f>HYPERLINK("https://klasma.github.io/Logging_1715/klagomål/A 1269-2021 klagomål.docx", "A 1269-2021")</f>
        <v/>
      </c>
      <c r="W4527">
        <f>HYPERLINK("https://klasma.github.io/Logging_1715/klagomålsmail/A 1269-2021 klagomålsmail.docx", "A 1269-2021")</f>
        <v/>
      </c>
      <c r="X4527">
        <f>HYPERLINK("https://klasma.github.io/Logging_1715/tillsyn/A 1269-2021 tillsyn.docx", "A 1269-2021")</f>
        <v/>
      </c>
      <c r="Y4527">
        <f>HYPERLINK("https://klasma.github.io/Logging_1715/tillsynsmail/A 1269-2021 tillsynsmail.docx", "A 1269-2021")</f>
        <v/>
      </c>
    </row>
    <row r="4528" ht="15" customHeight="1">
      <c r="A4528" t="inlineStr">
        <is>
          <t>A 1516-2021</t>
        </is>
      </c>
      <c r="B4528" s="1" t="n">
        <v>44209</v>
      </c>
      <c r="C4528" s="1" t="n">
        <v>45212</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45212</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45212</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45212</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45212</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45212</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45212</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45212</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45212</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45212</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45212</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45212</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45212</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45212</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45212</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45212</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45212</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45212</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45212</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45212</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45212</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45212</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45212</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45212</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45212</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45212</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45212</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45212</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45212</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45212</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45212</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45212</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45212</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45212</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45212</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45212</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45212</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45212</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45212</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45212</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45212</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45212</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45212</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45212</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45212</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45212</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45212</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45212</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45212</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45212</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45212</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45212</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45212</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45212</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45212</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45212</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45212</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45212</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45212</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45212</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45212</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45212</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45212</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45212</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45212</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45212</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45212</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45212</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45212</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45212</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45212</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45212</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45212</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45212</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45212</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45212</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45212</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45212</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45212</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45212</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45212</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45212</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45212</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45212</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45212</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45212</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45212</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45212</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45212</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45212</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45212</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45212</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45212</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45212</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45212</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45212</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45212</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45212</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45212</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45212</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45212</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45212</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45212</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45212</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45212</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45212</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45212</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45212</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45212</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45212</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45212</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45212</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45212</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45212</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45212</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45212</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45212</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45212</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45212</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45212</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45212</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45212</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45212</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45212</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45212</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45212</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45212</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45212</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45212</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45212</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45212</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45212</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45212</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45212</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45212</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45212</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45212</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45212</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45212</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45212</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45212</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45212</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45212</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45212</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45212</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45212</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45212</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45212</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45212</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45212</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45212</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45212</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45212</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45212</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45212</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45212</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45212</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45212</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45212</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45212</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45212</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45212</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45212</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45212</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45212</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45212</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45212</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45212</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45212</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45212</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45212</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45212</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45212</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45212</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45212</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45212</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45212</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45212</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45212</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45212</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45212</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45212</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45212</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45212</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45212</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45212</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45212</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45212</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45212</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45212</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45212</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45212</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45212</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45212</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45212</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45212</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45212</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45212</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45212</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45212</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45212</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45212</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45212</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45212</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45212</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45212</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45212</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45212</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45212</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45212</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45212</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45212</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45212</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45212</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45212</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45212</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45212</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45212</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45212</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45212</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45212</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45212</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45212</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45212</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45212</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45212</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45212</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45212</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45212</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45212</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45212</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45212</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45212</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45212</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45212</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45212</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45212</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45212</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45212</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45212</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45212</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45212</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45212</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45212</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45212</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45212</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45212</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45212</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45212</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45212</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45212</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45212</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45212</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45212</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45212</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45212</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45212</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45212</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45212</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45212</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45212</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45212</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45212</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45212</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45212</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45212</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45212</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45212</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45212</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45212</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45212</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45212</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45212</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45212</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45212</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45212</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45212</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45212</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45212</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45212</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45212</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45212</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45212</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45212</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45212</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45212</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45212</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45212</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45212</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45212</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45212</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45212</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45212</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45212</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45212</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45212</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45212</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45212</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45212</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45212</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45212</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45212</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45212</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45212</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45212</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45212</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45212</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45212</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45212</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45212</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45212</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45212</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45212</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45212</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45212</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45212</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45212</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45212</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45212</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45212</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45212</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45212</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45212</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45212</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45212</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45212</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45212</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45212</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45212</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45212</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45212</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45212</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45212</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45212</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45212</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45212</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45212</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45212</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45212</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45212</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45212</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45212</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45212</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45212</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45212</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45212</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45212</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45212</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45212</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45212</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45212</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45212</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45212</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45212</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45212</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45212</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45212</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45212</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45212</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45212</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45212</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45212</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45212</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45212</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45212</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45212</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45212</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45212</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45212</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45212</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45212</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45212</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45212</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45212</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45212</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45212</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45212</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45212</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45212</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45212</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45212</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45212</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45212</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45212</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45212</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45212</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45212</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45212</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45212</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45212</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45212</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45212</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45212</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45212</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45212</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45212</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45212</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45212</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45212</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45212</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45212</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45212</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45212</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45212</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45212</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45212</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45212</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45212</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45212</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45212</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45212</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45212</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45212</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45212</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45212</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45212</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45212</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45212</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45212</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45212</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45212</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45212</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45212</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45212</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45212</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45212</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45212</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45212</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45212</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45212</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45212</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45212</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45212</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45212</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45212</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45212</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45212</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45212</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45212</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45212</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45212</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45212</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45212</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45212</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45212</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45212</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45212</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45212</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45212</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45212</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45212</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45212</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45212</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45212</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45212</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45212</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45212</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45212</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45212</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45212</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45212</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45212</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45212</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45212</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45212</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45212</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45212</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45212</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45212</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45212</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45212</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45212</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45212</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45212</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45212</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45212</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45212</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45212</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45212</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45212</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45212</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45212</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45212</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45212</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45212</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45212</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45212</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45212</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45212</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45212</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45212</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45212</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45212</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45212</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45212</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45212</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45212</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45212</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45212</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45212</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45212</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45212</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45212</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45212</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45212</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45212</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45212</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45212</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45212</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45212</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45212</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45212</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45212</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45212</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45212</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45212</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45212</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45212</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45212</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45212</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45212</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45212</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45212</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45212</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45212</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45212</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45212</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45212</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45212</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45212</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45212</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45212</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45212</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45212</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45212</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45212</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45212</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45212</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45212</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45212</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45212</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45212</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45212</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45212</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45212</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45212</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45212</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45212</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45212</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45212</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45212</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45212</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45212</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45212</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45212</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45212</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45212</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45212</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45212</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45212</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45212</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45212</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45212</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45212</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45212</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45212</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45212</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45212</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45212</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45212</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45212</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45212</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45212</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45212</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45212</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45212</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45212</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45212</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45212</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45212</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45212</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45212</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45212</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45212</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45212</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45212</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45212</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45212</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45212</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45212</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45212</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45212</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45212</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45212</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45212</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45212</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45212</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45212</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45212</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45212</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45212</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45212</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45212</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45212</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45212</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45212</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45212</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45212</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45212</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45212</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45212</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45212</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45212</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45212</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45212</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45212</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45212</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45212</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45212</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45212</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45212</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45212</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45212</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45212</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45212</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45212</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45212</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45212</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45212</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45212</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45212</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45212</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45212</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45212</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45212</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45212</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45212</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45212</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45212</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45212</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45212</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45212</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45212</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45212</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45212</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45212</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45212</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45212</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45212</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45212</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45212</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45212</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45212</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45212</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45212</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45212</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45212</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45212</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45212</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45212</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45212</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45212</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45212</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45212</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45212</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45212</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45212</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45212</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45212</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45212</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45212</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45212</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45212</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45212</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45212</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45212</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45212</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45212</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45212</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45212</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45212</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45212</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45212</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45212</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45212</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45212</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45212</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45212</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45212</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45212</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45212</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45212</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45212</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45212</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45212</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45212</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45212</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45212</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45212</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45212</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45212</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45212</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45212</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45212</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45212</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45212</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45212</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45212</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45212</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45212</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45212</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45212</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45212</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45212</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45212</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45212</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45212</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45212</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45212</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45212</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45212</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45212</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45212</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45212</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45212</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45212</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45212</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45212</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45212</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45212</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45212</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45212</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45212</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45212</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45212</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45212</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45212</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45212</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45212</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45212</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45212</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45212</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45212</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45212</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45212</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45212</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45212</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45212</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45212</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45212</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45212</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45212</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45212</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45212</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45212</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45212</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45212</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45212</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45212</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45212</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45212</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45212</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45212</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45212</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45212</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45212</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45212</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45212</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45212</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45212</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45212</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45212</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45212</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45212</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45212</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45212</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45212</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45212</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45212</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45212</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45212</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45212</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45212</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45212</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45212</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45212</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45212</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45212</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45212</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45212</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45212</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45212</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45212</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45212</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45212</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knärot.png", "A 41686-2021")</f>
        <v/>
      </c>
      <c r="V5322">
        <f>HYPERLINK("https://klasma.github.io/Logging_1784/klagomål/A 41686-2021 klagomål.docx", "A 41686-2021")</f>
        <v/>
      </c>
      <c r="W5322">
        <f>HYPERLINK("https://klasma.github.io/Logging_1784/klagomålsmail/A 41686-2021 klagomålsmail.docx", "A 41686-2021")</f>
        <v/>
      </c>
      <c r="X5322">
        <f>HYPERLINK("https://klasma.github.io/Logging_1784/tillsyn/A 41686-2021 tillsyn.docx", "A 41686-2021")</f>
        <v/>
      </c>
      <c r="Y5322">
        <f>HYPERLINK("https://klasma.github.io/Logging_1784/tillsynsmail/A 41686-2021 tillsynsmail.docx", "A 41686-2021")</f>
        <v/>
      </c>
    </row>
    <row r="5323" ht="15" customHeight="1">
      <c r="A5323" t="inlineStr">
        <is>
          <t>A 41808-2021</t>
        </is>
      </c>
      <c r="B5323" s="1" t="n">
        <v>44425</v>
      </c>
      <c r="C5323" s="1" t="n">
        <v>45212</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45212</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45212</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45212</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45212</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45212</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45212</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45212</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45212</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45212</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45212</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45212</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45212</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45212</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45212</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45212</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45212</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45212</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45212</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45212</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45212</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45212</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45212</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45212</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45212</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45212</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45212</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45212</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45212</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45212</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45212</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45212</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45212</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45212</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45212</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45212</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45212</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45212</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45212</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45212</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45212</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45212</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45212</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45212</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45212</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45212</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45212</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45212</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45212</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45212</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45212</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45212</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45212</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45212</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45212</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45212</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45212</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45212</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45212</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45212</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45212</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45212</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45212</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45212</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45212</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45212</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45212</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45212</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45212</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45212</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45212</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45212</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45212</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45212</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45212</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45212</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45212</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45212</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45212</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45212</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45212</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45212</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45212</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45212</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45212</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45212</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45212</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45212</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45212</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45212</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45212</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45212</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45212</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45212</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45212</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45212</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45212</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45212</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45212</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45212</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45212</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45212</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45212</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45212</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45212</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45212</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45212</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45212</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45212</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45212</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45212</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45212</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45212</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45212</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45212</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45212</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45212</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45212</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45212</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45212</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45212</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45212</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45212</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45212</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45212</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45212</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45212</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45212</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45212</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45212</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45212</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45212</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45212</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45212</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45212</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45212</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45212</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45212</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45212</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45212</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45212</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45212</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45212</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45212</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45212</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45212</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45212</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45212</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45212</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45212</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45212</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45212</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45212</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45212</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45212</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45212</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45212</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45212</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45212</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45212</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45212</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45212</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45212</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45212</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45212</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45212</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45212</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45212</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45212</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45212</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45212</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45212</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45212</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45212</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45212</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45212</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45212</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45212</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45212</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45212</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45212</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45212</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45212</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45212</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45212</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45212</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45212</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45212</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45212</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45212</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45212</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45212</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45212</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45212</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45212</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45212</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45212</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45212</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45212</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45212</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45212</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45212</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45212</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45212</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45212</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45212</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45212</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45212</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45212</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45212</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45212</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45212</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45212</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45212</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45212</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45212</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45212</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45212</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45212</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45212</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45212</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45212</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45212</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45212</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45212</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45212</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45212</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45212</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45212</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45212</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45212</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45212</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45212</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45212</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45212</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45212</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45212</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45212</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45212</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45212</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45212</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45212</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45212</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45212</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45212</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45212</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45212</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45212</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45212</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45212</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45212</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45212</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45212</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45212</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45212</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45212</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45212</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45212</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45212</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45212</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45212</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45212</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45212</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45212</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45212</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45212</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45212</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45212</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45212</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45212</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45212</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45212</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45212</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45212</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45212</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45212</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45212</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45212</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45212</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45212</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45212</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45212</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45212</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45212</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45212</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45212</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45212</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45212</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45212</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45212</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45212</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45212</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45212</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45212</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45212</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45212</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45212</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45212</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45212</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45212</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45212</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45212</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45212</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45212</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45212</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45212</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45212</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45212</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45212</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45212</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45212</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45212</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45212</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45212</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45212</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45212</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45212</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45212</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45212</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45212</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45212</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45212</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45212</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45212</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45212</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45212</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45212</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45212</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45212</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45212</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45212</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45212</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45212</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45212</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45212</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45212</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45212</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45212</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45212</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45212</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45212</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45212</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45212</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45212</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45212</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45212</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45212</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45212</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45212</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45212</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45212</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45212</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45212</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45212</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45212</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45212</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45212</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45212</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45212</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45212</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45212</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45212</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45212</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45212</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45212</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45212</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45212</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45212</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45212</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45212</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45212</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45212</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45212</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45212</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45212</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45212</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45212</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45212</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45212</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45212</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45212</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45212</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45212</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45212</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45212</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45212</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45212</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45212</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45212</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45212</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45212</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45212</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45212</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45212</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45212</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45212</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45212</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45212</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45212</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45212</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45212</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45212</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45212</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45212</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45212</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45212</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45212</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45212</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45212</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45212</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45212</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45212</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45212</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45212</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45212</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45212</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45212</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45212</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45212</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45212</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45212</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45212</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45212</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45212</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45212</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45212</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45212</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45212</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45212</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45212</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45212</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45212</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45212</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45212</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45212</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45212</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45212</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45212</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45212</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45212</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45212</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45212</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45212</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45212</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45212</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45212</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45212</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45212</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45212</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45212</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45212</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45212</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45212</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45212</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45212</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45212</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45212</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45212</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45212</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45212</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45212</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45212</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45212</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45212</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45212</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45212</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45212</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45212</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45212</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45212</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45212</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45212</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45212</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45212</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45212</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45212</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45212</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45212</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45212</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45212</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45212</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45212</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45212</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45212</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45212</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45212</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45212</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45212</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45212</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45212</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45212</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45212</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45212</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45212</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45212</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45212</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45212</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45212</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45212</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45212</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45212</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45212</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45212</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45212</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45212</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45212</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45212</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45212</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45212</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45212</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45212</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45212</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45212</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45212</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45212</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45212</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45212</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45212</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45212</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45212</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45212</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45212</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45212</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45212</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45212</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45212</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45212</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45212</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45212</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45212</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45212</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45212</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45212</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45212</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45212</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45212</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45212</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45212</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45212</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45212</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45212</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45212</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45212</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45212</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45212</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45212</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45212</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45212</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45212</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45212</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45212</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45212</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45212</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45212</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45212</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45212</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45212</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45212</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45212</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45212</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45212</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45212</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45212</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45212</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45212</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45212</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45212</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45212</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45212</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45212</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45212</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45212</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45212</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45212</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45212</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45212</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45212</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45212</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45212</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45212</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45212</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45212</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45212</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45212</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45212</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45212</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45212</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45212</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45212</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45212</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45212</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45212</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45212</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45212</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45212</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45212</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45212</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45212</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45212</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45212</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45212</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45212</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45212</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45212</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45212</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45212</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45212</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45212</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45212</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45212</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45212</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45212</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45212</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45212</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45212</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45212</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45212</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45212</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45212</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45212</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45212</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45212</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45212</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45212</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45212</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45212</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45212</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45212</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45212</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45212</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45212</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45212</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45212</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45212</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45212</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45212</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45212</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45212</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45212</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45212</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45212</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45212</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45212</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45212</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45212</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45212</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45212</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45212</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45212</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45212</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45212</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45212</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45212</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45212</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45212</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45212</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45212</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45212</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45212</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45212</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45212</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45212</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45212</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45212</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45212</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45212</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45212</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45212</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45212</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45212</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45212</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45212</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45212</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45212</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45212</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45212</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45212</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45212</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45212</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45212</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45212</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45212</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45212</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45212</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45212</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45212</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45212</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45212</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45212</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45212</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45212</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45212</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45212</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45212</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45212</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45212</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45212</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45212</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45212</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45212</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45212</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45212</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45212</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45212</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45212</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45212</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45212</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45212</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45212</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45212</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45212</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45212</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45212</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45212</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45212</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45212</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45212</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45212</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45212</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45212</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45212</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45212</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45212</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45212</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45212</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45212</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45212</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45212</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45212</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45212</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45212</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45212</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45212</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45212</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45212</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45212</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45212</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45212</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45212</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45212</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45212</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45212</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45212</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45212</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45212</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45212</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45212</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45212</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45212</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45212</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45212</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45212</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45212</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45212</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45212</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45212</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45212</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45212</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45212</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45212</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45212</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45212</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45212</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45212</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45212</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45212</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45212</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45212</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45212</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45212</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45212</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45212</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45212</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45212</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45212</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45212</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45212</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45212</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45212</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45212</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45212</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45212</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45212</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45212</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45212</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45212</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45212</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45212</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45212</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45212</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45212</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45212</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45212</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45212</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45212</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45212</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45212</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45212</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45212</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45212</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45212</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45212</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45212</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45212</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45212</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45212</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45212</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45212</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45212</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45212</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45212</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45212</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45212</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45212</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45212</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45212</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45212</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45212</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45212</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45212</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45212</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45212</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45212</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45212</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45212</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45212</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45212</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45212</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45212</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45212</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45212</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45212</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45212</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45212</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45212</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45212</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45212</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45212</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45212</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45212</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45212</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45212</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45212</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45212</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45212</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45212</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45212</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45212</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45212</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45212</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45212</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45212</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45212</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45212</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45212</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45212</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45212</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45212</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45212</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45212</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45212</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45212</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45212</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45212</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45212</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45212</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45212</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45212</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45212</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45212</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45212</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45212</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45212</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45212</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45212</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45212</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45212</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45212</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45212</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45212</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45212</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45212</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45212</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45212</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45212</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45212</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45212</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45212</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45212</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45212</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45212</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45212</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45212</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45212</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45212</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45212</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45212</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45212</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45212</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45212</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45212</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45212</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45212</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45212</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45212</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45212</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45212</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45212</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45212</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45212</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45212</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45212</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45212</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45212</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45212</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45212</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45212</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45212</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45212</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45212</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45212</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45212</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45212</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45212</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45212</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45212</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45212</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45212</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45212</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45212</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45212</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45212</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45212</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45212</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45212</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45212</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45212</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45212</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45212</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45212</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45212</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45212</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45212</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45212</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45212</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45212</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45212</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45212</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45212</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45212</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45212</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45212</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45212</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45212</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45212</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45212</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45212</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45212</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45212</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45212</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45212</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45212</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45212</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45212</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45212</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45212</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45212</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45212</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45212</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45212</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45212</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45212</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45212</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45212</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45212</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45212</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45212</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45212</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45212</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45212</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45212</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45212</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45212</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45212</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45212</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45212</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45212</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45212</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45212</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45212</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45212</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45212</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45212</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45212</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45212</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45212</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45212</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45212</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45212</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45212</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45212</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45212</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45212</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45212</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45212</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45212</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45212</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45212</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45212</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45212</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45212</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45212</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45212</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45212</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45212</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45212</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45212</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45212</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45212</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45212</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45212</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45212</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45212</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45212</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45212</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45212</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45212</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45212</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45212</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45212</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45212</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45212</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45212</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45212</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45212</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45212</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45212</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45212</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45212</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45212</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45212</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45212</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45212</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45212</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45212</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45212</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45212</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45212</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45212</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45212</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45212</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45212</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45212</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45212</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45212</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45212</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45212</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45212</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45212</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45212</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45212</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45212</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45212</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45212</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45212</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45212</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45212</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45212</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45212</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45212</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45212</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45212</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45212</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45212</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45212</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45212</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45212</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45212</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45212</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45212</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45212</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45212</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45212</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45212</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45212</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45212</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45212</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45212</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45212</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45212</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45212</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45212</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45212</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45212</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45212</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45212</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45212</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45212</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45212</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45212</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45212</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45212</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45212</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45212</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45212</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45212</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45212</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45212</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45212</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45212</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45212</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45212</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45212</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45212</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45212</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45212</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45212</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45212</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45212</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45212</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45212</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45212</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45212</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45212</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45212</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45212</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45212</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45212</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45212</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45212</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45212</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45212</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45212</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45212</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45212</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45212</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45212</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45212</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45212</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45212</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45212</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45212</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45212</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45212</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45212</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45212</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45212</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45212</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45212</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45212</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45212</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45212</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45212</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45212</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45212</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45212</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45212</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45212</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45212</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45212</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45212</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45212</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knärot.png", "A 16240-2022")</f>
        <v/>
      </c>
      <c r="V6484">
        <f>HYPERLINK("https://klasma.github.io/Logging_1784/klagomål/A 16240-2022 klagomål.docx", "A 16240-2022")</f>
        <v/>
      </c>
      <c r="W6484">
        <f>HYPERLINK("https://klasma.github.io/Logging_1784/klagomålsmail/A 16240-2022 klagomålsmail.docx", "A 16240-2022")</f>
        <v/>
      </c>
      <c r="X6484">
        <f>HYPERLINK("https://klasma.github.io/Logging_1784/tillsyn/A 16240-2022 tillsyn.docx", "A 16240-2022")</f>
        <v/>
      </c>
      <c r="Y6484">
        <f>HYPERLINK("https://klasma.github.io/Logging_1784/tillsynsmail/A 16240-2022 tillsynsmail.docx", "A 16240-2022")</f>
        <v/>
      </c>
    </row>
    <row r="6485" ht="15" customHeight="1">
      <c r="A6485" t="inlineStr">
        <is>
          <t>A 16217-2022</t>
        </is>
      </c>
      <c r="B6485" s="1" t="n">
        <v>44669</v>
      </c>
      <c r="C6485" s="1" t="n">
        <v>45212</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45212</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45212</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45212</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45212</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45212</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45212</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45212</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45212</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45212</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45212</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45212</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45212</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45212</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45212</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45212</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45212</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45212</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45212</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45212</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45212</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45212</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45212</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45212</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45212</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45212</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45212</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45212</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45212</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45212</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45212</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45212</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45212</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45212</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45212</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45212</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45212</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45212</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45212</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45212</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45212</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45212</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45212</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45212</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45212</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45212</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45212</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45212</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45212</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45212</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45212</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45212</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45212</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45212</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45212</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45212</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45212</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45212</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45212</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45212</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45212</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45212</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45212</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45212</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45212</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45212</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45212</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45212</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45212</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45212</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45212</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45212</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45212</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45212</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45212</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45212</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45212</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45212</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45212</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45212</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45212</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45212</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45212</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45212</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45212</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45212</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45212</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45212</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45212</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45212</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45212</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45212</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45212</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45212</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45212</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45212</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45212</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45212</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45212</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45212</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45212</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45212</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45212</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45212</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45212</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45212</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45212</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45212</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45212</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45212</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45212</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45212</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45212</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45212</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45212</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45212</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45212</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45212</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45212</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45212</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45212</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45212</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45212</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45212</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45212</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45212</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45212</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45212</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45212</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45212</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45212</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45212</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45212</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45212</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45212</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45212</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45212</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45212</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45212</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45212</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45212</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45212</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45212</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45212</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45212</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45212</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45212</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45212</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45212</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45212</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45212</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45212</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45212</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45212</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45212</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45212</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45212</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45212</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45212</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45212</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45212</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45212</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45212</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45212</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45212</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45212</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45212</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45212</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45212</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45212</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45212</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45212</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45212</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45212</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45212</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45212</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45212</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45212</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45212</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45212</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45212</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45212</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45212</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45212</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45212</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45212</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45212</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45212</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45212</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45212</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45212</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45212</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45212</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45212</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45212</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45212</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45212</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45212</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45212</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45212</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45212</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45212</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45212</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45212</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45212</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45212</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45212</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45212</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45212</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45212</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45212</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45212</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45212</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45212</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45212</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45212</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45212</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45212</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45212</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45212</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45212</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45212</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45212</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45212</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45212</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45212</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45212</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45212</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45212</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45212</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45212</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45212</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45212</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45212</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45212</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45212</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45212</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45212</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45212</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45212</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45212</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45212</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45212</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45212</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45212</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45212</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45212</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45212</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45212</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45212</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45212</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45212</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45212</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45212</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45212</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45212</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45212</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45212</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45212</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45212</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45212</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45212</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45212</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45212</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45212</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45212</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45212</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45212</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45212</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45212</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45212</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45212</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45212</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45212</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45212</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45212</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45212</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45212</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45212</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45212</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45212</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45212</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45212</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45212</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45212</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45212</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45212</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45212</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45212</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45212</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45212</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45212</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45212</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45212</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45212</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45212</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45212</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45212</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45212</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45212</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45212</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45212</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45212</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45212</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45212</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45212</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45212</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45212</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45212</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45212</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45212</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45212</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45212</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45212</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45212</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45212</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45212</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45212</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45212</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45212</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45212</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45212</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45212</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45212</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45212</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45212</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45212</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45212</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45212</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45212</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45212</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45212</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45212</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45212</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45212</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45212</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45212</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45212</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45212</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45212</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45212</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45212</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45212</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45212</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45212</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45212</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45212</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45212</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45212</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45212</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45212</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45212</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45212</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45212</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45212</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45212</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45212</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45212</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45212</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45212</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45212</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45212</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45212</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45212</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45212</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45212</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45212</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45212</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45212</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45212</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45212</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45212</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45212</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45212</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45212</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45212</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45212</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45212</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45212</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45212</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45212</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45212</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45212</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45212</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45212</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45212</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45212</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45212</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45212</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45212</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45212</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45212</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45212</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45212</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45212</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45212</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45212</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45212</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45212</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45212</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45212</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45212</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45212</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45212</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45212</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45212</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45212</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45212</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45212</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45212</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45212</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45212</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45212</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45212</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45212</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45212</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45212</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45212</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45212</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45212</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45212</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45212</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45212</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45212</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45212</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45212</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45212</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45212</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45212</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45212</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45212</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45212</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45212</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45212</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45212</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45212</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45212</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45212</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45212</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45212</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45212</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45212</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45212</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45212</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45212</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45212</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45212</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45212</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45212</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45212</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45212</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45212</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45212</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45212</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45212</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45212</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45212</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45212</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45212</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45212</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45212</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45212</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45212</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45212</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45212</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45212</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45212</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45212</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45212</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45212</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45212</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45212</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45212</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45212</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45212</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45212</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45212</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45212</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45212</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45212</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45212</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45212</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45212</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45212</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45212</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45212</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45212</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45212</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45212</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45212</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45212</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45212</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45212</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45212</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45212</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45212</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45212</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45212</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45212</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45212</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45212</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45212</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45212</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45212</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45212</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45212</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45212</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45212</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45212</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45212</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45212</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45212</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45212</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45212</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45212</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45212</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45212</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45212</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45212</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45212</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45212</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45212</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45212</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45212</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45212</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45212</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45212</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45212</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45212</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45212</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45212</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45212</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45212</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45212</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45212</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45212</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45212</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45212</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45212</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45212</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45212</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45212</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45212</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45212</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45212</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45212</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45212</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45212</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45212</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45212</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45212</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45212</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45212</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45212</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45212</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45212</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45212</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45212</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45212</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45212</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45212</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45212</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45212</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45212</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45212</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45212</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45212</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45212</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45212</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45212</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45212</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45212</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45212</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45212</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45212</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45212</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45212</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45212</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45212</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45212</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45212</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45212</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45212</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45212</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45212</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45212</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45212</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45212</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45212</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45212</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45212</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45212</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45212</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45212</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45212</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45212</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45212</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45212</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45212</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45212</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45212</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45212</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45212</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45212</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45212</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45212</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45212</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45212</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45212</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45212</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45212</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45212</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45212</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45212</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45212</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45212</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45212</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45212</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45212</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45212</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45212</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45212</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45212</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45212</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45212</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45212</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45212</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45212</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45212</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45212</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45212</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45212</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45212</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45212</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45212</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45212</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45212</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45212</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45212</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45212</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45212</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45212</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45212</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45212</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45212</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45212</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45212</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45212</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45212</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45212</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45212</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45212</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45212</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45212</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45212</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45212</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45212</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45212</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45212</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45212</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45212</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45212</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45212</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45212</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45212</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45212</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45212</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45212</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45212</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45212</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45212</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45212</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45212</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45212</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45212</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45212</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45212</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45212</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45212</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45212</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45212</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45212</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45212</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45212</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45212</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45212</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45212</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45212</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45212</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45212</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45212</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45212</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45212</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45212</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45212</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45212</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45212</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45212</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45212</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45212</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45212</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45212</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45212</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45212</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45212</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45212</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45212</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45212</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45212</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45212</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45212</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45212</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45212</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45212</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45212</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45212</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45212</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45212</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45212</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45212</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45212</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45212</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45212</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45212</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45212</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45212</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45212</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45212</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45212</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45212</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45212</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45212</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45212</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45212</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45212</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45212</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45212</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45212</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45212</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45212</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45212</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45212</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45212</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45212</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45212</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45212</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45212</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45212</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45212</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45212</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45212</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45212</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45212</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45212</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45212</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45212</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45212</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45212</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45212</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45212</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45212</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45212</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45212</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45212</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45212</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45212</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45212</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45212</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45212</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45212</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45212</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45212</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45212</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45212</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45212</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45212</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45212</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45212</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45212</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45212</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45212</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45212</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45212</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45212</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45212</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45212</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45212</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45212</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45212</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45212</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45212</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45212</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45212</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45212</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45212</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45212</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45212</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45212</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45212</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45212</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45212</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45212</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45212</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45212</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45212</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45212</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45212</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45212</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45212</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45212</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45212</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45212</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45212</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45212</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45212</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45212</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45212</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45212</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45212</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45212</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45212</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45212</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45212</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45212</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45212</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45212</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45212</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45212</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45212</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45212</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45212</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45212</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45212</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45212</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45212</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45212</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45212</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45212</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45212</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45212</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45212</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45212</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45212</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45212</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45212</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45212</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45212</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45212</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45212</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45212</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45212</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45212</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45212</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45212</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45212</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45212</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45212</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45212</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45212</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45212</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45212</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45212</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45212</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45212</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45212</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45212</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45212</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45212</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45212</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45212</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45212</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45212</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45212</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45212</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45212</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45212</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45212</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45212</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45212</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45212</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45212</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45212</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45212</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45212</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45212</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45212</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45212</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45212</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45212</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45212</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45212</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knärot.png", "A 55764-2022")</f>
        <v/>
      </c>
      <c r="V7375">
        <f>HYPERLINK("https://klasma.github.io/Logging_1780/klagomål/A 55764-2022 klagomål.docx", "A 55764-2022")</f>
        <v/>
      </c>
      <c r="W7375">
        <f>HYPERLINK("https://klasma.github.io/Logging_1780/klagomålsmail/A 55764-2022 klagomålsmail.docx", "A 55764-2022")</f>
        <v/>
      </c>
      <c r="X7375">
        <f>HYPERLINK("https://klasma.github.io/Logging_1780/tillsyn/A 55764-2022 tillsyn.docx", "A 55764-2022")</f>
        <v/>
      </c>
      <c r="Y7375">
        <f>HYPERLINK("https://klasma.github.io/Logging_1780/tillsynsmail/A 55764-2022 tillsynsmail.docx", "A 55764-2022")</f>
        <v/>
      </c>
    </row>
    <row r="7376" ht="15" customHeight="1">
      <c r="A7376" t="inlineStr">
        <is>
          <t>A 55819-2022</t>
        </is>
      </c>
      <c r="B7376" s="1" t="n">
        <v>44888</v>
      </c>
      <c r="C7376" s="1" t="n">
        <v>45212</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45212</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45212</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45212</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45212</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45212</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45212</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45212</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45212</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45212</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45212</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45212</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45212</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45212</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45212</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45212</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45212</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45212</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45212</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45212</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45212</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45212</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45212</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45212</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45212</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45212</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45212</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45212</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45212</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45212</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45212</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45212</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45212</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45212</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45212</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45212</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45212</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45212</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45212</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45212</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45212</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45212</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45212</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45212</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45212</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45212</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45212</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45212</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45212</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45212</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45212</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45212</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45212</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45212</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45212</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45212</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45212</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45212</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45212</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45212</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45212</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45212</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45212</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45212</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45212</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45212</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45212</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45212</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45212</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45212</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45212</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45212</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45212</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45212</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45212</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45212</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45212</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45212</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45212</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45212</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45212</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45212</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45212</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45212</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45212</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45212</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45212</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45212</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45212</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45212</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45212</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45212</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45212</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45212</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45212</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45212</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45212</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45212</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45212</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45212</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45212</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45212</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45212</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45212</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45212</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45212</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45212</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45212</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45212</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45212</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45212</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45212</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45212</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45212</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45212</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45212</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45212</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45212</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45212</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45212</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45212</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45212</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45212</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45212</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45212</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45212</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45212</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45212</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45212</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45212</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45212</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45212</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45212</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45212</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45212</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45212</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45212</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45212</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45212</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45212</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45212</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45212</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45212</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45212</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45212</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45212</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45212</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45212</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45212</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45212</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45212</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45212</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45212</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45212</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45212</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45212</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45212</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45212</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45212</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45212</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45212</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45212</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45212</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45212</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45212</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45212</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45212</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45212</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45212</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45212</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45212</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45212</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45212</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45212</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45212</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45212</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45212</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45212</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45212</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45212</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45212</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45212</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45212</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45212</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45212</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45212</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45212</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45212</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45212</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45212</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45212</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45212</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45212</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45212</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45212</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45212</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45212</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45212</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45212</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45212</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45212</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45212</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45212</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45212</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45212</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45212</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45212</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45212</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45212</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45212</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45212</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45212</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45212</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45212</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45212</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45212</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45212</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45212</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45212</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45212</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45212</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45212</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45212</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45212</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45212</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45212</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45212</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45212</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45212</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45212</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45212</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45212</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45212</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45212</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45212</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45212</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45212</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45212</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45212</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45212</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45212</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45212</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45212</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45212</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45212</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45212</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45212</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45212</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45212</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45212</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45212</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45212</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45212</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45212</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45212</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45212</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45212</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45212</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45212</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45212</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45212</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45212</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45212</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45212</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45212</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45212</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45212</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45212</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45212</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45212</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45212</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45212</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45212</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45212</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45212</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45212</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45212</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45212</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45212</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45212</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45212</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45212</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45212</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45212</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45212</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45212</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45212</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45212</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45212</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45212</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45212</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45212</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45212</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45212</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45212</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45212</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45212</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45212</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45212</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45212</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45212</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45212</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45212</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45212</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45212</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45212</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45212</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45212</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45212</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45212</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45212</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45212</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45212</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45212</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45212</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45212</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45212</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45212</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45212</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45212</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45212</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45212</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45212</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45212</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45212</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45212</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45212</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45212</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45212</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45212</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45212</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45212</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45212</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45212</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45212</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45212</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45212</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45212</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45212</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45212</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45212</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45212</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45212</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45212</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45212</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45212</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45212</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45212</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45212</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45212</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45212</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45212</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45212</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45212</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45212</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45212</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45212</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45212</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45212</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45212</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45212</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45212</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45212</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45212</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45212</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45212</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45212</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45212</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45212</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45212</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45212</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45212</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45212</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45212</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45212</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45212</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45212</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45212</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45212</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45212</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45212</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45212</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45212</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45212</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45212</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45212</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45212</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45212</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45212</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45212</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45212</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45212</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45212</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45212</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45212</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45212</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45212</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45212</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45212</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45212</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45212</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45212</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45212</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45212</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45212</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45212</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45212</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45212</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45212</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45212</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45212</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45212</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45212</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45212</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45212</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45212</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45212</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45212</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45212</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45212</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45212</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45212</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45212</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45212</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45212</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45212</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45212</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45212</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45212</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45212</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45212</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45212</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45212</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45212</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45212</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45212</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45212</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45212</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45212</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45212</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45212</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45212</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45212</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45212</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45212</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45212</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45212</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45212</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45212</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45212</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45212</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45212</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45212</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45212</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45212</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45212</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45212</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45212</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45212</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45212</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45212</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45212</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45212</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45212</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45212</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45212</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45212</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45212</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45212</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45212</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45212</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45212</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45212</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45212</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45212</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45212</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45212</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45212</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45212</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45212</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45212</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45212</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45212</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45212</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45212</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45212</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45212</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45212</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45212</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45212</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45212</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45212</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45212</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45212</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45212</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45212</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45212</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45212</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45212</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45212</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45212</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45212</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45212</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45212</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45212</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45212</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45212</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45212</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45212</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45212</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45212</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45212</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45212</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45212</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45212</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45212</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45212</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45212</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45212</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45212</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45212</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45212</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45212</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45212</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45212</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45212</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45212</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45212</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45212</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45212</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45212</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45212</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45212</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45212</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45212</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45212</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45212</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45212</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45212</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45212</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45212</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45212</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45212</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45212</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45212</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45212</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45212</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45212</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45212</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45212</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45212</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45212</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45212</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45212</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45212</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45212</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45212</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45212</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45212</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45212</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45212</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45212</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45212</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45212</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45212</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45212</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45212</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45212</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45212</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45212</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45212</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45212</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45212</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45212</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45212</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45212</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45212</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45212</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45212</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45212</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45212</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45212</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45212</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45212</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45212</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45212</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45212</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45212</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45212</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45212</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45212</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45212</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45212</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45212</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45212</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45212</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45212</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45212</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45212</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45212</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45212</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45212</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45212</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45212</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45212</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45212</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45212</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45212</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45212</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45212</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45212</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45212</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45212</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45212</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45212</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45212</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45212</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45212</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45212</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45212</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45212</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45212</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45212</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45212</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45212</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45212</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45212</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45212</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45212</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45212</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45212</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45212</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45212</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45212</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45212</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45212</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45212</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45212</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45212</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45212</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45212</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45212</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45212</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45212</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45212</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45212</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45212</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45212</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45212</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45212</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45212</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45212</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45212</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45212</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45212</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45212</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45212</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45212</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45212</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45212</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45212</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45212</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45212</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45212</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45212</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45212</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45212</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45212</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45212</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45212</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45212</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45212</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45212</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45212</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45212</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45212</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45212</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45212</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45212</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45212</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45212</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45212</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45212</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45212</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45212</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45212</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45212</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45212</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45212</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45212</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45212</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45212</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45212</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45212</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45212</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45212</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45212</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45212</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45212</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45212</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45212</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45212</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45212</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45212</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45212</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45212</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45212</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45212</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45212</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45212</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45212</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45212</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45212</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45212</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45212</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45212</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45212</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45212</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45212</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45212</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45212</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45212</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45212</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45212</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45212</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45212</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45212</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45212</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45212</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45212</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45212</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45212</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45212</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45212</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45212</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45212</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45212</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45212</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45212</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45212</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45212</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45212</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45212</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45212</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45212</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45212</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45212</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45212</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45212</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45212</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45212</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45212</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45212</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45212</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45212</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45212</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45212</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45212</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45212</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45212</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45212</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45212</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45212</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45212</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45212</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45212</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45212</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45212</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45212</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45212</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45212</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45212</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45212</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45212</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45212</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45212</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45212</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45212</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45212</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45212</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45212</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45212</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45212</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45212</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45212</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45212</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45212</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45212</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45212</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45212</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45212</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45212</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45212</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45212</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45212</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45212</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45212</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45212</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45212</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45212</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45212</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45212</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45212</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45212</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45212</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45212</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45212</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45212</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45212</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45212</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45212</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45212</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45212</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45212</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45212</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45212</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45212</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45212</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45212</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45212</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45212</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45212</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45212</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45212</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45212</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45212</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45212</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45212</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45212</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45212</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45212</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45212</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45212</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45212</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45212</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45212</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45212</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45212</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45212</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45212</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45212</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45212</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45212</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45212</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45212</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45212</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45212</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45212</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45212</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45212</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45212</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45212</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45212</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45212</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45212</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45212</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45212</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45212</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45212</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45212</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45212</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45212</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45212</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45212</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45212</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45212</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45212</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45212</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45212</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45212</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45212</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45212</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45212</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45212</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45212</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45212</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45212</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45212</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45212</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45212</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45212</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45212</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45212</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45212</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45212</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45212</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45212</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45212</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45212</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45212</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45212</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45212</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45212</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45212</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45212</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45212</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45212</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45212</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45212</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45212</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45212</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45212</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45212</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45212</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45212</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45212</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45212</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45212</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45212</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45212</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45212</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45212</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45212</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45212</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45212</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45212</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45212</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45212</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45212</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45212</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45212</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45212</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45212</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45212</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45212</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45212</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45212</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45212</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45212</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45212</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45212</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45212</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45212</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45212</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45212</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45212</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45212</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45212</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45212</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45212</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45212</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45212</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45212</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45212</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45212</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45212</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45212</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45212</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45212</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45212</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45212</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45212</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45212</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45212</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45212</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45212</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45212</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45212</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45212</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45212</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45212</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45212</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45212</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45212</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45212</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45212</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45212</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45212</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45212</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45212</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45212</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45212</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45212</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45212</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45212</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45212</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45212</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45212</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45212</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45212</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45212</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45212</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45212</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45212</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45212</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45212</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45212</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45212</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45212</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45212</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45212</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45212</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45212</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45212</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45212</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45212</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45212</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45212</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45212</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45212</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45212</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45212</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45212</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45212</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45212</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45212</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45212</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45212</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45212</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45212</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45212</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45212</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45212</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45212</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45212</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45212</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knärot.png", "A 23045-2023")</f>
        <v/>
      </c>
      <c r="V8391">
        <f>HYPERLINK("https://klasma.github.io/Logging_1782/klagomål/A 23045-2023 klagomål.docx", "A 23045-2023")</f>
        <v/>
      </c>
      <c r="W8391">
        <f>HYPERLINK("https://klasma.github.io/Logging_1782/klagomålsmail/A 23045-2023 klagomålsmail.docx", "A 23045-2023")</f>
        <v/>
      </c>
      <c r="X8391">
        <f>HYPERLINK("https://klasma.github.io/Logging_1782/tillsyn/A 23045-2023 tillsyn.docx", "A 23045-2023")</f>
        <v/>
      </c>
      <c r="Y8391">
        <f>HYPERLINK("https://klasma.github.io/Logging_1782/tillsynsmail/A 23045-2023 tillsynsmail.docx", "A 23045-2023")</f>
        <v/>
      </c>
    </row>
    <row r="8392" ht="15" customHeight="1">
      <c r="A8392" t="inlineStr">
        <is>
          <t>A 23055-2023</t>
        </is>
      </c>
      <c r="B8392" s="1" t="n">
        <v>45075</v>
      </c>
      <c r="C8392" s="1" t="n">
        <v>45212</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45212</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45212</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45212</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45212</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45212</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45212</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knärot.png", "A 23046-2023")</f>
        <v/>
      </c>
      <c r="V8398">
        <f>HYPERLINK("https://klasma.github.io/Logging_1782/klagomål/A 23046-2023 klagomål.docx", "A 23046-2023")</f>
        <v/>
      </c>
      <c r="W8398">
        <f>HYPERLINK("https://klasma.github.io/Logging_1782/klagomålsmail/A 23046-2023 klagomålsmail.docx", "A 23046-2023")</f>
        <v/>
      </c>
      <c r="X8398">
        <f>HYPERLINK("https://klasma.github.io/Logging_1782/tillsyn/A 23046-2023 tillsyn.docx", "A 23046-2023")</f>
        <v/>
      </c>
      <c r="Y8398">
        <f>HYPERLINK("https://klasma.github.io/Logging_1782/tillsynsmail/A 23046-2023 tillsynsmail.docx", "A 23046-2023")</f>
        <v/>
      </c>
    </row>
    <row r="8399" ht="15" customHeight="1">
      <c r="A8399" t="inlineStr">
        <is>
          <t>A 23150-2023</t>
        </is>
      </c>
      <c r="B8399" s="1" t="n">
        <v>45075</v>
      </c>
      <c r="C8399" s="1" t="n">
        <v>45212</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45212</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45212</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45212</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45212</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45212</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45212</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45212</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45212</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45212</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45212</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45212</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45212</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45212</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45212</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45212</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45212</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45212</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45212</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45212</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45212</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45212</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45212</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45212</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45212</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45212</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45212</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45212</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45212</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45212</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45212</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45212</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45212</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45212</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45212</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45212</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45212</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45212</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45212</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45212</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45212</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45212</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45212</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45212</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45212</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45212</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45212</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45212</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45212</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45212</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45212</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45212</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45212</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45212</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45212</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45212</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45212</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45212</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45212</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45212</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45212</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45212</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45212</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45212</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45212</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45212</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45212</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45212</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45212</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45212</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45212</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45212</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45212</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45212</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45212</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45212</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45212</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45212</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45212</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45212</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45212</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45212</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45212</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45212</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45212</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45212</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45212</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45212</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45212</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45212</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45212</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45212</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45212</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45212</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45212</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45212</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45212</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45212</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45212</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45212</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45212</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45212</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45212</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45212</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45212</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45212</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45212</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45212</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45212</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45212</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45212</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45212</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45212</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45212</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45212</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45212</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45212</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45212</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45212</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45212</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45212</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45212</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45212</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45212</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45212</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45212</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45212</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45212</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45212</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45212</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45212</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45212</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45212</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45212</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45212</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45212</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45212</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45212</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45212</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45212</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45212</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45212</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45212</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45212</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45212</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45212</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45212</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45212</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45212</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45212</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45212</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45212</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45212</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45212</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45212</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45212</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45212</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45212</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45212</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45212</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45212</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45212</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45212</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45212</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45212</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45212</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45212</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45212</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45212</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45212</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45212</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45212</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45212</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45212</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45212</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45212</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45212</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45212</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45212</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45212</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45212</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45212</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45212</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45212</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45212</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45212</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45212</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45212</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45212</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45212</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45212</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45212</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45212</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45212</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45212</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45212</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45212</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45212</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45212</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45212</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45212</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45212</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45212</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45212</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45212</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45212</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45212</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45212</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45212</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45212</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45212</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45212</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45212</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45212</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45212</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45212</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45212</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45212</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45212</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45212</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45212</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45212</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45212</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45212</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45212</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45212</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45212</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45212</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45212</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45212</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45212</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45212</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45212</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45212</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45212</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45212</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45212</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45212</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45212</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45212</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45212</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45212</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45212</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45212</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45212</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45212</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45212</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45212</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45212</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45212</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45212</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45212</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45212</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45212</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45212</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45212</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45212</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45212</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45212</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45212</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45212</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45212</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45212</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45212</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45212</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45212</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45212</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45212</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45212</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45212</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45212</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45212</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45212</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45212</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45212</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45212</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45212</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45212</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45212</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45212</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45212</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45212</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45212</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45212</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45212</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45212</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45212</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45212</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45212</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45212</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45212</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45212</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45212</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45212</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45212</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45212</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45212</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45212</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45212</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45212</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45212</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45212</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45212</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45212</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45212</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45212</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45212</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45212</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45212</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45212</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45212</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45212</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45212</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45212</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45212</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45212</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45212</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45212</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45212</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45212</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45212</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45212</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45212</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45212</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45212</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45212</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45212</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45212</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45212</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45212</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45212</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45212</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45212</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45212</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45212</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45212</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45212</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45212</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45212</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45212</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45212</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45212</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45212</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45212</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45212</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45212</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45212</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45212</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45212</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45212</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45212</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45212</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45212</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45212</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45212</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45212</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45212</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45212</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45212</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45212</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45212</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45212</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45212</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45212</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45212</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45212</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45212</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45212</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45212</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45212</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45212</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45212</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45212</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45212</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45212</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45212</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45212</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45212</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45212</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45212</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45212</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45212</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45212</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45212</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45212</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45212</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45212</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45212</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45212</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45212</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45212</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45212</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45212</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45212</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45212</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45212</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45212</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45212</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45212</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45212</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45212</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45212</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45212</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45212</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45212</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45212</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45212</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45212</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45212</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45212</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45212</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45212</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45212</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45212</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45212</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45212</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45212</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45212</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45212</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45212</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45212</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45212</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45212</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45212</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45212</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45212</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45212</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45212</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45212</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45212</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45212</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45212</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45212</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45212</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45212</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45212</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45212</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45212</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45212</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45212</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45212</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45212</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45212</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45212</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45212</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45212</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45212</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45212</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45212</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45212</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45212</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45212</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45212</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45212</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45212</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45212</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45212</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45212</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45212</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45212</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45212</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45212</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45212</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45212</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45212</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45212</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45212</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45212</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45212</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45212</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45212</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45212</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45212</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45212</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45212</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45212</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45212</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45212</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45212</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45212</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45212</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45212</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45212</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45212</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45212</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45212</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45212</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45212</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45212</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45212</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45212</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45212</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45212</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45212</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45212</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45212</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45212</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45212</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45212</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45212</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45212</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45212</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45212</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45212</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45212</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45212</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45212</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45212</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45212</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45212</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45212</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45212</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45212</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45212</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45212</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45212</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45212</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45212</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45212</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45212</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45212</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45212</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45212</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45212</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45212</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45212</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45212</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45212</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45212</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45212</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45212</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45212</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45212</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45212</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45212</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45212</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45212</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45212</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45212</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45212</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45212</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45212</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45212</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45212</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45212</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45212</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45212</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45212</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45212</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45212</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45212</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45212</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45212</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45212</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45212</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45212</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45212</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45212</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45212</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45212</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45212</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45212</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45212</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45212</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45212</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45212</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45212</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45212</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45212</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45212</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45212</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45212</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45212</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45212</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45212</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45212</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45212</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45212</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45212</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45212</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45212</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45212</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45212</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45212</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45212</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45212</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45212</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45212</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45212</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45212</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45212</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45212</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45212</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45212</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45212</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45212</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45212</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45212</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45212</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45212</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45212</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45212</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45212</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45212</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45212</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45212</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45212</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45212</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45212</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45212</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45212</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45212</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45212</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45212</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45212</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45212</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45212</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45212</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45212</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45212</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45212</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45212</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45212</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45212</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45212</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45212</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45212</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45212</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45212</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45212</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45212</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45212</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45212</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45212</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45212</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45212</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45212</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45212</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45212</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45212</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45212</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45212</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45212</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45212</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45212</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45212</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45212</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45212</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45212</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45212</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45212</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45212</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45212</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45212</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45212</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45212</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45212</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45212</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45212</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45212</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45212</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45212</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45212</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45212</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45212</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45212</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45212</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45212</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45212</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45212</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45212</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45212</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45212</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45212</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45212</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45212</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45212</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45212</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45212</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45212</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45212</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45212</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45212</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45212</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45212</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45212</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45212</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45212</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45212</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45212</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45212</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45212</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45212</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45212</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45212</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45212</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45212</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45212</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45212</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45212</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45212</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45212</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45212</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45212</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45212</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45212</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45212</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45212</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45212</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45212</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45212</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45212</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45212</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45212</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45212</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45212</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45212</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45212</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45212</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45212</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45212</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45212</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45212</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45212</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45212</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45212</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45212</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45212</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45212</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45212</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45212</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45212</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45212</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45212</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45212</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45212</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45212</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45212</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45212</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45212</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45212</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45212</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45212</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45212</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45212</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45212</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45212</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45212</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45212</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45212</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45212</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45212</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45212</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45212</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45212</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45212</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45212</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45212</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45212</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45212</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45212</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45212</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45212</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45212</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45212</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45212</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45212</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45212</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45212</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45212</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45212</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45212</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45212</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45212</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45212</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45212</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45212</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45212</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45212</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45212</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45212</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c r="A9180" t="inlineStr">
        <is>
          <t>A 49500-2023</t>
        </is>
      </c>
      <c r="B9180" s="1" t="n">
        <v>45211</v>
      </c>
      <c r="C9180" s="1" t="n">
        <v>45212</v>
      </c>
      <c r="D9180" t="inlineStr">
        <is>
          <t>VÄRMLANDS LÄN</t>
        </is>
      </c>
      <c r="E9180" t="inlineStr">
        <is>
          <t>MUNKFORS</t>
        </is>
      </c>
      <c r="G9180" t="n">
        <v>0.7</v>
      </c>
      <c r="H9180" t="n">
        <v>0</v>
      </c>
      <c r="I9180" t="n">
        <v>0</v>
      </c>
      <c r="J9180" t="n">
        <v>0</v>
      </c>
      <c r="K9180" t="n">
        <v>0</v>
      </c>
      <c r="L9180" t="n">
        <v>0</v>
      </c>
      <c r="M9180" t="n">
        <v>0</v>
      </c>
      <c r="N9180" t="n">
        <v>0</v>
      </c>
      <c r="O9180" t="n">
        <v>0</v>
      </c>
      <c r="P9180" t="n">
        <v>0</v>
      </c>
      <c r="Q9180" t="n">
        <v>0</v>
      </c>
      <c r="R9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2023-10-13T04:46:08Z</dcterms:created>
  <dcterms:modified xmlns:dcterms="http://purl.org/dc/terms/" xmlns:xsi="http://www.w3.org/2001/XMLSchema-instance" xsi:type="dcterms:W3CDTF">2023-10-13T04:46:11Z</dcterms:modified>
</cp:coreProperties>
</file>